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8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9.xml" ContentType="application/vnd.openxmlformats-officedocument.drawing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10.xml" ContentType="application/vnd.openxmlformats-officedocument.drawing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DT\Dropbox\_THESIS\Results\"/>
    </mc:Choice>
  </mc:AlternateContent>
  <bookViews>
    <workbookView xWindow="5580" yWindow="0" windowWidth="21576" windowHeight="8088" firstSheet="3" activeTab="5"/>
  </bookViews>
  <sheets>
    <sheet name="BaseFeat_HoE" sheetId="1" r:id="rId1"/>
    <sheet name="PCA_HoE" sheetId="4" r:id="rId2"/>
    <sheet name="BaseFeat_ELR" sheetId="3" r:id="rId3"/>
    <sheet name="PCA_ELR" sheetId="5" r:id="rId4"/>
    <sheet name="TEMPLATE" sheetId="2" r:id="rId5"/>
    <sheet name="CHARTS" sheetId="6" r:id="rId6"/>
    <sheet name="HoE Chart" sheetId="7" r:id="rId7"/>
    <sheet name="HoE Chart (5-Act)" sheetId="9" r:id="rId8"/>
    <sheet name="ELR Chart" sheetId="8" r:id="rId9"/>
    <sheet name="ELR Chart (5-Act)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6" i="6" l="1"/>
  <c r="G326" i="6"/>
  <c r="G313" i="6"/>
  <c r="F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D325" i="6"/>
  <c r="C325" i="6"/>
  <c r="B325" i="6"/>
  <c r="A325" i="6"/>
  <c r="D324" i="6"/>
  <c r="C324" i="6"/>
  <c r="B324" i="6"/>
  <c r="A324" i="6"/>
  <c r="D323" i="6"/>
  <c r="C323" i="6"/>
  <c r="B323" i="6"/>
  <c r="A323" i="6"/>
  <c r="D322" i="6"/>
  <c r="C322" i="6"/>
  <c r="B322" i="6"/>
  <c r="A322" i="6"/>
  <c r="D321" i="6"/>
  <c r="C321" i="6"/>
  <c r="B321" i="6"/>
  <c r="A321" i="6"/>
  <c r="D320" i="6"/>
  <c r="C320" i="6"/>
  <c r="B320" i="6"/>
  <c r="A320" i="6"/>
  <c r="D319" i="6"/>
  <c r="C319" i="6"/>
  <c r="B319" i="6"/>
  <c r="A319" i="6"/>
  <c r="D318" i="6"/>
  <c r="C318" i="6"/>
  <c r="B318" i="6"/>
  <c r="A318" i="6"/>
  <c r="N223" i="6"/>
  <c r="O223" i="6"/>
  <c r="P223" i="6"/>
  <c r="Q223" i="6"/>
  <c r="N224" i="6"/>
  <c r="O224" i="6"/>
  <c r="P224" i="6"/>
  <c r="Q224" i="6"/>
  <c r="N225" i="6"/>
  <c r="O225" i="6"/>
  <c r="P225" i="6"/>
  <c r="Q225" i="6"/>
  <c r="N226" i="6"/>
  <c r="O226" i="6"/>
  <c r="P226" i="6"/>
  <c r="Q226" i="6"/>
  <c r="D317" i="6"/>
  <c r="C317" i="6"/>
  <c r="B317" i="6"/>
  <c r="A317" i="6"/>
  <c r="D316" i="6"/>
  <c r="C316" i="6"/>
  <c r="B316" i="6"/>
  <c r="A316" i="6"/>
  <c r="D315" i="6"/>
  <c r="C315" i="6"/>
  <c r="B315" i="6"/>
  <c r="A315" i="6"/>
  <c r="D314" i="6"/>
  <c r="C314" i="6"/>
  <c r="B314" i="6"/>
  <c r="A314" i="6"/>
  <c r="F306" i="6"/>
  <c r="G302" i="6"/>
  <c r="G303" i="6"/>
  <c r="G304" i="6"/>
  <c r="G305" i="6"/>
  <c r="G306" i="6"/>
  <c r="G307" i="6"/>
  <c r="G308" i="6"/>
  <c r="G309" i="6"/>
  <c r="G310" i="6"/>
  <c r="G311" i="6"/>
  <c r="G312" i="6"/>
  <c r="F302" i="6"/>
  <c r="F303" i="6"/>
  <c r="F304" i="6"/>
  <c r="F305" i="6"/>
  <c r="F307" i="6"/>
  <c r="F308" i="6"/>
  <c r="F309" i="6"/>
  <c r="F310" i="6"/>
  <c r="F311" i="6"/>
  <c r="F312" i="6"/>
  <c r="G301" i="6"/>
  <c r="F301" i="6"/>
  <c r="D312" i="6"/>
  <c r="C312" i="6"/>
  <c r="B312" i="6"/>
  <c r="A312" i="6"/>
  <c r="D311" i="6"/>
  <c r="C311" i="6"/>
  <c r="B311" i="6"/>
  <c r="A311" i="6"/>
  <c r="D310" i="6"/>
  <c r="C310" i="6"/>
  <c r="B310" i="6"/>
  <c r="A310" i="6"/>
  <c r="D309" i="6"/>
  <c r="C309" i="6"/>
  <c r="B309" i="6"/>
  <c r="A309" i="6"/>
  <c r="D308" i="6"/>
  <c r="C308" i="6"/>
  <c r="B308" i="6"/>
  <c r="A308" i="6"/>
  <c r="D307" i="6"/>
  <c r="C307" i="6"/>
  <c r="B307" i="6"/>
  <c r="A307" i="6"/>
  <c r="D306" i="6"/>
  <c r="C306" i="6"/>
  <c r="B306" i="6"/>
  <c r="A306" i="6"/>
  <c r="D305" i="6"/>
  <c r="C305" i="6"/>
  <c r="B305" i="6"/>
  <c r="A305" i="6"/>
  <c r="D304" i="6"/>
  <c r="C304" i="6"/>
  <c r="B304" i="6"/>
  <c r="A304" i="6"/>
  <c r="D303" i="6"/>
  <c r="C303" i="6"/>
  <c r="B303" i="6"/>
  <c r="A303" i="6"/>
  <c r="D302" i="6"/>
  <c r="C302" i="6"/>
  <c r="B302" i="6"/>
  <c r="A302" i="6"/>
  <c r="D301" i="6"/>
  <c r="C301" i="6"/>
  <c r="B301" i="6"/>
  <c r="A301" i="6"/>
  <c r="B83" i="8" l="1"/>
  <c r="B3" i="8" s="1"/>
  <c r="B84" i="8"/>
  <c r="B4" i="8" s="1"/>
  <c r="B85" i="8"/>
  <c r="B5" i="8" s="1"/>
  <c r="B86" i="8"/>
  <c r="B6" i="8" s="1"/>
  <c r="B87" i="8"/>
  <c r="B7" i="8" s="1"/>
  <c r="B88" i="8"/>
  <c r="B8" i="8" s="1"/>
  <c r="B89" i="8"/>
  <c r="B9" i="8" s="1"/>
  <c r="B90" i="8"/>
  <c r="B10" i="8" s="1"/>
  <c r="B91" i="8"/>
  <c r="B11" i="8" s="1"/>
  <c r="B92" i="8"/>
  <c r="B12" i="8" s="1"/>
  <c r="B93" i="8"/>
  <c r="B13" i="8" s="1"/>
  <c r="B94" i="8"/>
  <c r="B14" i="8" s="1"/>
  <c r="B95" i="8"/>
  <c r="B15" i="8" s="1"/>
  <c r="B96" i="8"/>
  <c r="B16" i="8" s="1"/>
  <c r="B97" i="8"/>
  <c r="B17" i="8" s="1"/>
  <c r="B98" i="8"/>
  <c r="B18" i="8" s="1"/>
  <c r="B99" i="8"/>
  <c r="B19" i="8" s="1"/>
  <c r="B100" i="8"/>
  <c r="B20" i="8" s="1"/>
  <c r="B101" i="8"/>
  <c r="B21" i="8" s="1"/>
  <c r="B102" i="8"/>
  <c r="B22" i="8" s="1"/>
  <c r="B103" i="8"/>
  <c r="B23" i="8" s="1"/>
  <c r="B104" i="8"/>
  <c r="B24" i="8" s="1"/>
  <c r="B105" i="8"/>
  <c r="B25" i="8" s="1"/>
  <c r="B106" i="8"/>
  <c r="B26" i="8" s="1"/>
  <c r="B107" i="8"/>
  <c r="B27" i="8" s="1"/>
  <c r="B108" i="8"/>
  <c r="B28" i="8" s="1"/>
  <c r="B109" i="8"/>
  <c r="B29" i="8" s="1"/>
  <c r="B110" i="8"/>
  <c r="B30" i="8" s="1"/>
  <c r="B111" i="8"/>
  <c r="B31" i="8" s="1"/>
  <c r="B112" i="8"/>
  <c r="B32" i="8" s="1"/>
  <c r="B113" i="8"/>
  <c r="B33" i="8" s="1"/>
  <c r="B114" i="8"/>
  <c r="B34" i="8" s="1"/>
  <c r="B115" i="8"/>
  <c r="B35" i="8" s="1"/>
  <c r="B116" i="8"/>
  <c r="B36" i="8" s="1"/>
  <c r="B117" i="8"/>
  <c r="B37" i="8" s="1"/>
  <c r="B118" i="8"/>
  <c r="B38" i="8" s="1"/>
  <c r="B119" i="8"/>
  <c r="B39" i="8" s="1"/>
  <c r="B120" i="8"/>
  <c r="B40" i="8" s="1"/>
  <c r="B121" i="8"/>
  <c r="B41" i="8" s="1"/>
  <c r="B122" i="8"/>
  <c r="B42" i="8" s="1"/>
  <c r="B123" i="8"/>
  <c r="B43" i="8" s="1"/>
  <c r="B124" i="8"/>
  <c r="B44" i="8" s="1"/>
  <c r="B125" i="8"/>
  <c r="B45" i="8" s="1"/>
  <c r="B126" i="8"/>
  <c r="B46" i="8" s="1"/>
  <c r="B127" i="8"/>
  <c r="B47" i="8" s="1"/>
  <c r="B128" i="8"/>
  <c r="B48" i="8" s="1"/>
  <c r="B129" i="8"/>
  <c r="B49" i="8" s="1"/>
  <c r="B130" i="8"/>
  <c r="B50" i="8" s="1"/>
  <c r="B131" i="8"/>
  <c r="B51" i="8" s="1"/>
  <c r="B132" i="8"/>
  <c r="B52" i="8" s="1"/>
  <c r="B133" i="8"/>
  <c r="B53" i="8" s="1"/>
  <c r="B134" i="8"/>
  <c r="B54" i="8" s="1"/>
  <c r="B135" i="8"/>
  <c r="B55" i="8" s="1"/>
  <c r="B136" i="8"/>
  <c r="B56" i="8" s="1"/>
  <c r="B137" i="8"/>
  <c r="B57" i="8" s="1"/>
  <c r="B138" i="8"/>
  <c r="B58" i="8" s="1"/>
  <c r="B139" i="8"/>
  <c r="B59" i="8" s="1"/>
  <c r="B140" i="8"/>
  <c r="B60" i="8" s="1"/>
  <c r="B141" i="8"/>
  <c r="B61" i="8" s="1"/>
  <c r="B142" i="8"/>
  <c r="B62" i="8" s="1"/>
  <c r="B143" i="8"/>
  <c r="B63" i="8" s="1"/>
  <c r="B144" i="8"/>
  <c r="B64" i="8" s="1"/>
  <c r="B145" i="8"/>
  <c r="B65" i="8" s="1"/>
  <c r="B146" i="8"/>
  <c r="B66" i="8" s="1"/>
  <c r="B147" i="8"/>
  <c r="B67" i="8" s="1"/>
  <c r="B148" i="8"/>
  <c r="B68" i="8" s="1"/>
  <c r="B149" i="8"/>
  <c r="B69" i="8" s="1"/>
  <c r="B150" i="8"/>
  <c r="B70" i="8" s="1"/>
  <c r="B151" i="8"/>
  <c r="B71" i="8" s="1"/>
  <c r="B152" i="8"/>
  <c r="B72" i="8" s="1"/>
  <c r="B153" i="8"/>
  <c r="B73" i="8" s="1"/>
  <c r="B154" i="8"/>
  <c r="B74" i="8" s="1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F74" i="10" l="1"/>
  <c r="E74" i="10"/>
  <c r="D74" i="10"/>
  <c r="C74" i="10"/>
  <c r="B74" i="10"/>
  <c r="F73" i="10"/>
  <c r="E73" i="10"/>
  <c r="D73" i="10"/>
  <c r="C73" i="10"/>
  <c r="B73" i="10"/>
  <c r="F72" i="10"/>
  <c r="E72" i="10"/>
  <c r="D72" i="10"/>
  <c r="C72" i="10"/>
  <c r="B72" i="10"/>
  <c r="F71" i="10"/>
  <c r="E71" i="10"/>
  <c r="D71" i="10"/>
  <c r="C71" i="10"/>
  <c r="B71" i="10"/>
  <c r="F70" i="10"/>
  <c r="E70" i="10"/>
  <c r="D70" i="10"/>
  <c r="C70" i="10"/>
  <c r="B70" i="10"/>
  <c r="F69" i="10"/>
  <c r="E69" i="10"/>
  <c r="D69" i="10"/>
  <c r="C69" i="10"/>
  <c r="B69" i="10"/>
  <c r="F68" i="10"/>
  <c r="E68" i="10"/>
  <c r="D68" i="10"/>
  <c r="C68" i="10"/>
  <c r="B68" i="10"/>
  <c r="F67" i="10"/>
  <c r="E67" i="10"/>
  <c r="D67" i="10"/>
  <c r="C67" i="10"/>
  <c r="B67" i="10"/>
  <c r="F66" i="10"/>
  <c r="E66" i="10"/>
  <c r="D66" i="10"/>
  <c r="C66" i="10"/>
  <c r="B66" i="10"/>
  <c r="F65" i="10"/>
  <c r="E65" i="10"/>
  <c r="D65" i="10"/>
  <c r="C65" i="10"/>
  <c r="B65" i="10"/>
  <c r="F64" i="10"/>
  <c r="E64" i="10"/>
  <c r="D64" i="10"/>
  <c r="C64" i="10"/>
  <c r="B64" i="10"/>
  <c r="F63" i="10"/>
  <c r="E63" i="10"/>
  <c r="D63" i="10"/>
  <c r="C63" i="10"/>
  <c r="B63" i="10"/>
  <c r="F62" i="10"/>
  <c r="E62" i="10"/>
  <c r="D62" i="10"/>
  <c r="C62" i="10"/>
  <c r="B62" i="10"/>
  <c r="F61" i="10"/>
  <c r="E61" i="10"/>
  <c r="D61" i="10"/>
  <c r="C61" i="10"/>
  <c r="B61" i="10"/>
  <c r="F60" i="10"/>
  <c r="E60" i="10"/>
  <c r="D60" i="10"/>
  <c r="C60" i="10"/>
  <c r="B60" i="10"/>
  <c r="F59" i="10"/>
  <c r="E59" i="10"/>
  <c r="D59" i="10"/>
  <c r="C59" i="10"/>
  <c r="B59" i="10"/>
  <c r="F58" i="10"/>
  <c r="E58" i="10"/>
  <c r="D58" i="10"/>
  <c r="C58" i="10"/>
  <c r="B58" i="10"/>
  <c r="F57" i="10"/>
  <c r="E57" i="10"/>
  <c r="D57" i="10"/>
  <c r="C57" i="10"/>
  <c r="B57" i="10"/>
  <c r="F56" i="10"/>
  <c r="E56" i="10"/>
  <c r="D56" i="10"/>
  <c r="C56" i="10"/>
  <c r="B56" i="10"/>
  <c r="F55" i="10"/>
  <c r="E55" i="10"/>
  <c r="D55" i="10"/>
  <c r="C55" i="10"/>
  <c r="B55" i="10"/>
  <c r="F54" i="10"/>
  <c r="E54" i="10"/>
  <c r="D54" i="10"/>
  <c r="C54" i="10"/>
  <c r="B54" i="10"/>
  <c r="F53" i="10"/>
  <c r="E53" i="10"/>
  <c r="D53" i="10"/>
  <c r="C53" i="10"/>
  <c r="B53" i="10"/>
  <c r="F52" i="10"/>
  <c r="E52" i="10"/>
  <c r="D52" i="10"/>
  <c r="C52" i="10"/>
  <c r="B52" i="10"/>
  <c r="F51" i="10"/>
  <c r="E51" i="10"/>
  <c r="D51" i="10"/>
  <c r="C51" i="10"/>
  <c r="B51" i="10"/>
  <c r="F50" i="10"/>
  <c r="E50" i="10"/>
  <c r="D50" i="10"/>
  <c r="C50" i="10"/>
  <c r="B50" i="10"/>
  <c r="F49" i="10"/>
  <c r="E49" i="10"/>
  <c r="D49" i="10"/>
  <c r="C49" i="10"/>
  <c r="B49" i="10"/>
  <c r="F48" i="10"/>
  <c r="E48" i="10"/>
  <c r="D48" i="10"/>
  <c r="C48" i="10"/>
  <c r="B48" i="10"/>
  <c r="F47" i="10"/>
  <c r="E47" i="10"/>
  <c r="D47" i="10"/>
  <c r="C47" i="10"/>
  <c r="B47" i="10"/>
  <c r="F46" i="10"/>
  <c r="E46" i="10"/>
  <c r="D46" i="10"/>
  <c r="C46" i="10"/>
  <c r="B46" i="10"/>
  <c r="F45" i="10"/>
  <c r="E45" i="10"/>
  <c r="D45" i="10"/>
  <c r="C45" i="10"/>
  <c r="B45" i="10"/>
  <c r="F44" i="10"/>
  <c r="E44" i="10"/>
  <c r="D44" i="10"/>
  <c r="C44" i="10"/>
  <c r="B44" i="10"/>
  <c r="F43" i="10"/>
  <c r="E43" i="10"/>
  <c r="D43" i="10"/>
  <c r="C43" i="10"/>
  <c r="B43" i="10"/>
  <c r="F42" i="10"/>
  <c r="E42" i="10"/>
  <c r="D42" i="10"/>
  <c r="C42" i="10"/>
  <c r="B42" i="10"/>
  <c r="F41" i="10"/>
  <c r="E41" i="10"/>
  <c r="D41" i="10"/>
  <c r="C41" i="10"/>
  <c r="B41" i="10"/>
  <c r="F40" i="10"/>
  <c r="E40" i="10"/>
  <c r="D40" i="10"/>
  <c r="C40" i="10"/>
  <c r="B40" i="10"/>
  <c r="F39" i="10"/>
  <c r="E39" i="10"/>
  <c r="D39" i="10"/>
  <c r="C39" i="10"/>
  <c r="B39" i="10"/>
  <c r="F38" i="10"/>
  <c r="E38" i="10"/>
  <c r="D38" i="10"/>
  <c r="C38" i="10"/>
  <c r="B38" i="10"/>
  <c r="F37" i="10"/>
  <c r="E37" i="10"/>
  <c r="D37" i="10"/>
  <c r="C37" i="10"/>
  <c r="B37" i="10"/>
  <c r="F36" i="10"/>
  <c r="E36" i="10"/>
  <c r="D36" i="10"/>
  <c r="C36" i="10"/>
  <c r="B36" i="10"/>
  <c r="F35" i="10"/>
  <c r="E35" i="10"/>
  <c r="D35" i="10"/>
  <c r="C35" i="10"/>
  <c r="B35" i="10"/>
  <c r="F34" i="10"/>
  <c r="E34" i="10"/>
  <c r="D34" i="10"/>
  <c r="C34" i="10"/>
  <c r="B34" i="10"/>
  <c r="F33" i="10"/>
  <c r="E33" i="10"/>
  <c r="D33" i="10"/>
  <c r="C33" i="10"/>
  <c r="B33" i="10"/>
  <c r="F32" i="10"/>
  <c r="E32" i="10"/>
  <c r="D32" i="10"/>
  <c r="C32" i="10"/>
  <c r="B32" i="10"/>
  <c r="F31" i="10"/>
  <c r="E31" i="10"/>
  <c r="D31" i="10"/>
  <c r="C31" i="10"/>
  <c r="B31" i="10"/>
  <c r="F30" i="10"/>
  <c r="E30" i="10"/>
  <c r="D30" i="10"/>
  <c r="C30" i="10"/>
  <c r="B30" i="10"/>
  <c r="F29" i="10"/>
  <c r="E29" i="10"/>
  <c r="D29" i="10"/>
  <c r="C29" i="10"/>
  <c r="B29" i="10"/>
  <c r="F28" i="10"/>
  <c r="E28" i="10"/>
  <c r="D28" i="10"/>
  <c r="C28" i="10"/>
  <c r="B28" i="10"/>
  <c r="F27" i="10"/>
  <c r="E27" i="10"/>
  <c r="D27" i="10"/>
  <c r="C27" i="10"/>
  <c r="B27" i="10"/>
  <c r="F26" i="10"/>
  <c r="E26" i="10"/>
  <c r="D26" i="10"/>
  <c r="C26" i="10"/>
  <c r="B26" i="10"/>
  <c r="F25" i="10"/>
  <c r="E25" i="10"/>
  <c r="D25" i="10"/>
  <c r="C25" i="10"/>
  <c r="B25" i="10"/>
  <c r="F24" i="10"/>
  <c r="E24" i="10"/>
  <c r="D24" i="10"/>
  <c r="C24" i="10"/>
  <c r="B24" i="10"/>
  <c r="F23" i="10"/>
  <c r="E23" i="10"/>
  <c r="D23" i="10"/>
  <c r="C23" i="10"/>
  <c r="B23" i="10"/>
  <c r="F22" i="10"/>
  <c r="E22" i="10"/>
  <c r="D22" i="10"/>
  <c r="C22" i="10"/>
  <c r="B22" i="10"/>
  <c r="F21" i="10"/>
  <c r="E21" i="10"/>
  <c r="D21" i="10"/>
  <c r="C21" i="10"/>
  <c r="B21" i="10"/>
  <c r="F20" i="10"/>
  <c r="E20" i="10"/>
  <c r="D20" i="10"/>
  <c r="C20" i="10"/>
  <c r="B20" i="10"/>
  <c r="F19" i="10"/>
  <c r="E19" i="10"/>
  <c r="D19" i="10"/>
  <c r="C19" i="10"/>
  <c r="B19" i="10"/>
  <c r="F18" i="10"/>
  <c r="E18" i="10"/>
  <c r="D18" i="10"/>
  <c r="C18" i="10"/>
  <c r="B18" i="10"/>
  <c r="F17" i="10"/>
  <c r="E17" i="10"/>
  <c r="D17" i="10"/>
  <c r="C17" i="10"/>
  <c r="B17" i="10"/>
  <c r="F16" i="10"/>
  <c r="E16" i="10"/>
  <c r="D16" i="10"/>
  <c r="C16" i="10"/>
  <c r="B16" i="10"/>
  <c r="F15" i="10"/>
  <c r="E15" i="10"/>
  <c r="D15" i="10"/>
  <c r="C15" i="10"/>
  <c r="B15" i="10"/>
  <c r="F14" i="10"/>
  <c r="E14" i="10"/>
  <c r="D14" i="10"/>
  <c r="C14" i="10"/>
  <c r="B14" i="10"/>
  <c r="F13" i="10"/>
  <c r="E13" i="10"/>
  <c r="D13" i="10"/>
  <c r="C13" i="10"/>
  <c r="B13" i="10"/>
  <c r="F12" i="10"/>
  <c r="E12" i="10"/>
  <c r="D12" i="10"/>
  <c r="C12" i="10"/>
  <c r="B12" i="10"/>
  <c r="F11" i="10"/>
  <c r="E11" i="10"/>
  <c r="D11" i="10"/>
  <c r="C11" i="10"/>
  <c r="B11" i="10"/>
  <c r="F10" i="10"/>
  <c r="E10" i="10"/>
  <c r="D10" i="10"/>
  <c r="C10" i="10"/>
  <c r="B10" i="10"/>
  <c r="F9" i="10"/>
  <c r="E9" i="10"/>
  <c r="D9" i="10"/>
  <c r="C9" i="10"/>
  <c r="B9" i="10"/>
  <c r="F8" i="10"/>
  <c r="E8" i="10"/>
  <c r="D8" i="10"/>
  <c r="C8" i="10"/>
  <c r="B8" i="10"/>
  <c r="F7" i="10"/>
  <c r="E7" i="10"/>
  <c r="D7" i="10"/>
  <c r="C7" i="10"/>
  <c r="B7" i="10"/>
  <c r="F6" i="10"/>
  <c r="E6" i="10"/>
  <c r="D6" i="10"/>
  <c r="C6" i="10"/>
  <c r="B6" i="10"/>
  <c r="F5" i="10"/>
  <c r="E5" i="10"/>
  <c r="D5" i="10"/>
  <c r="C5" i="10"/>
  <c r="B5" i="10"/>
  <c r="F4" i="10"/>
  <c r="E4" i="10"/>
  <c r="D4" i="10"/>
  <c r="C4" i="10"/>
  <c r="B4" i="10"/>
  <c r="F3" i="10"/>
  <c r="E3" i="10"/>
  <c r="D3" i="10"/>
  <c r="C3" i="10"/>
  <c r="B3" i="10"/>
  <c r="C4" i="8"/>
  <c r="D4" i="8"/>
  <c r="E4" i="8"/>
  <c r="F4" i="8"/>
  <c r="C5" i="8"/>
  <c r="D5" i="8"/>
  <c r="E5" i="8"/>
  <c r="F5" i="8"/>
  <c r="C6" i="8"/>
  <c r="D6" i="8"/>
  <c r="E6" i="8"/>
  <c r="F6" i="8"/>
  <c r="C7" i="8"/>
  <c r="D7" i="8"/>
  <c r="E7" i="8"/>
  <c r="F7" i="8"/>
  <c r="C8" i="8"/>
  <c r="D8" i="8"/>
  <c r="E8" i="8"/>
  <c r="F8" i="8"/>
  <c r="C9" i="8"/>
  <c r="D9" i="8"/>
  <c r="E9" i="8"/>
  <c r="F9" i="8"/>
  <c r="C10" i="8"/>
  <c r="D10" i="8"/>
  <c r="E10" i="8"/>
  <c r="F10" i="8"/>
  <c r="C11" i="8"/>
  <c r="D11" i="8"/>
  <c r="E11" i="8"/>
  <c r="F11" i="8"/>
  <c r="C12" i="8"/>
  <c r="D12" i="8"/>
  <c r="E12" i="8"/>
  <c r="F12" i="8"/>
  <c r="C13" i="8"/>
  <c r="D13" i="8"/>
  <c r="E13" i="8"/>
  <c r="F13" i="8"/>
  <c r="C14" i="8"/>
  <c r="D14" i="8"/>
  <c r="E14" i="8"/>
  <c r="F14" i="8"/>
  <c r="C15" i="8"/>
  <c r="D15" i="8"/>
  <c r="E15" i="8"/>
  <c r="F15" i="8"/>
  <c r="C16" i="8"/>
  <c r="D16" i="8"/>
  <c r="E16" i="8"/>
  <c r="F16" i="8"/>
  <c r="C17" i="8"/>
  <c r="D17" i="8"/>
  <c r="E17" i="8"/>
  <c r="F17" i="8"/>
  <c r="C18" i="8"/>
  <c r="D18" i="8"/>
  <c r="E18" i="8"/>
  <c r="F18" i="8"/>
  <c r="C19" i="8"/>
  <c r="D19" i="8"/>
  <c r="E19" i="8"/>
  <c r="F19" i="8"/>
  <c r="C20" i="8"/>
  <c r="D20" i="8"/>
  <c r="E20" i="8"/>
  <c r="F20" i="8"/>
  <c r="C21" i="8"/>
  <c r="D21" i="8"/>
  <c r="E21" i="8"/>
  <c r="F21" i="8"/>
  <c r="C22" i="8"/>
  <c r="D22" i="8"/>
  <c r="E22" i="8"/>
  <c r="F22" i="8"/>
  <c r="C23" i="8"/>
  <c r="D23" i="8"/>
  <c r="E23" i="8"/>
  <c r="F23" i="8"/>
  <c r="C24" i="8"/>
  <c r="D24" i="8"/>
  <c r="E24" i="8"/>
  <c r="F24" i="8"/>
  <c r="C25" i="8"/>
  <c r="D25" i="8"/>
  <c r="E25" i="8"/>
  <c r="F25" i="8"/>
  <c r="C26" i="8"/>
  <c r="D26" i="8"/>
  <c r="E26" i="8"/>
  <c r="F26" i="8"/>
  <c r="C27" i="8"/>
  <c r="D27" i="8"/>
  <c r="E27" i="8"/>
  <c r="F27" i="8"/>
  <c r="C28" i="8"/>
  <c r="D28" i="8"/>
  <c r="E28" i="8"/>
  <c r="F28" i="8"/>
  <c r="C29" i="8"/>
  <c r="D29" i="8"/>
  <c r="E29" i="8"/>
  <c r="F29" i="8"/>
  <c r="C30" i="8"/>
  <c r="D30" i="8"/>
  <c r="E30" i="8"/>
  <c r="F30" i="8"/>
  <c r="C31" i="8"/>
  <c r="D31" i="8"/>
  <c r="E31" i="8"/>
  <c r="F31" i="8"/>
  <c r="C32" i="8"/>
  <c r="D32" i="8"/>
  <c r="E32" i="8"/>
  <c r="F32" i="8"/>
  <c r="C33" i="8"/>
  <c r="D33" i="8"/>
  <c r="E33" i="8"/>
  <c r="F33" i="8"/>
  <c r="C34" i="8"/>
  <c r="D34" i="8"/>
  <c r="E34" i="8"/>
  <c r="F34" i="8"/>
  <c r="C35" i="8"/>
  <c r="D35" i="8"/>
  <c r="E35" i="8"/>
  <c r="F35" i="8"/>
  <c r="C36" i="8"/>
  <c r="D36" i="8"/>
  <c r="E36" i="8"/>
  <c r="F36" i="8"/>
  <c r="C37" i="8"/>
  <c r="D37" i="8"/>
  <c r="E37" i="8"/>
  <c r="F37" i="8"/>
  <c r="C38" i="8"/>
  <c r="D38" i="8"/>
  <c r="E38" i="8"/>
  <c r="F38" i="8"/>
  <c r="C39" i="8"/>
  <c r="D39" i="8"/>
  <c r="E39" i="8"/>
  <c r="F39" i="8"/>
  <c r="C40" i="8"/>
  <c r="D40" i="8"/>
  <c r="E40" i="8"/>
  <c r="F40" i="8"/>
  <c r="C41" i="8"/>
  <c r="D41" i="8"/>
  <c r="E41" i="8"/>
  <c r="F41" i="8"/>
  <c r="C42" i="8"/>
  <c r="D42" i="8"/>
  <c r="E42" i="8"/>
  <c r="F42" i="8"/>
  <c r="C43" i="8"/>
  <c r="D43" i="8"/>
  <c r="E43" i="8"/>
  <c r="F43" i="8"/>
  <c r="C44" i="8"/>
  <c r="D44" i="8"/>
  <c r="E44" i="8"/>
  <c r="F44" i="8"/>
  <c r="C45" i="8"/>
  <c r="D45" i="8"/>
  <c r="E45" i="8"/>
  <c r="F45" i="8"/>
  <c r="C46" i="8"/>
  <c r="D46" i="8"/>
  <c r="E46" i="8"/>
  <c r="F46" i="8"/>
  <c r="C47" i="8"/>
  <c r="D47" i="8"/>
  <c r="E47" i="8"/>
  <c r="F47" i="8"/>
  <c r="C48" i="8"/>
  <c r="D48" i="8"/>
  <c r="E48" i="8"/>
  <c r="F48" i="8"/>
  <c r="C49" i="8"/>
  <c r="D49" i="8"/>
  <c r="E49" i="8"/>
  <c r="F49" i="8"/>
  <c r="C50" i="8"/>
  <c r="D50" i="8"/>
  <c r="E50" i="8"/>
  <c r="F50" i="8"/>
  <c r="C51" i="8"/>
  <c r="D51" i="8"/>
  <c r="E51" i="8"/>
  <c r="F51" i="8"/>
  <c r="C52" i="8"/>
  <c r="D52" i="8"/>
  <c r="E52" i="8"/>
  <c r="F52" i="8"/>
  <c r="C53" i="8"/>
  <c r="D53" i="8"/>
  <c r="E53" i="8"/>
  <c r="F53" i="8"/>
  <c r="C54" i="8"/>
  <c r="D54" i="8"/>
  <c r="E54" i="8"/>
  <c r="F54" i="8"/>
  <c r="C55" i="8"/>
  <c r="D55" i="8"/>
  <c r="E55" i="8"/>
  <c r="F55" i="8"/>
  <c r="C56" i="8"/>
  <c r="D56" i="8"/>
  <c r="E56" i="8"/>
  <c r="F56" i="8"/>
  <c r="C57" i="8"/>
  <c r="D57" i="8"/>
  <c r="E57" i="8"/>
  <c r="F57" i="8"/>
  <c r="C58" i="8"/>
  <c r="D58" i="8"/>
  <c r="E58" i="8"/>
  <c r="F58" i="8"/>
  <c r="C59" i="8"/>
  <c r="D59" i="8"/>
  <c r="E59" i="8"/>
  <c r="F59" i="8"/>
  <c r="C60" i="8"/>
  <c r="D60" i="8"/>
  <c r="E60" i="8"/>
  <c r="F60" i="8"/>
  <c r="C61" i="8"/>
  <c r="D61" i="8"/>
  <c r="E61" i="8"/>
  <c r="F61" i="8"/>
  <c r="C62" i="8"/>
  <c r="D62" i="8"/>
  <c r="E62" i="8"/>
  <c r="F62" i="8"/>
  <c r="C63" i="8"/>
  <c r="D63" i="8"/>
  <c r="E63" i="8"/>
  <c r="F63" i="8"/>
  <c r="C64" i="8"/>
  <c r="D64" i="8"/>
  <c r="E64" i="8"/>
  <c r="F64" i="8"/>
  <c r="C65" i="8"/>
  <c r="D65" i="8"/>
  <c r="E65" i="8"/>
  <c r="F65" i="8"/>
  <c r="C66" i="8"/>
  <c r="D66" i="8"/>
  <c r="E66" i="8"/>
  <c r="F66" i="8"/>
  <c r="C67" i="8"/>
  <c r="D67" i="8"/>
  <c r="E67" i="8"/>
  <c r="F67" i="8"/>
  <c r="C68" i="8"/>
  <c r="D68" i="8"/>
  <c r="E68" i="8"/>
  <c r="F68" i="8"/>
  <c r="C69" i="8"/>
  <c r="D69" i="8"/>
  <c r="E69" i="8"/>
  <c r="F69" i="8"/>
  <c r="C70" i="8"/>
  <c r="D70" i="8"/>
  <c r="E70" i="8"/>
  <c r="F70" i="8"/>
  <c r="C71" i="8"/>
  <c r="D71" i="8"/>
  <c r="E71" i="8"/>
  <c r="F71" i="8"/>
  <c r="C72" i="8"/>
  <c r="D72" i="8"/>
  <c r="E72" i="8"/>
  <c r="F72" i="8"/>
  <c r="C73" i="8"/>
  <c r="D73" i="8"/>
  <c r="E73" i="8"/>
  <c r="F73" i="8"/>
  <c r="C74" i="8"/>
  <c r="D74" i="8"/>
  <c r="E74" i="8"/>
  <c r="F74" i="8"/>
  <c r="F3" i="8"/>
  <c r="E3" i="8"/>
  <c r="D3" i="8"/>
  <c r="C3" i="8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E74" i="9" l="1"/>
  <c r="D74" i="9"/>
  <c r="C74" i="9"/>
  <c r="B74" i="9"/>
  <c r="E73" i="9"/>
  <c r="D73" i="9"/>
  <c r="C73" i="9"/>
  <c r="B73" i="9"/>
  <c r="E72" i="9"/>
  <c r="D72" i="9"/>
  <c r="C72" i="9"/>
  <c r="B72" i="9"/>
  <c r="E71" i="9"/>
  <c r="D71" i="9"/>
  <c r="C71" i="9"/>
  <c r="B71" i="9"/>
  <c r="E70" i="9"/>
  <c r="D70" i="9"/>
  <c r="C70" i="9"/>
  <c r="B70" i="9"/>
  <c r="E69" i="9"/>
  <c r="D69" i="9"/>
  <c r="C69" i="9"/>
  <c r="B69" i="9"/>
  <c r="E68" i="9"/>
  <c r="D68" i="9"/>
  <c r="C68" i="9"/>
  <c r="B68" i="9"/>
  <c r="E67" i="9"/>
  <c r="D67" i="9"/>
  <c r="C67" i="9"/>
  <c r="B67" i="9"/>
  <c r="E66" i="9"/>
  <c r="D66" i="9"/>
  <c r="C66" i="9"/>
  <c r="B66" i="9"/>
  <c r="E65" i="9"/>
  <c r="D65" i="9"/>
  <c r="C65" i="9"/>
  <c r="B65" i="9"/>
  <c r="E64" i="9"/>
  <c r="D64" i="9"/>
  <c r="C64" i="9"/>
  <c r="B64" i="9"/>
  <c r="E63" i="9"/>
  <c r="D63" i="9"/>
  <c r="C63" i="9"/>
  <c r="B63" i="9"/>
  <c r="E62" i="9"/>
  <c r="D62" i="9"/>
  <c r="C62" i="9"/>
  <c r="B62" i="9"/>
  <c r="E61" i="9"/>
  <c r="D61" i="9"/>
  <c r="C61" i="9"/>
  <c r="B61" i="9"/>
  <c r="E60" i="9"/>
  <c r="D60" i="9"/>
  <c r="C60" i="9"/>
  <c r="B60" i="9"/>
  <c r="E59" i="9"/>
  <c r="D59" i="9"/>
  <c r="C59" i="9"/>
  <c r="B59" i="9"/>
  <c r="E58" i="9"/>
  <c r="D58" i="9"/>
  <c r="C58" i="9"/>
  <c r="B58" i="9"/>
  <c r="E57" i="9"/>
  <c r="D57" i="9"/>
  <c r="C57" i="9"/>
  <c r="B57" i="9"/>
  <c r="E56" i="9"/>
  <c r="D56" i="9"/>
  <c r="C56" i="9"/>
  <c r="B56" i="9"/>
  <c r="E55" i="9"/>
  <c r="D55" i="9"/>
  <c r="C55" i="9"/>
  <c r="B55" i="9"/>
  <c r="E54" i="9"/>
  <c r="D54" i="9"/>
  <c r="C54" i="9"/>
  <c r="B54" i="9"/>
  <c r="E53" i="9"/>
  <c r="D53" i="9"/>
  <c r="C53" i="9"/>
  <c r="B53" i="9"/>
  <c r="E52" i="9"/>
  <c r="D52" i="9"/>
  <c r="C52" i="9"/>
  <c r="B52" i="9"/>
  <c r="E51" i="9"/>
  <c r="D51" i="9"/>
  <c r="C51" i="9"/>
  <c r="B51" i="9"/>
  <c r="E50" i="9"/>
  <c r="D50" i="9"/>
  <c r="C50" i="9"/>
  <c r="B50" i="9"/>
  <c r="E49" i="9"/>
  <c r="D49" i="9"/>
  <c r="C49" i="9"/>
  <c r="B49" i="9"/>
  <c r="E48" i="9"/>
  <c r="D48" i="9"/>
  <c r="C48" i="9"/>
  <c r="B48" i="9"/>
  <c r="E47" i="9"/>
  <c r="D47" i="9"/>
  <c r="C47" i="9"/>
  <c r="B47" i="9"/>
  <c r="E46" i="9"/>
  <c r="D46" i="9"/>
  <c r="C46" i="9"/>
  <c r="B46" i="9"/>
  <c r="E45" i="9"/>
  <c r="D45" i="9"/>
  <c r="C45" i="9"/>
  <c r="B45" i="9"/>
  <c r="E44" i="9"/>
  <c r="D44" i="9"/>
  <c r="C44" i="9"/>
  <c r="B44" i="9"/>
  <c r="E43" i="9"/>
  <c r="D43" i="9"/>
  <c r="C43" i="9"/>
  <c r="B43" i="9"/>
  <c r="E42" i="9"/>
  <c r="D42" i="9"/>
  <c r="C42" i="9"/>
  <c r="B42" i="9"/>
  <c r="E41" i="9"/>
  <c r="D41" i="9"/>
  <c r="C41" i="9"/>
  <c r="B41" i="9"/>
  <c r="E40" i="9"/>
  <c r="D40" i="9"/>
  <c r="C40" i="9"/>
  <c r="B40" i="9"/>
  <c r="E39" i="9"/>
  <c r="D39" i="9"/>
  <c r="C39" i="9"/>
  <c r="B39" i="9"/>
  <c r="E38" i="9"/>
  <c r="D38" i="9"/>
  <c r="C38" i="9"/>
  <c r="B38" i="9"/>
  <c r="E37" i="9"/>
  <c r="D37" i="9"/>
  <c r="C37" i="9"/>
  <c r="B37" i="9"/>
  <c r="E36" i="9"/>
  <c r="D36" i="9"/>
  <c r="C36" i="9"/>
  <c r="B36" i="9"/>
  <c r="E35" i="9"/>
  <c r="D35" i="9"/>
  <c r="C35" i="9"/>
  <c r="B35" i="9"/>
  <c r="E34" i="9"/>
  <c r="D34" i="9"/>
  <c r="C34" i="9"/>
  <c r="B34" i="9"/>
  <c r="E33" i="9"/>
  <c r="D33" i="9"/>
  <c r="C33" i="9"/>
  <c r="B33" i="9"/>
  <c r="E32" i="9"/>
  <c r="D32" i="9"/>
  <c r="C32" i="9"/>
  <c r="B32" i="9"/>
  <c r="E31" i="9"/>
  <c r="D31" i="9"/>
  <c r="C31" i="9"/>
  <c r="B31" i="9"/>
  <c r="E30" i="9"/>
  <c r="D30" i="9"/>
  <c r="C30" i="9"/>
  <c r="B30" i="9"/>
  <c r="E29" i="9"/>
  <c r="D29" i="9"/>
  <c r="C29" i="9"/>
  <c r="B29" i="9"/>
  <c r="E28" i="9"/>
  <c r="D28" i="9"/>
  <c r="C28" i="9"/>
  <c r="B28" i="9"/>
  <c r="E27" i="9"/>
  <c r="D27" i="9"/>
  <c r="C27" i="9"/>
  <c r="B27" i="9"/>
  <c r="E26" i="9"/>
  <c r="D26" i="9"/>
  <c r="C26" i="9"/>
  <c r="B26" i="9"/>
  <c r="E25" i="9"/>
  <c r="D25" i="9"/>
  <c r="C25" i="9"/>
  <c r="B25" i="9"/>
  <c r="E24" i="9"/>
  <c r="D24" i="9"/>
  <c r="C24" i="9"/>
  <c r="B24" i="9"/>
  <c r="E23" i="9"/>
  <c r="D23" i="9"/>
  <c r="C23" i="9"/>
  <c r="B23" i="9"/>
  <c r="E22" i="9"/>
  <c r="D22" i="9"/>
  <c r="C22" i="9"/>
  <c r="B22" i="9"/>
  <c r="E21" i="9"/>
  <c r="D21" i="9"/>
  <c r="C21" i="9"/>
  <c r="B21" i="9"/>
  <c r="E20" i="9"/>
  <c r="D20" i="9"/>
  <c r="C20" i="9"/>
  <c r="B20" i="9"/>
  <c r="E19" i="9"/>
  <c r="D19" i="9"/>
  <c r="C19" i="9"/>
  <c r="B19" i="9"/>
  <c r="E18" i="9"/>
  <c r="D18" i="9"/>
  <c r="C18" i="9"/>
  <c r="B18" i="9"/>
  <c r="E17" i="9"/>
  <c r="D17" i="9"/>
  <c r="C17" i="9"/>
  <c r="B17" i="9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E12" i="9"/>
  <c r="D12" i="9"/>
  <c r="C12" i="9"/>
  <c r="B12" i="9"/>
  <c r="E11" i="9"/>
  <c r="D11" i="9"/>
  <c r="C11" i="9"/>
  <c r="B11" i="9"/>
  <c r="E10" i="9"/>
  <c r="D10" i="9"/>
  <c r="C10" i="9"/>
  <c r="B10" i="9"/>
  <c r="E9" i="9"/>
  <c r="D9" i="9"/>
  <c r="C9" i="9"/>
  <c r="B9" i="9"/>
  <c r="E8" i="9"/>
  <c r="D8" i="9"/>
  <c r="C8" i="9"/>
  <c r="B8" i="9"/>
  <c r="E7" i="9"/>
  <c r="D7" i="9"/>
  <c r="C7" i="9"/>
  <c r="B7" i="9"/>
  <c r="E6" i="9"/>
  <c r="D6" i="9"/>
  <c r="C6" i="9"/>
  <c r="B6" i="9"/>
  <c r="E5" i="9"/>
  <c r="D5" i="9"/>
  <c r="C5" i="9"/>
  <c r="B5" i="9"/>
  <c r="E4" i="9"/>
  <c r="D4" i="9"/>
  <c r="C4" i="9"/>
  <c r="B4" i="9"/>
  <c r="E3" i="9"/>
  <c r="D3" i="9"/>
  <c r="C3" i="9"/>
  <c r="B3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404" i="8" l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324" i="8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244" i="8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164" i="8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84" i="8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B394" i="7"/>
  <c r="E74" i="7" s="1"/>
  <c r="B393" i="7"/>
  <c r="E73" i="7" s="1"/>
  <c r="B392" i="7"/>
  <c r="E72" i="7" s="1"/>
  <c r="B391" i="7"/>
  <c r="E71" i="7" s="1"/>
  <c r="B390" i="7"/>
  <c r="E70" i="7" s="1"/>
  <c r="B389" i="7"/>
  <c r="E69" i="7" s="1"/>
  <c r="B388" i="7"/>
  <c r="E68" i="7" s="1"/>
  <c r="B387" i="7"/>
  <c r="E67" i="7" s="1"/>
  <c r="B386" i="7"/>
  <c r="E66" i="7" s="1"/>
  <c r="B385" i="7"/>
  <c r="E65" i="7" s="1"/>
  <c r="B384" i="7"/>
  <c r="E64" i="7" s="1"/>
  <c r="B383" i="7"/>
  <c r="E63" i="7" s="1"/>
  <c r="B382" i="7"/>
  <c r="E62" i="7" s="1"/>
  <c r="B381" i="7"/>
  <c r="E61" i="7" s="1"/>
  <c r="B380" i="7"/>
  <c r="E60" i="7" s="1"/>
  <c r="B379" i="7"/>
  <c r="E59" i="7" s="1"/>
  <c r="B378" i="7"/>
  <c r="E58" i="7" s="1"/>
  <c r="B377" i="7"/>
  <c r="E57" i="7" s="1"/>
  <c r="B376" i="7"/>
  <c r="E56" i="7" s="1"/>
  <c r="B375" i="7"/>
  <c r="E55" i="7" s="1"/>
  <c r="B374" i="7"/>
  <c r="E54" i="7" s="1"/>
  <c r="B373" i="7"/>
  <c r="E53" i="7" s="1"/>
  <c r="B372" i="7"/>
  <c r="E52" i="7" s="1"/>
  <c r="B371" i="7"/>
  <c r="E51" i="7" s="1"/>
  <c r="B370" i="7"/>
  <c r="E50" i="7" s="1"/>
  <c r="B369" i="7"/>
  <c r="E49" i="7" s="1"/>
  <c r="B368" i="7"/>
  <c r="E48" i="7" s="1"/>
  <c r="B367" i="7"/>
  <c r="E47" i="7" s="1"/>
  <c r="B366" i="7"/>
  <c r="E46" i="7" s="1"/>
  <c r="B365" i="7"/>
  <c r="E45" i="7" s="1"/>
  <c r="B364" i="7"/>
  <c r="E44" i="7" s="1"/>
  <c r="B363" i="7"/>
  <c r="E43" i="7" s="1"/>
  <c r="B362" i="7"/>
  <c r="E42" i="7" s="1"/>
  <c r="B361" i="7"/>
  <c r="E41" i="7" s="1"/>
  <c r="B360" i="7"/>
  <c r="E40" i="7" s="1"/>
  <c r="B359" i="7"/>
  <c r="E39" i="7" s="1"/>
  <c r="B358" i="7"/>
  <c r="E38" i="7" s="1"/>
  <c r="B357" i="7"/>
  <c r="E37" i="7" s="1"/>
  <c r="B356" i="7"/>
  <c r="E36" i="7" s="1"/>
  <c r="B355" i="7"/>
  <c r="E35" i="7" s="1"/>
  <c r="B354" i="7"/>
  <c r="E34" i="7" s="1"/>
  <c r="B353" i="7"/>
  <c r="E33" i="7" s="1"/>
  <c r="B352" i="7"/>
  <c r="E32" i="7" s="1"/>
  <c r="B351" i="7"/>
  <c r="E31" i="7" s="1"/>
  <c r="B350" i="7"/>
  <c r="E30" i="7" s="1"/>
  <c r="B349" i="7"/>
  <c r="E29" i="7" s="1"/>
  <c r="B348" i="7"/>
  <c r="E28" i="7" s="1"/>
  <c r="B347" i="7"/>
  <c r="E27" i="7" s="1"/>
  <c r="B346" i="7"/>
  <c r="E26" i="7" s="1"/>
  <c r="B345" i="7"/>
  <c r="E25" i="7" s="1"/>
  <c r="B344" i="7"/>
  <c r="E24" i="7" s="1"/>
  <c r="B343" i="7"/>
  <c r="E23" i="7" s="1"/>
  <c r="B342" i="7"/>
  <c r="E22" i="7" s="1"/>
  <c r="B341" i="7"/>
  <c r="E21" i="7" s="1"/>
  <c r="B340" i="7"/>
  <c r="E20" i="7" s="1"/>
  <c r="B339" i="7"/>
  <c r="E19" i="7" s="1"/>
  <c r="B338" i="7"/>
  <c r="E18" i="7" s="1"/>
  <c r="B337" i="7"/>
  <c r="E17" i="7" s="1"/>
  <c r="B336" i="7"/>
  <c r="E16" i="7" s="1"/>
  <c r="B335" i="7"/>
  <c r="E15" i="7" s="1"/>
  <c r="B334" i="7"/>
  <c r="E14" i="7" s="1"/>
  <c r="B333" i="7"/>
  <c r="E13" i="7" s="1"/>
  <c r="B332" i="7"/>
  <c r="E12" i="7" s="1"/>
  <c r="B331" i="7"/>
  <c r="E11" i="7" s="1"/>
  <c r="B330" i="7"/>
  <c r="E10" i="7" s="1"/>
  <c r="B329" i="7"/>
  <c r="E9" i="7" s="1"/>
  <c r="B328" i="7"/>
  <c r="E8" i="7" s="1"/>
  <c r="B327" i="7"/>
  <c r="E7" i="7" s="1"/>
  <c r="B326" i="7"/>
  <c r="E6" i="7" s="1"/>
  <c r="B325" i="7"/>
  <c r="E5" i="7" s="1"/>
  <c r="A325" i="7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B324" i="7"/>
  <c r="E4" i="7" s="1"/>
  <c r="A324" i="7"/>
  <c r="B323" i="7"/>
  <c r="E3" i="7" s="1"/>
  <c r="B314" i="7"/>
  <c r="D74" i="7" s="1"/>
  <c r="B313" i="7"/>
  <c r="D73" i="7" s="1"/>
  <c r="B312" i="7"/>
  <c r="D72" i="7" s="1"/>
  <c r="B311" i="7"/>
  <c r="D71" i="7" s="1"/>
  <c r="B310" i="7"/>
  <c r="D70" i="7" s="1"/>
  <c r="B309" i="7"/>
  <c r="D69" i="7" s="1"/>
  <c r="B308" i="7"/>
  <c r="D68" i="7" s="1"/>
  <c r="B307" i="7"/>
  <c r="D67" i="7" s="1"/>
  <c r="B306" i="7"/>
  <c r="D66" i="7" s="1"/>
  <c r="B305" i="7"/>
  <c r="D65" i="7" s="1"/>
  <c r="B304" i="7"/>
  <c r="D64" i="7" s="1"/>
  <c r="B303" i="7"/>
  <c r="D63" i="7" s="1"/>
  <c r="B302" i="7"/>
  <c r="D62" i="7" s="1"/>
  <c r="B301" i="7"/>
  <c r="D61" i="7" s="1"/>
  <c r="B300" i="7"/>
  <c r="D60" i="7" s="1"/>
  <c r="B299" i="7"/>
  <c r="D59" i="7" s="1"/>
  <c r="B298" i="7"/>
  <c r="D58" i="7" s="1"/>
  <c r="B297" i="7"/>
  <c r="D57" i="7" s="1"/>
  <c r="B296" i="7"/>
  <c r="D56" i="7" s="1"/>
  <c r="B295" i="7"/>
  <c r="D55" i="7" s="1"/>
  <c r="B294" i="7"/>
  <c r="D54" i="7" s="1"/>
  <c r="B293" i="7"/>
  <c r="D53" i="7" s="1"/>
  <c r="B292" i="7"/>
  <c r="D52" i="7" s="1"/>
  <c r="B291" i="7"/>
  <c r="D51" i="7" s="1"/>
  <c r="B290" i="7"/>
  <c r="D50" i="7" s="1"/>
  <c r="B289" i="7"/>
  <c r="D49" i="7" s="1"/>
  <c r="B288" i="7"/>
  <c r="D48" i="7" s="1"/>
  <c r="B287" i="7"/>
  <c r="D47" i="7" s="1"/>
  <c r="B286" i="7"/>
  <c r="D46" i="7" s="1"/>
  <c r="B285" i="7"/>
  <c r="D45" i="7" s="1"/>
  <c r="B284" i="7"/>
  <c r="D44" i="7" s="1"/>
  <c r="B283" i="7"/>
  <c r="D43" i="7" s="1"/>
  <c r="B282" i="7"/>
  <c r="D42" i="7" s="1"/>
  <c r="B281" i="7"/>
  <c r="D41" i="7" s="1"/>
  <c r="B280" i="7"/>
  <c r="D40" i="7" s="1"/>
  <c r="B279" i="7"/>
  <c r="D39" i="7" s="1"/>
  <c r="B278" i="7"/>
  <c r="D38" i="7" s="1"/>
  <c r="B277" i="7"/>
  <c r="D37" i="7" s="1"/>
  <c r="B276" i="7"/>
  <c r="D36" i="7" s="1"/>
  <c r="B275" i="7"/>
  <c r="D35" i="7" s="1"/>
  <c r="B274" i="7"/>
  <c r="D34" i="7" s="1"/>
  <c r="B273" i="7"/>
  <c r="D33" i="7" s="1"/>
  <c r="B272" i="7"/>
  <c r="D32" i="7" s="1"/>
  <c r="B271" i="7"/>
  <c r="D31" i="7" s="1"/>
  <c r="B270" i="7"/>
  <c r="D30" i="7" s="1"/>
  <c r="B269" i="7"/>
  <c r="D29" i="7" s="1"/>
  <c r="B268" i="7"/>
  <c r="D28" i="7" s="1"/>
  <c r="B267" i="7"/>
  <c r="D27" i="7" s="1"/>
  <c r="B266" i="7"/>
  <c r="D26" i="7" s="1"/>
  <c r="B265" i="7"/>
  <c r="D25" i="7" s="1"/>
  <c r="B264" i="7"/>
  <c r="D24" i="7" s="1"/>
  <c r="B263" i="7"/>
  <c r="D23" i="7" s="1"/>
  <c r="B262" i="7"/>
  <c r="D22" i="7" s="1"/>
  <c r="B261" i="7"/>
  <c r="D21" i="7" s="1"/>
  <c r="B260" i="7"/>
  <c r="D20" i="7" s="1"/>
  <c r="B259" i="7"/>
  <c r="D19" i="7" s="1"/>
  <c r="B258" i="7"/>
  <c r="D18" i="7" s="1"/>
  <c r="B257" i="7"/>
  <c r="D17" i="7" s="1"/>
  <c r="B256" i="7"/>
  <c r="D16" i="7" s="1"/>
  <c r="B255" i="7"/>
  <c r="D15" i="7" s="1"/>
  <c r="B254" i="7"/>
  <c r="D14" i="7" s="1"/>
  <c r="B253" i="7"/>
  <c r="D13" i="7" s="1"/>
  <c r="B252" i="7"/>
  <c r="D12" i="7" s="1"/>
  <c r="B251" i="7"/>
  <c r="D11" i="7" s="1"/>
  <c r="B250" i="7"/>
  <c r="D10" i="7" s="1"/>
  <c r="B249" i="7"/>
  <c r="D9" i="7" s="1"/>
  <c r="B248" i="7"/>
  <c r="D8" i="7" s="1"/>
  <c r="B247" i="7"/>
  <c r="D7" i="7" s="1"/>
  <c r="B246" i="7"/>
  <c r="D6" i="7" s="1"/>
  <c r="B245" i="7"/>
  <c r="D5" i="7" s="1"/>
  <c r="B244" i="7"/>
  <c r="D4" i="7" s="1"/>
  <c r="A244" i="7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B243" i="7"/>
  <c r="D3" i="7" s="1"/>
  <c r="B234" i="7"/>
  <c r="C74" i="7" s="1"/>
  <c r="B233" i="7"/>
  <c r="C73" i="7" s="1"/>
  <c r="B232" i="7"/>
  <c r="C72" i="7" s="1"/>
  <c r="B231" i="7"/>
  <c r="C71" i="7" s="1"/>
  <c r="B230" i="7"/>
  <c r="C70" i="7" s="1"/>
  <c r="B229" i="7"/>
  <c r="C69" i="7" s="1"/>
  <c r="B228" i="7"/>
  <c r="C68" i="7" s="1"/>
  <c r="B227" i="7"/>
  <c r="C67" i="7" s="1"/>
  <c r="B226" i="7"/>
  <c r="C66" i="7" s="1"/>
  <c r="B225" i="7"/>
  <c r="C65" i="7" s="1"/>
  <c r="B224" i="7"/>
  <c r="C64" i="7" s="1"/>
  <c r="B223" i="7"/>
  <c r="C63" i="7" s="1"/>
  <c r="B222" i="7"/>
  <c r="C62" i="7" s="1"/>
  <c r="B221" i="7"/>
  <c r="C61" i="7" s="1"/>
  <c r="B220" i="7"/>
  <c r="C60" i="7" s="1"/>
  <c r="B219" i="7"/>
  <c r="C59" i="7" s="1"/>
  <c r="B218" i="7"/>
  <c r="C58" i="7" s="1"/>
  <c r="B217" i="7"/>
  <c r="C57" i="7" s="1"/>
  <c r="B216" i="7"/>
  <c r="C56" i="7" s="1"/>
  <c r="B215" i="7"/>
  <c r="C55" i="7" s="1"/>
  <c r="B214" i="7"/>
  <c r="C54" i="7" s="1"/>
  <c r="B213" i="7"/>
  <c r="C53" i="7" s="1"/>
  <c r="B212" i="7"/>
  <c r="C52" i="7" s="1"/>
  <c r="B211" i="7"/>
  <c r="C51" i="7" s="1"/>
  <c r="B210" i="7"/>
  <c r="C50" i="7" s="1"/>
  <c r="B209" i="7"/>
  <c r="C49" i="7" s="1"/>
  <c r="B208" i="7"/>
  <c r="C48" i="7" s="1"/>
  <c r="B207" i="7"/>
  <c r="C47" i="7" s="1"/>
  <c r="B206" i="7"/>
  <c r="C46" i="7" s="1"/>
  <c r="B205" i="7"/>
  <c r="C45" i="7" s="1"/>
  <c r="B204" i="7"/>
  <c r="C44" i="7" s="1"/>
  <c r="B203" i="7"/>
  <c r="C43" i="7" s="1"/>
  <c r="B202" i="7"/>
  <c r="C42" i="7" s="1"/>
  <c r="B201" i="7"/>
  <c r="C41" i="7" s="1"/>
  <c r="B200" i="7"/>
  <c r="C40" i="7" s="1"/>
  <c r="B199" i="7"/>
  <c r="C39" i="7" s="1"/>
  <c r="B198" i="7"/>
  <c r="C38" i="7" s="1"/>
  <c r="B197" i="7"/>
  <c r="C37" i="7" s="1"/>
  <c r="B196" i="7"/>
  <c r="C36" i="7" s="1"/>
  <c r="B195" i="7"/>
  <c r="C35" i="7" s="1"/>
  <c r="B194" i="7"/>
  <c r="C34" i="7" s="1"/>
  <c r="B193" i="7"/>
  <c r="C33" i="7" s="1"/>
  <c r="B192" i="7"/>
  <c r="C32" i="7" s="1"/>
  <c r="B191" i="7"/>
  <c r="C31" i="7" s="1"/>
  <c r="B190" i="7"/>
  <c r="C30" i="7" s="1"/>
  <c r="B189" i="7"/>
  <c r="C29" i="7" s="1"/>
  <c r="B188" i="7"/>
  <c r="C28" i="7" s="1"/>
  <c r="B187" i="7"/>
  <c r="C27" i="7" s="1"/>
  <c r="B186" i="7"/>
  <c r="C26" i="7" s="1"/>
  <c r="B185" i="7"/>
  <c r="C25" i="7" s="1"/>
  <c r="B184" i="7"/>
  <c r="C24" i="7" s="1"/>
  <c r="B183" i="7"/>
  <c r="C23" i="7" s="1"/>
  <c r="B182" i="7"/>
  <c r="C22" i="7" s="1"/>
  <c r="B181" i="7"/>
  <c r="C21" i="7" s="1"/>
  <c r="B180" i="7"/>
  <c r="C20" i="7" s="1"/>
  <c r="B179" i="7"/>
  <c r="C19" i="7" s="1"/>
  <c r="B178" i="7"/>
  <c r="C18" i="7" s="1"/>
  <c r="B177" i="7"/>
  <c r="C17" i="7" s="1"/>
  <c r="B176" i="7"/>
  <c r="C16" i="7" s="1"/>
  <c r="B175" i="7"/>
  <c r="C15" i="7" s="1"/>
  <c r="B174" i="7"/>
  <c r="C14" i="7" s="1"/>
  <c r="B173" i="7"/>
  <c r="C13" i="7" s="1"/>
  <c r="B172" i="7"/>
  <c r="C12" i="7" s="1"/>
  <c r="B171" i="7"/>
  <c r="C11" i="7" s="1"/>
  <c r="B170" i="7"/>
  <c r="C10" i="7" s="1"/>
  <c r="B169" i="7"/>
  <c r="C9" i="7" s="1"/>
  <c r="B168" i="7"/>
  <c r="C8" i="7" s="1"/>
  <c r="B167" i="7"/>
  <c r="C7" i="7" s="1"/>
  <c r="B166" i="7"/>
  <c r="C6" i="7" s="1"/>
  <c r="B165" i="7"/>
  <c r="C5" i="7" s="1"/>
  <c r="A165" i="7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B164" i="7"/>
  <c r="C4" i="7" s="1"/>
  <c r="A164" i="7"/>
  <c r="B163" i="7"/>
  <c r="C3" i="7" s="1"/>
  <c r="B84" i="7"/>
  <c r="B4" i="7" s="1"/>
  <c r="B85" i="7"/>
  <c r="B5" i="7" s="1"/>
  <c r="B86" i="7"/>
  <c r="B6" i="7" s="1"/>
  <c r="B87" i="7"/>
  <c r="B7" i="7" s="1"/>
  <c r="B88" i="7"/>
  <c r="B8" i="7" s="1"/>
  <c r="B89" i="7"/>
  <c r="B9" i="7" s="1"/>
  <c r="B90" i="7"/>
  <c r="B10" i="7" s="1"/>
  <c r="B91" i="7"/>
  <c r="B11" i="7" s="1"/>
  <c r="B92" i="7"/>
  <c r="B12" i="7" s="1"/>
  <c r="B93" i="7"/>
  <c r="B13" i="7" s="1"/>
  <c r="B94" i="7"/>
  <c r="B14" i="7" s="1"/>
  <c r="B95" i="7"/>
  <c r="B15" i="7" s="1"/>
  <c r="B96" i="7"/>
  <c r="B16" i="7" s="1"/>
  <c r="B97" i="7"/>
  <c r="B17" i="7" s="1"/>
  <c r="B98" i="7"/>
  <c r="B18" i="7" s="1"/>
  <c r="B99" i="7"/>
  <c r="B19" i="7" s="1"/>
  <c r="B100" i="7"/>
  <c r="B20" i="7" s="1"/>
  <c r="B101" i="7"/>
  <c r="B21" i="7" s="1"/>
  <c r="B102" i="7"/>
  <c r="B22" i="7" s="1"/>
  <c r="B103" i="7"/>
  <c r="B23" i="7" s="1"/>
  <c r="B104" i="7"/>
  <c r="B24" i="7" s="1"/>
  <c r="B105" i="7"/>
  <c r="B25" i="7" s="1"/>
  <c r="B106" i="7"/>
  <c r="B26" i="7" s="1"/>
  <c r="B107" i="7"/>
  <c r="B27" i="7" s="1"/>
  <c r="B108" i="7"/>
  <c r="B28" i="7" s="1"/>
  <c r="B109" i="7"/>
  <c r="B29" i="7" s="1"/>
  <c r="B110" i="7"/>
  <c r="B30" i="7" s="1"/>
  <c r="B111" i="7"/>
  <c r="B31" i="7" s="1"/>
  <c r="B112" i="7"/>
  <c r="B32" i="7" s="1"/>
  <c r="B113" i="7"/>
  <c r="B33" i="7" s="1"/>
  <c r="B114" i="7"/>
  <c r="B34" i="7" s="1"/>
  <c r="B115" i="7"/>
  <c r="B35" i="7" s="1"/>
  <c r="B116" i="7"/>
  <c r="B36" i="7" s="1"/>
  <c r="B117" i="7"/>
  <c r="B37" i="7" s="1"/>
  <c r="B118" i="7"/>
  <c r="B38" i="7" s="1"/>
  <c r="B119" i="7"/>
  <c r="B39" i="7" s="1"/>
  <c r="B120" i="7"/>
  <c r="B40" i="7" s="1"/>
  <c r="B121" i="7"/>
  <c r="B41" i="7" s="1"/>
  <c r="B122" i="7"/>
  <c r="B42" i="7" s="1"/>
  <c r="B123" i="7"/>
  <c r="B43" i="7" s="1"/>
  <c r="B124" i="7"/>
  <c r="B44" i="7" s="1"/>
  <c r="B125" i="7"/>
  <c r="B45" i="7" s="1"/>
  <c r="B126" i="7"/>
  <c r="B46" i="7" s="1"/>
  <c r="B127" i="7"/>
  <c r="B47" i="7" s="1"/>
  <c r="B128" i="7"/>
  <c r="B48" i="7" s="1"/>
  <c r="B129" i="7"/>
  <c r="B49" i="7" s="1"/>
  <c r="B130" i="7"/>
  <c r="B50" i="7" s="1"/>
  <c r="B131" i="7"/>
  <c r="B51" i="7" s="1"/>
  <c r="B132" i="7"/>
  <c r="B52" i="7" s="1"/>
  <c r="B133" i="7"/>
  <c r="B53" i="7" s="1"/>
  <c r="B134" i="7"/>
  <c r="B54" i="7" s="1"/>
  <c r="B135" i="7"/>
  <c r="B55" i="7" s="1"/>
  <c r="B136" i="7"/>
  <c r="B56" i="7" s="1"/>
  <c r="B137" i="7"/>
  <c r="B57" i="7" s="1"/>
  <c r="B138" i="7"/>
  <c r="B58" i="7" s="1"/>
  <c r="B139" i="7"/>
  <c r="B59" i="7" s="1"/>
  <c r="B140" i="7"/>
  <c r="B60" i="7" s="1"/>
  <c r="B141" i="7"/>
  <c r="B61" i="7" s="1"/>
  <c r="B142" i="7"/>
  <c r="B62" i="7" s="1"/>
  <c r="B143" i="7"/>
  <c r="B63" i="7" s="1"/>
  <c r="B144" i="7"/>
  <c r="B64" i="7" s="1"/>
  <c r="B145" i="7"/>
  <c r="B65" i="7" s="1"/>
  <c r="B146" i="7"/>
  <c r="B66" i="7" s="1"/>
  <c r="B147" i="7"/>
  <c r="B67" i="7" s="1"/>
  <c r="B148" i="7"/>
  <c r="B68" i="7" s="1"/>
  <c r="B149" i="7"/>
  <c r="B69" i="7" s="1"/>
  <c r="B150" i="7"/>
  <c r="B70" i="7" s="1"/>
  <c r="B151" i="7"/>
  <c r="B71" i="7" s="1"/>
  <c r="B152" i="7"/>
  <c r="B72" i="7" s="1"/>
  <c r="B153" i="7"/>
  <c r="B73" i="7" s="1"/>
  <c r="B154" i="7"/>
  <c r="B74" i="7" s="1"/>
  <c r="B83" i="7"/>
  <c r="B3" i="7" s="1"/>
  <c r="A84" i="7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G263" i="6" l="1"/>
  <c r="Y263" i="6"/>
  <c r="Q263" i="6"/>
  <c r="I263" i="6"/>
  <c r="A263" i="6"/>
  <c r="AG246" i="6"/>
  <c r="Y246" i="6"/>
  <c r="Q246" i="6"/>
  <c r="I246" i="6"/>
  <c r="A246" i="6"/>
  <c r="Q229" i="6"/>
  <c r="I229" i="6"/>
  <c r="A229" i="6"/>
  <c r="A202" i="6"/>
  <c r="I202" i="6"/>
  <c r="Q202" i="6"/>
  <c r="Y202" i="6"/>
  <c r="AG202" i="6"/>
  <c r="AG185" i="6"/>
  <c r="Y185" i="6"/>
  <c r="Q185" i="6"/>
  <c r="I185" i="6"/>
  <c r="A185" i="6"/>
  <c r="Q168" i="6"/>
  <c r="I168" i="6"/>
  <c r="A168" i="6"/>
  <c r="AG141" i="6"/>
  <c r="Y141" i="6"/>
  <c r="Q141" i="6"/>
  <c r="I141" i="6"/>
  <c r="A141" i="6"/>
  <c r="AG124" i="6"/>
  <c r="Y124" i="6"/>
  <c r="Q124" i="6"/>
  <c r="I124" i="6"/>
  <c r="A124" i="6"/>
  <c r="Q107" i="6"/>
  <c r="I107" i="6"/>
  <c r="A107" i="6"/>
  <c r="A80" i="6"/>
  <c r="I80" i="6"/>
  <c r="Q80" i="6"/>
  <c r="Y80" i="6"/>
  <c r="AG80" i="6"/>
  <c r="AG63" i="6"/>
  <c r="Y63" i="6"/>
  <c r="Q63" i="6"/>
  <c r="I63" i="6"/>
  <c r="Q46" i="6"/>
  <c r="A63" i="6"/>
  <c r="I46" i="6"/>
  <c r="A46" i="6"/>
  <c r="B3" i="3" l="1"/>
  <c r="C217" i="5" l="1"/>
  <c r="B217" i="5"/>
  <c r="C174" i="5"/>
  <c r="B174" i="5"/>
  <c r="D174" i="5" s="1"/>
  <c r="E174" i="5" s="1"/>
  <c r="C160" i="5"/>
  <c r="B160" i="5"/>
  <c r="J167" i="5"/>
  <c r="C159" i="5"/>
  <c r="B159" i="5"/>
  <c r="C145" i="5"/>
  <c r="B145" i="5"/>
  <c r="C144" i="5"/>
  <c r="D144" i="5" s="1"/>
  <c r="F144" i="5" s="1"/>
  <c r="B144" i="5"/>
  <c r="D143" i="5"/>
  <c r="C131" i="5"/>
  <c r="B131" i="5"/>
  <c r="B117" i="5"/>
  <c r="B115" i="5"/>
  <c r="C104" i="5"/>
  <c r="B104" i="5"/>
  <c r="C103" i="5"/>
  <c r="B103" i="5"/>
  <c r="B102" i="5"/>
  <c r="C101" i="5"/>
  <c r="B101" i="5"/>
  <c r="C90" i="5"/>
  <c r="B90" i="5"/>
  <c r="C89" i="5"/>
  <c r="B89" i="5"/>
  <c r="C88" i="5"/>
  <c r="H173" i="5" s="1"/>
  <c r="B88" i="5"/>
  <c r="G173" i="5" s="1"/>
  <c r="C87" i="5"/>
  <c r="D87" i="5" s="1"/>
  <c r="B87" i="5"/>
  <c r="C76" i="5"/>
  <c r="B76" i="5"/>
  <c r="C75" i="5"/>
  <c r="B75" i="5"/>
  <c r="C74" i="5"/>
  <c r="B74" i="5"/>
  <c r="C73" i="5"/>
  <c r="B73" i="5"/>
  <c r="C62" i="5"/>
  <c r="B62" i="5"/>
  <c r="C61" i="5"/>
  <c r="B61" i="5"/>
  <c r="C60" i="5"/>
  <c r="B60" i="5"/>
  <c r="C59" i="5"/>
  <c r="B59" i="5"/>
  <c r="C48" i="5"/>
  <c r="B48" i="5"/>
  <c r="C47" i="5"/>
  <c r="B47" i="5"/>
  <c r="C46" i="5"/>
  <c r="B46" i="5"/>
  <c r="C45" i="5"/>
  <c r="B45" i="5"/>
  <c r="C34" i="5"/>
  <c r="H161" i="5" s="1"/>
  <c r="B34" i="5"/>
  <c r="G161" i="5" s="1"/>
  <c r="C33" i="5"/>
  <c r="H160" i="5" s="1"/>
  <c r="B33" i="5"/>
  <c r="C32" i="5"/>
  <c r="H159" i="5" s="1"/>
  <c r="B32" i="5"/>
  <c r="C31" i="5"/>
  <c r="D31" i="5" s="1"/>
  <c r="F31" i="5" s="1"/>
  <c r="B31" i="5"/>
  <c r="C20" i="5"/>
  <c r="H146" i="5" s="1"/>
  <c r="B20" i="5"/>
  <c r="G146" i="5" s="1"/>
  <c r="C19" i="5"/>
  <c r="H145" i="5" s="1"/>
  <c r="B19" i="5"/>
  <c r="C18" i="5"/>
  <c r="B18" i="5"/>
  <c r="G144" i="5" s="1"/>
  <c r="C17" i="5"/>
  <c r="H143" i="5" s="1"/>
  <c r="B17" i="5"/>
  <c r="G143" i="5" s="1"/>
  <c r="C5" i="5"/>
  <c r="B5" i="5"/>
  <c r="C4" i="5"/>
  <c r="B4" i="5"/>
  <c r="O225" i="5"/>
  <c r="J225" i="5"/>
  <c r="E225" i="5"/>
  <c r="O224" i="5"/>
  <c r="J224" i="5"/>
  <c r="E224" i="5"/>
  <c r="O223" i="5"/>
  <c r="J223" i="5"/>
  <c r="E223" i="5"/>
  <c r="O222" i="5"/>
  <c r="J222" i="5"/>
  <c r="E222" i="5"/>
  <c r="D218" i="5"/>
  <c r="F218" i="5" s="1"/>
  <c r="D216" i="5"/>
  <c r="F216" i="5" s="1"/>
  <c r="D215" i="5"/>
  <c r="S206" i="5"/>
  <c r="R206" i="5"/>
  <c r="Q206" i="5"/>
  <c r="L206" i="5"/>
  <c r="K206" i="5"/>
  <c r="J206" i="5"/>
  <c r="S205" i="5"/>
  <c r="R205" i="5"/>
  <c r="Q205" i="5"/>
  <c r="L205" i="5"/>
  <c r="K205" i="5"/>
  <c r="J205" i="5"/>
  <c r="S204" i="5"/>
  <c r="R204" i="5"/>
  <c r="Q204" i="5"/>
  <c r="L204" i="5"/>
  <c r="K204" i="5"/>
  <c r="J204" i="5"/>
  <c r="S203" i="5"/>
  <c r="R203" i="5"/>
  <c r="Q203" i="5"/>
  <c r="L203" i="5"/>
  <c r="K203" i="5"/>
  <c r="J203" i="5"/>
  <c r="S202" i="5"/>
  <c r="R202" i="5"/>
  <c r="Q202" i="5"/>
  <c r="L202" i="5"/>
  <c r="K202" i="5"/>
  <c r="J202" i="5"/>
  <c r="S201" i="5"/>
  <c r="R201" i="5"/>
  <c r="Q201" i="5"/>
  <c r="L201" i="5"/>
  <c r="K201" i="5"/>
  <c r="J201" i="5"/>
  <c r="S200" i="5"/>
  <c r="R200" i="5"/>
  <c r="Q200" i="5"/>
  <c r="L200" i="5"/>
  <c r="K200" i="5"/>
  <c r="J200" i="5"/>
  <c r="S199" i="5"/>
  <c r="R199" i="5"/>
  <c r="Q199" i="5"/>
  <c r="L199" i="5"/>
  <c r="K199" i="5"/>
  <c r="J199" i="5"/>
  <c r="S198" i="5"/>
  <c r="R198" i="5"/>
  <c r="Q198" i="5"/>
  <c r="L198" i="5"/>
  <c r="K198" i="5"/>
  <c r="J198" i="5"/>
  <c r="E198" i="5"/>
  <c r="D198" i="5"/>
  <c r="C198" i="5"/>
  <c r="S197" i="5"/>
  <c r="R197" i="5"/>
  <c r="Q197" i="5"/>
  <c r="L197" i="5"/>
  <c r="K197" i="5"/>
  <c r="J197" i="5"/>
  <c r="E197" i="5"/>
  <c r="D197" i="5"/>
  <c r="C197" i="5"/>
  <c r="S196" i="5"/>
  <c r="R196" i="5"/>
  <c r="Q196" i="5"/>
  <c r="L196" i="5"/>
  <c r="K196" i="5"/>
  <c r="J196" i="5"/>
  <c r="E196" i="5"/>
  <c r="D196" i="5"/>
  <c r="C196" i="5"/>
  <c r="S195" i="5"/>
  <c r="R195" i="5"/>
  <c r="Q195" i="5"/>
  <c r="L195" i="5"/>
  <c r="K195" i="5"/>
  <c r="J195" i="5"/>
  <c r="E195" i="5"/>
  <c r="D195" i="5"/>
  <c r="C195" i="5"/>
  <c r="S194" i="5"/>
  <c r="R194" i="5"/>
  <c r="Q194" i="5"/>
  <c r="L194" i="5"/>
  <c r="K194" i="5"/>
  <c r="J194" i="5"/>
  <c r="E194" i="5"/>
  <c r="D194" i="5"/>
  <c r="C194" i="5"/>
  <c r="S193" i="5"/>
  <c r="R193" i="5"/>
  <c r="Q193" i="5"/>
  <c r="L193" i="5"/>
  <c r="K193" i="5"/>
  <c r="J193" i="5"/>
  <c r="E193" i="5"/>
  <c r="D193" i="5"/>
  <c r="C193" i="5"/>
  <c r="S192" i="5"/>
  <c r="R192" i="5"/>
  <c r="Q192" i="5"/>
  <c r="L192" i="5"/>
  <c r="K192" i="5"/>
  <c r="J192" i="5"/>
  <c r="E192" i="5"/>
  <c r="D192" i="5"/>
  <c r="C192" i="5"/>
  <c r="S191" i="5"/>
  <c r="S211" i="5" s="1"/>
  <c r="R191" i="5"/>
  <c r="Q191" i="5"/>
  <c r="Q211" i="5" s="1"/>
  <c r="L191" i="5"/>
  <c r="K191" i="5"/>
  <c r="K211" i="5" s="1"/>
  <c r="J191" i="5"/>
  <c r="E191" i="5"/>
  <c r="D191" i="5"/>
  <c r="C191" i="5"/>
  <c r="S190" i="5"/>
  <c r="R190" i="5"/>
  <c r="Q190" i="5"/>
  <c r="L190" i="5"/>
  <c r="K190" i="5"/>
  <c r="J190" i="5"/>
  <c r="E190" i="5"/>
  <c r="D190" i="5"/>
  <c r="C190" i="5"/>
  <c r="S189" i="5"/>
  <c r="S209" i="5" s="1"/>
  <c r="R189" i="5"/>
  <c r="Q189" i="5"/>
  <c r="Q209" i="5" s="1"/>
  <c r="L189" i="5"/>
  <c r="K189" i="5"/>
  <c r="K209" i="5" s="1"/>
  <c r="J189" i="5"/>
  <c r="E189" i="5"/>
  <c r="D189" i="5"/>
  <c r="C189" i="5"/>
  <c r="S188" i="5"/>
  <c r="R188" i="5"/>
  <c r="Q188" i="5"/>
  <c r="L188" i="5"/>
  <c r="K188" i="5"/>
  <c r="J188" i="5"/>
  <c r="E188" i="5"/>
  <c r="D188" i="5"/>
  <c r="C188" i="5"/>
  <c r="S187" i="5"/>
  <c r="R187" i="5"/>
  <c r="Q187" i="5"/>
  <c r="L187" i="5"/>
  <c r="K187" i="5"/>
  <c r="J187" i="5"/>
  <c r="E187" i="5"/>
  <c r="D187" i="5"/>
  <c r="C187" i="5"/>
  <c r="O182" i="5"/>
  <c r="AK226" i="6" s="1"/>
  <c r="J182" i="5"/>
  <c r="AI226" i="6" s="1"/>
  <c r="E182" i="5"/>
  <c r="T202" i="5" s="1"/>
  <c r="O181" i="5"/>
  <c r="AK225" i="6" s="1"/>
  <c r="J181" i="5"/>
  <c r="AI225" i="6" s="1"/>
  <c r="E181" i="5"/>
  <c r="T197" i="5" s="1"/>
  <c r="O180" i="5"/>
  <c r="AK224" i="6" s="1"/>
  <c r="J180" i="5"/>
  <c r="AI224" i="6" s="1"/>
  <c r="E180" i="5"/>
  <c r="T192" i="5" s="1"/>
  <c r="O179" i="5"/>
  <c r="AK223" i="6" s="1"/>
  <c r="J179" i="5"/>
  <c r="AI223" i="6" s="1"/>
  <c r="E179" i="5"/>
  <c r="T187" i="5" s="1"/>
  <c r="T207" i="5" s="1"/>
  <c r="D175" i="5"/>
  <c r="F175" i="5" s="1"/>
  <c r="D173" i="5"/>
  <c r="F173" i="5" s="1"/>
  <c r="G172" i="5"/>
  <c r="D172" i="5"/>
  <c r="O168" i="5"/>
  <c r="J168" i="5"/>
  <c r="E168" i="5"/>
  <c r="M202" i="5" s="1"/>
  <c r="O167" i="5"/>
  <c r="E167" i="5"/>
  <c r="M197" i="5" s="1"/>
  <c r="O166" i="5"/>
  <c r="J166" i="5"/>
  <c r="E166" i="5"/>
  <c r="M192" i="5" s="1"/>
  <c r="O165" i="5"/>
  <c r="J165" i="5"/>
  <c r="O227" i="6" s="1"/>
  <c r="E165" i="5"/>
  <c r="M187" i="5" s="1"/>
  <c r="M207" i="5" s="1"/>
  <c r="D161" i="5"/>
  <c r="F161" i="5" s="1"/>
  <c r="G159" i="5"/>
  <c r="D158" i="5"/>
  <c r="O153" i="5"/>
  <c r="E226" i="6" s="1"/>
  <c r="J153" i="5"/>
  <c r="C226" i="6" s="1"/>
  <c r="E153" i="5"/>
  <c r="F196" i="5" s="1"/>
  <c r="O152" i="5"/>
  <c r="E225" i="6" s="1"/>
  <c r="J152" i="5"/>
  <c r="C225" i="6" s="1"/>
  <c r="E152" i="5"/>
  <c r="F193" i="5" s="1"/>
  <c r="O151" i="5"/>
  <c r="E224" i="6" s="1"/>
  <c r="J151" i="5"/>
  <c r="C224" i="6" s="1"/>
  <c r="E151" i="5"/>
  <c r="F190" i="5" s="1"/>
  <c r="O150" i="5"/>
  <c r="E223" i="6" s="1"/>
  <c r="J150" i="5"/>
  <c r="C223" i="6" s="1"/>
  <c r="E150" i="5"/>
  <c r="F187" i="5" s="1"/>
  <c r="F199" i="5" s="1"/>
  <c r="E146" i="5"/>
  <c r="D146" i="5"/>
  <c r="F146" i="5" s="1"/>
  <c r="O139" i="5"/>
  <c r="BA226" i="6" s="1"/>
  <c r="J139" i="5"/>
  <c r="AY226" i="6" s="1"/>
  <c r="E139" i="5"/>
  <c r="T206" i="5" s="1"/>
  <c r="O138" i="5"/>
  <c r="BA225" i="6" s="1"/>
  <c r="J138" i="5"/>
  <c r="AY225" i="6" s="1"/>
  <c r="E138" i="5"/>
  <c r="T201" i="5" s="1"/>
  <c r="O137" i="5"/>
  <c r="BA224" i="6" s="1"/>
  <c r="J137" i="5"/>
  <c r="AY224" i="6" s="1"/>
  <c r="E137" i="5"/>
  <c r="T196" i="5" s="1"/>
  <c r="O136" i="5"/>
  <c r="BA223" i="6" s="1"/>
  <c r="J136" i="5"/>
  <c r="AY223" i="6" s="1"/>
  <c r="E136" i="5"/>
  <c r="T191" i="5" s="1"/>
  <c r="T211" i="5" s="1"/>
  <c r="D132" i="5"/>
  <c r="F132" i="5" s="1"/>
  <c r="D131" i="5"/>
  <c r="E131" i="5" s="1"/>
  <c r="D130" i="5"/>
  <c r="F130" i="5" s="1"/>
  <c r="D129" i="5"/>
  <c r="O125" i="5"/>
  <c r="AW226" i="6" s="1"/>
  <c r="J125" i="5"/>
  <c r="AU226" i="6" s="1"/>
  <c r="E125" i="5"/>
  <c r="T205" i="5" s="1"/>
  <c r="O124" i="5"/>
  <c r="AW225" i="6" s="1"/>
  <c r="J124" i="5"/>
  <c r="AU225" i="6" s="1"/>
  <c r="E124" i="5"/>
  <c r="T200" i="5" s="1"/>
  <c r="O123" i="5"/>
  <c r="AW224" i="6" s="1"/>
  <c r="J123" i="5"/>
  <c r="AU224" i="6" s="1"/>
  <c r="E123" i="5"/>
  <c r="T195" i="5" s="1"/>
  <c r="O122" i="5"/>
  <c r="AW223" i="6" s="1"/>
  <c r="J122" i="5"/>
  <c r="AU223" i="6" s="1"/>
  <c r="E122" i="5"/>
  <c r="T190" i="5" s="1"/>
  <c r="T210" i="5" s="1"/>
  <c r="D118" i="5"/>
  <c r="F118" i="5" s="1"/>
  <c r="D117" i="5"/>
  <c r="E117" i="5" s="1"/>
  <c r="D116" i="5"/>
  <c r="F116" i="5" s="1"/>
  <c r="D115" i="5"/>
  <c r="O111" i="5"/>
  <c r="AS226" i="6" s="1"/>
  <c r="J111" i="5"/>
  <c r="AQ226" i="6" s="1"/>
  <c r="E111" i="5"/>
  <c r="T204" i="5" s="1"/>
  <c r="O110" i="5"/>
  <c r="AS225" i="6" s="1"/>
  <c r="J110" i="5"/>
  <c r="AQ225" i="6" s="1"/>
  <c r="E110" i="5"/>
  <c r="T199" i="5" s="1"/>
  <c r="O109" i="5"/>
  <c r="AS224" i="6" s="1"/>
  <c r="J109" i="5"/>
  <c r="AQ224" i="6" s="1"/>
  <c r="E109" i="5"/>
  <c r="T194" i="5" s="1"/>
  <c r="O108" i="5"/>
  <c r="AS223" i="6" s="1"/>
  <c r="J108" i="5"/>
  <c r="AQ223" i="6" s="1"/>
  <c r="E108" i="5"/>
  <c r="T189" i="5" s="1"/>
  <c r="T209" i="5" s="1"/>
  <c r="D103" i="5"/>
  <c r="E103" i="5" s="1"/>
  <c r="D102" i="5"/>
  <c r="F102" i="5" s="1"/>
  <c r="O97" i="5"/>
  <c r="AO226" i="6" s="1"/>
  <c r="J97" i="5"/>
  <c r="AM226" i="6" s="1"/>
  <c r="E97" i="5"/>
  <c r="T203" i="5" s="1"/>
  <c r="O96" i="5"/>
  <c r="AO225" i="6" s="1"/>
  <c r="J96" i="5"/>
  <c r="AM225" i="6" s="1"/>
  <c r="E96" i="5"/>
  <c r="T198" i="5" s="1"/>
  <c r="O95" i="5"/>
  <c r="AO224" i="6" s="1"/>
  <c r="J95" i="5"/>
  <c r="AM224" i="6" s="1"/>
  <c r="E95" i="5"/>
  <c r="T193" i="5" s="1"/>
  <c r="O94" i="5"/>
  <c r="AO223" i="6" s="1"/>
  <c r="J94" i="5"/>
  <c r="AM223" i="6" s="1"/>
  <c r="E94" i="5"/>
  <c r="T188" i="5" s="1"/>
  <c r="T208" i="5" s="1"/>
  <c r="D90" i="5"/>
  <c r="F90" i="5" s="1"/>
  <c r="O83" i="5"/>
  <c r="AG226" i="6" s="1"/>
  <c r="J83" i="5"/>
  <c r="AE226" i="6" s="1"/>
  <c r="E83" i="5"/>
  <c r="M206" i="5" s="1"/>
  <c r="O82" i="5"/>
  <c r="AG225" i="6" s="1"/>
  <c r="J82" i="5"/>
  <c r="AE225" i="6" s="1"/>
  <c r="E82" i="5"/>
  <c r="M201" i="5" s="1"/>
  <c r="O81" i="5"/>
  <c r="AG224" i="6" s="1"/>
  <c r="J81" i="5"/>
  <c r="AE224" i="6" s="1"/>
  <c r="E81" i="5"/>
  <c r="M196" i="5" s="1"/>
  <c r="O80" i="5"/>
  <c r="AG223" i="6" s="1"/>
  <c r="J80" i="5"/>
  <c r="AE223" i="6" s="1"/>
  <c r="AE227" i="6" s="1"/>
  <c r="E80" i="5"/>
  <c r="M191" i="5" s="1"/>
  <c r="M211" i="5" s="1"/>
  <c r="O69" i="5"/>
  <c r="AC226" i="6" s="1"/>
  <c r="J69" i="5"/>
  <c r="AA226" i="6" s="1"/>
  <c r="E69" i="5"/>
  <c r="M205" i="5" s="1"/>
  <c r="O68" i="5"/>
  <c r="AC225" i="6" s="1"/>
  <c r="J68" i="5"/>
  <c r="AA225" i="6" s="1"/>
  <c r="E68" i="5"/>
  <c r="M200" i="5" s="1"/>
  <c r="O67" i="5"/>
  <c r="AC224" i="6" s="1"/>
  <c r="J67" i="5"/>
  <c r="AA224" i="6" s="1"/>
  <c r="E67" i="5"/>
  <c r="M195" i="5" s="1"/>
  <c r="O66" i="5"/>
  <c r="AC223" i="6" s="1"/>
  <c r="J66" i="5"/>
  <c r="AA223" i="6" s="1"/>
  <c r="AA227" i="6" s="1"/>
  <c r="E66" i="5"/>
  <c r="M190" i="5" s="1"/>
  <c r="M210" i="5" s="1"/>
  <c r="D61" i="5"/>
  <c r="E61" i="5" s="1"/>
  <c r="D59" i="5"/>
  <c r="O55" i="5"/>
  <c r="Y226" i="6" s="1"/>
  <c r="J55" i="5"/>
  <c r="W226" i="6" s="1"/>
  <c r="E55" i="5"/>
  <c r="M204" i="5" s="1"/>
  <c r="O54" i="5"/>
  <c r="Y225" i="6" s="1"/>
  <c r="J54" i="5"/>
  <c r="W225" i="6" s="1"/>
  <c r="E54" i="5"/>
  <c r="M199" i="5" s="1"/>
  <c r="O53" i="5"/>
  <c r="Y224" i="6" s="1"/>
  <c r="J53" i="5"/>
  <c r="W224" i="6" s="1"/>
  <c r="E53" i="5"/>
  <c r="M194" i="5" s="1"/>
  <c r="O52" i="5"/>
  <c r="Y223" i="6" s="1"/>
  <c r="J52" i="5"/>
  <c r="W223" i="6" s="1"/>
  <c r="E52" i="5"/>
  <c r="M189" i="5" s="1"/>
  <c r="M209" i="5" s="1"/>
  <c r="D45" i="5"/>
  <c r="F45" i="5" s="1"/>
  <c r="O41" i="5"/>
  <c r="U226" i="6" s="1"/>
  <c r="J41" i="5"/>
  <c r="S226" i="6" s="1"/>
  <c r="E41" i="5"/>
  <c r="M203" i="5" s="1"/>
  <c r="O40" i="5"/>
  <c r="U225" i="6" s="1"/>
  <c r="J40" i="5"/>
  <c r="S225" i="6" s="1"/>
  <c r="E40" i="5"/>
  <c r="M198" i="5" s="1"/>
  <c r="O39" i="5"/>
  <c r="U224" i="6" s="1"/>
  <c r="J39" i="5"/>
  <c r="S224" i="6" s="1"/>
  <c r="E39" i="5"/>
  <c r="M193" i="5" s="1"/>
  <c r="O38" i="5"/>
  <c r="U223" i="6" s="1"/>
  <c r="J38" i="5"/>
  <c r="S223" i="6" s="1"/>
  <c r="E38" i="5"/>
  <c r="M188" i="5" s="1"/>
  <c r="M208" i="5" s="1"/>
  <c r="O27" i="5"/>
  <c r="M226" i="6" s="1"/>
  <c r="J27" i="5"/>
  <c r="K226" i="6" s="1"/>
  <c r="E27" i="5"/>
  <c r="F198" i="5" s="1"/>
  <c r="O26" i="5"/>
  <c r="M225" i="6" s="1"/>
  <c r="J26" i="5"/>
  <c r="K225" i="6" s="1"/>
  <c r="E26" i="5"/>
  <c r="F195" i="5" s="1"/>
  <c r="O25" i="5"/>
  <c r="M224" i="6" s="1"/>
  <c r="J25" i="5"/>
  <c r="K224" i="6" s="1"/>
  <c r="E25" i="5"/>
  <c r="F192" i="5" s="1"/>
  <c r="O24" i="5"/>
  <c r="M223" i="6" s="1"/>
  <c r="J24" i="5"/>
  <c r="K223" i="6" s="1"/>
  <c r="E24" i="5"/>
  <c r="F189" i="5" s="1"/>
  <c r="F201" i="5" s="1"/>
  <c r="O13" i="5"/>
  <c r="I226" i="6" s="1"/>
  <c r="J13" i="5"/>
  <c r="G226" i="6" s="1"/>
  <c r="E13" i="5"/>
  <c r="F197" i="5" s="1"/>
  <c r="O12" i="5"/>
  <c r="I225" i="6" s="1"/>
  <c r="J12" i="5"/>
  <c r="G225" i="6" s="1"/>
  <c r="E12" i="5"/>
  <c r="F194" i="5" s="1"/>
  <c r="O11" i="5"/>
  <c r="I224" i="6" s="1"/>
  <c r="J11" i="5"/>
  <c r="G224" i="6" s="1"/>
  <c r="E11" i="5"/>
  <c r="F191" i="5" s="1"/>
  <c r="O10" i="5"/>
  <c r="I223" i="6" s="1"/>
  <c r="J10" i="5"/>
  <c r="G223" i="6" s="1"/>
  <c r="E10" i="5"/>
  <c r="F188" i="5" s="1"/>
  <c r="F200" i="5" s="1"/>
  <c r="D6" i="5"/>
  <c r="F6" i="5" s="1"/>
  <c r="D4" i="5"/>
  <c r="F4" i="5" s="1"/>
  <c r="C174" i="3"/>
  <c r="D174" i="3" s="1"/>
  <c r="F174" i="3" s="1"/>
  <c r="B174" i="3"/>
  <c r="C160" i="3"/>
  <c r="D160" i="3" s="1"/>
  <c r="B160" i="3"/>
  <c r="C159" i="3"/>
  <c r="D159" i="3" s="1"/>
  <c r="E159" i="3" s="1"/>
  <c r="B159" i="3"/>
  <c r="C158" i="3"/>
  <c r="B158" i="3"/>
  <c r="C145" i="3"/>
  <c r="B145" i="3"/>
  <c r="C144" i="3"/>
  <c r="B144" i="3"/>
  <c r="C143" i="3"/>
  <c r="D143" i="3" s="1"/>
  <c r="F143" i="3" s="1"/>
  <c r="B143" i="3"/>
  <c r="C175" i="4"/>
  <c r="B175" i="4"/>
  <c r="C174" i="4"/>
  <c r="D174" i="4" s="1"/>
  <c r="F174" i="4" s="1"/>
  <c r="B174" i="4"/>
  <c r="C173" i="4"/>
  <c r="B173" i="4"/>
  <c r="Q190" i="4"/>
  <c r="Q191" i="4"/>
  <c r="Q192" i="4"/>
  <c r="Q193" i="4"/>
  <c r="J187" i="4"/>
  <c r="J207" i="4" s="1"/>
  <c r="C172" i="4"/>
  <c r="B172" i="4"/>
  <c r="C160" i="4"/>
  <c r="B160" i="4"/>
  <c r="D160" i="4" s="1"/>
  <c r="F160" i="4" s="1"/>
  <c r="B159" i="4"/>
  <c r="C158" i="4"/>
  <c r="B158" i="4"/>
  <c r="B146" i="4"/>
  <c r="D146" i="4" s="1"/>
  <c r="F146" i="4" s="1"/>
  <c r="C145" i="4"/>
  <c r="B145" i="4"/>
  <c r="C144" i="4"/>
  <c r="B144" i="4"/>
  <c r="C143" i="4"/>
  <c r="B143" i="4"/>
  <c r="C130" i="4"/>
  <c r="B130" i="4"/>
  <c r="C129" i="4"/>
  <c r="D129" i="4" s="1"/>
  <c r="B129" i="4"/>
  <c r="E122" i="4"/>
  <c r="J122" i="4"/>
  <c r="AU162" i="6" s="1"/>
  <c r="C103" i="4"/>
  <c r="B103" i="4"/>
  <c r="C101" i="4"/>
  <c r="B101" i="4"/>
  <c r="C89" i="4"/>
  <c r="B89" i="4"/>
  <c r="G174" i="4" s="1"/>
  <c r="C88" i="4"/>
  <c r="H173" i="4" s="1"/>
  <c r="B88" i="4"/>
  <c r="G173" i="4" s="1"/>
  <c r="C87" i="4"/>
  <c r="D87" i="4" s="1"/>
  <c r="F87" i="4" s="1"/>
  <c r="B87" i="4"/>
  <c r="C76" i="4"/>
  <c r="B76" i="4"/>
  <c r="C75" i="4"/>
  <c r="D75" i="4" s="1"/>
  <c r="F75" i="4" s="1"/>
  <c r="B75" i="4"/>
  <c r="C74" i="4"/>
  <c r="B74" i="4"/>
  <c r="C73" i="4"/>
  <c r="B73" i="4"/>
  <c r="C62" i="4"/>
  <c r="B62" i="4"/>
  <c r="D62" i="4" s="1"/>
  <c r="F62" i="4" s="1"/>
  <c r="C61" i="4"/>
  <c r="B61" i="4"/>
  <c r="C60" i="4"/>
  <c r="B60" i="4"/>
  <c r="C59" i="4"/>
  <c r="B59" i="4"/>
  <c r="C48" i="4"/>
  <c r="B48" i="4"/>
  <c r="C47" i="4"/>
  <c r="D47" i="4" s="1"/>
  <c r="F47" i="4" s="1"/>
  <c r="B47" i="4"/>
  <c r="C46" i="4"/>
  <c r="B46" i="4"/>
  <c r="D46" i="4" s="1"/>
  <c r="F46" i="4" s="1"/>
  <c r="C45" i="4"/>
  <c r="B45" i="4"/>
  <c r="C34" i="4"/>
  <c r="B34" i="4"/>
  <c r="D34" i="4" s="1"/>
  <c r="C33" i="4"/>
  <c r="B33" i="4"/>
  <c r="C32" i="4"/>
  <c r="B32" i="4"/>
  <c r="G159" i="4" s="1"/>
  <c r="C31" i="4"/>
  <c r="B31" i="4"/>
  <c r="C20" i="4"/>
  <c r="B20" i="4"/>
  <c r="C19" i="4"/>
  <c r="D19" i="4" s="1"/>
  <c r="F19" i="4" s="1"/>
  <c r="B19" i="4"/>
  <c r="C18" i="4"/>
  <c r="B18" i="4"/>
  <c r="D18" i="4" s="1"/>
  <c r="F18" i="4" s="1"/>
  <c r="C17" i="4"/>
  <c r="B17" i="4"/>
  <c r="C6" i="4"/>
  <c r="B6" i="4"/>
  <c r="G146" i="4" s="1"/>
  <c r="C5" i="4"/>
  <c r="H145" i="4" s="1"/>
  <c r="B5" i="4"/>
  <c r="G145" i="4" s="1"/>
  <c r="C4" i="4"/>
  <c r="B4" i="4"/>
  <c r="C3" i="4"/>
  <c r="H143" i="4" s="1"/>
  <c r="B3" i="4"/>
  <c r="O225" i="4"/>
  <c r="J225" i="4"/>
  <c r="E225" i="4"/>
  <c r="O224" i="4"/>
  <c r="J224" i="4"/>
  <c r="E224" i="4"/>
  <c r="O223" i="4"/>
  <c r="J223" i="4"/>
  <c r="E223" i="4"/>
  <c r="O222" i="4"/>
  <c r="J222" i="4"/>
  <c r="E222" i="4"/>
  <c r="D218" i="4"/>
  <c r="F218" i="4" s="1"/>
  <c r="D217" i="4"/>
  <c r="F217" i="4" s="1"/>
  <c r="D216" i="4"/>
  <c r="F216" i="4" s="1"/>
  <c r="D215" i="4"/>
  <c r="F215" i="4" s="1"/>
  <c r="S206" i="4"/>
  <c r="R206" i="4"/>
  <c r="Q206" i="4"/>
  <c r="L206" i="4"/>
  <c r="K206" i="4"/>
  <c r="J206" i="4"/>
  <c r="S205" i="4"/>
  <c r="R205" i="4"/>
  <c r="Q205" i="4"/>
  <c r="L205" i="4"/>
  <c r="K205" i="4"/>
  <c r="J205" i="4"/>
  <c r="S204" i="4"/>
  <c r="R204" i="4"/>
  <c r="Q204" i="4"/>
  <c r="L204" i="4"/>
  <c r="K204" i="4"/>
  <c r="J204" i="4"/>
  <c r="S203" i="4"/>
  <c r="R203" i="4"/>
  <c r="Q203" i="4"/>
  <c r="L203" i="4"/>
  <c r="K203" i="4"/>
  <c r="J203" i="4"/>
  <c r="S202" i="4"/>
  <c r="R202" i="4"/>
  <c r="Q202" i="4"/>
  <c r="L202" i="4"/>
  <c r="K202" i="4"/>
  <c r="J202" i="4"/>
  <c r="S201" i="4"/>
  <c r="R201" i="4"/>
  <c r="Q201" i="4"/>
  <c r="L201" i="4"/>
  <c r="K201" i="4"/>
  <c r="J201" i="4"/>
  <c r="S200" i="4"/>
  <c r="R200" i="4"/>
  <c r="Q200" i="4"/>
  <c r="L200" i="4"/>
  <c r="K200" i="4"/>
  <c r="J200" i="4"/>
  <c r="S199" i="4"/>
  <c r="R199" i="4"/>
  <c r="Q199" i="4"/>
  <c r="L199" i="4"/>
  <c r="K199" i="4"/>
  <c r="J199" i="4"/>
  <c r="S198" i="4"/>
  <c r="R198" i="4"/>
  <c r="Q198" i="4"/>
  <c r="L198" i="4"/>
  <c r="K198" i="4"/>
  <c r="J198" i="4"/>
  <c r="E198" i="4"/>
  <c r="D198" i="4"/>
  <c r="C198" i="4"/>
  <c r="S197" i="4"/>
  <c r="R197" i="4"/>
  <c r="Q197" i="4"/>
  <c r="L197" i="4"/>
  <c r="K197" i="4"/>
  <c r="J197" i="4"/>
  <c r="E197" i="4"/>
  <c r="D197" i="4"/>
  <c r="C197" i="4"/>
  <c r="S196" i="4"/>
  <c r="R196" i="4"/>
  <c r="Q196" i="4"/>
  <c r="Q211" i="4" s="1"/>
  <c r="L196" i="4"/>
  <c r="K196" i="4"/>
  <c r="J196" i="4"/>
  <c r="E196" i="4"/>
  <c r="D196" i="4"/>
  <c r="C196" i="4"/>
  <c r="S195" i="4"/>
  <c r="R195" i="4"/>
  <c r="Q195" i="4"/>
  <c r="L195" i="4"/>
  <c r="K195" i="4"/>
  <c r="J195" i="4"/>
  <c r="E195" i="4"/>
  <c r="D195" i="4"/>
  <c r="C195" i="4"/>
  <c r="S194" i="4"/>
  <c r="R194" i="4"/>
  <c r="Q194" i="4"/>
  <c r="L194" i="4"/>
  <c r="K194" i="4"/>
  <c r="J194" i="4"/>
  <c r="E194" i="4"/>
  <c r="D194" i="4"/>
  <c r="C194" i="4"/>
  <c r="S193" i="4"/>
  <c r="R193" i="4"/>
  <c r="L193" i="4"/>
  <c r="K193" i="4"/>
  <c r="J193" i="4"/>
  <c r="E193" i="4"/>
  <c r="D193" i="4"/>
  <c r="C193" i="4"/>
  <c r="S192" i="4"/>
  <c r="R192" i="4"/>
  <c r="L192" i="4"/>
  <c r="K192" i="4"/>
  <c r="J192" i="4"/>
  <c r="E192" i="4"/>
  <c r="D192" i="4"/>
  <c r="C192" i="4"/>
  <c r="S191" i="4"/>
  <c r="R191" i="4"/>
  <c r="R211" i="4" s="1"/>
  <c r="L191" i="4"/>
  <c r="L211" i="4" s="1"/>
  <c r="K191" i="4"/>
  <c r="J191" i="4"/>
  <c r="J211" i="4" s="1"/>
  <c r="E191" i="4"/>
  <c r="D191" i="4"/>
  <c r="C191" i="4"/>
  <c r="S190" i="4"/>
  <c r="R190" i="4"/>
  <c r="Q210" i="4"/>
  <c r="L190" i="4"/>
  <c r="L210" i="4" s="1"/>
  <c r="K190" i="4"/>
  <c r="J190" i="4"/>
  <c r="E190" i="4"/>
  <c r="D190" i="4"/>
  <c r="C190" i="4"/>
  <c r="S189" i="4"/>
  <c r="R189" i="4"/>
  <c r="R209" i="4" s="1"/>
  <c r="Q189" i="4"/>
  <c r="L189" i="4"/>
  <c r="L209" i="4" s="1"/>
  <c r="K189" i="4"/>
  <c r="J189" i="4"/>
  <c r="J209" i="4" s="1"/>
  <c r="E189" i="4"/>
  <c r="E201" i="4" s="1"/>
  <c r="D189" i="4"/>
  <c r="D201" i="4" s="1"/>
  <c r="C189" i="4"/>
  <c r="S188" i="4"/>
  <c r="S208" i="4" s="1"/>
  <c r="R188" i="4"/>
  <c r="R208" i="4" s="1"/>
  <c r="Q188" i="4"/>
  <c r="L188" i="4"/>
  <c r="L208" i="4" s="1"/>
  <c r="K188" i="4"/>
  <c r="K208" i="4" s="1"/>
  <c r="J188" i="4"/>
  <c r="J208" i="4" s="1"/>
  <c r="E188" i="4"/>
  <c r="E200" i="4" s="1"/>
  <c r="D188" i="4"/>
  <c r="C188" i="4"/>
  <c r="C200" i="4" s="1"/>
  <c r="S187" i="4"/>
  <c r="R187" i="4"/>
  <c r="R207" i="4" s="1"/>
  <c r="Q187" i="4"/>
  <c r="Q207" i="4" s="1"/>
  <c r="L187" i="4"/>
  <c r="L207" i="4" s="1"/>
  <c r="K187" i="4"/>
  <c r="E187" i="4"/>
  <c r="D187" i="4"/>
  <c r="D199" i="4" s="1"/>
  <c r="C187" i="4"/>
  <c r="O182" i="4"/>
  <c r="AK165" i="6" s="1"/>
  <c r="J182" i="4"/>
  <c r="AI165" i="6" s="1"/>
  <c r="E182" i="4"/>
  <c r="T202" i="4" s="1"/>
  <c r="O181" i="4"/>
  <c r="AK164" i="6" s="1"/>
  <c r="J181" i="4"/>
  <c r="AI164" i="6" s="1"/>
  <c r="E181" i="4"/>
  <c r="T197" i="4" s="1"/>
  <c r="O180" i="4"/>
  <c r="AK163" i="6" s="1"/>
  <c r="J180" i="4"/>
  <c r="AI163" i="6" s="1"/>
  <c r="E180" i="4"/>
  <c r="T192" i="4" s="1"/>
  <c r="O179" i="4"/>
  <c r="AK162" i="6" s="1"/>
  <c r="J179" i="4"/>
  <c r="AI162" i="6" s="1"/>
  <c r="E179" i="4"/>
  <c r="T187" i="4" s="1"/>
  <c r="T207" i="4" s="1"/>
  <c r="H175" i="4"/>
  <c r="G175" i="4"/>
  <c r="D175" i="4"/>
  <c r="F175" i="4" s="1"/>
  <c r="H174" i="4"/>
  <c r="D173" i="4"/>
  <c r="E173" i="4" s="1"/>
  <c r="O168" i="4"/>
  <c r="Q165" i="6" s="1"/>
  <c r="J168" i="4"/>
  <c r="O165" i="6" s="1"/>
  <c r="E168" i="4"/>
  <c r="M202" i="4" s="1"/>
  <c r="O167" i="4"/>
  <c r="Q164" i="6" s="1"/>
  <c r="J167" i="4"/>
  <c r="O164" i="6" s="1"/>
  <c r="E167" i="4"/>
  <c r="M197" i="4" s="1"/>
  <c r="O166" i="4"/>
  <c r="Q163" i="6" s="1"/>
  <c r="J166" i="4"/>
  <c r="O163" i="6" s="1"/>
  <c r="E166" i="4"/>
  <c r="M192" i="4" s="1"/>
  <c r="O165" i="4"/>
  <c r="Q162" i="6" s="1"/>
  <c r="J165" i="4"/>
  <c r="O162" i="6" s="1"/>
  <c r="E165" i="4"/>
  <c r="M187" i="4" s="1"/>
  <c r="M207" i="4" s="1"/>
  <c r="D161" i="4"/>
  <c r="F161" i="4" s="1"/>
  <c r="D159" i="4"/>
  <c r="F159" i="4" s="1"/>
  <c r="O153" i="4"/>
  <c r="E165" i="6" s="1"/>
  <c r="J153" i="4"/>
  <c r="C165" i="6" s="1"/>
  <c r="E153" i="4"/>
  <c r="F196" i="4" s="1"/>
  <c r="O152" i="4"/>
  <c r="E164" i="6" s="1"/>
  <c r="J152" i="4"/>
  <c r="C164" i="6" s="1"/>
  <c r="E152" i="4"/>
  <c r="F193" i="4" s="1"/>
  <c r="O151" i="4"/>
  <c r="E163" i="6" s="1"/>
  <c r="J151" i="4"/>
  <c r="C163" i="6" s="1"/>
  <c r="E151" i="4"/>
  <c r="F190" i="4" s="1"/>
  <c r="O150" i="4"/>
  <c r="E162" i="6" s="1"/>
  <c r="J150" i="4"/>
  <c r="C162" i="6" s="1"/>
  <c r="E150" i="4"/>
  <c r="F187" i="4" s="1"/>
  <c r="F199" i="4" s="1"/>
  <c r="H146" i="4"/>
  <c r="D145" i="4"/>
  <c r="F145" i="4" s="1"/>
  <c r="H144" i="4"/>
  <c r="G143" i="4"/>
  <c r="D143" i="4"/>
  <c r="E143" i="4" s="1"/>
  <c r="O139" i="4"/>
  <c r="BA165" i="6" s="1"/>
  <c r="J139" i="4"/>
  <c r="AY165" i="6" s="1"/>
  <c r="E139" i="4"/>
  <c r="T206" i="4" s="1"/>
  <c r="O138" i="4"/>
  <c r="BA164" i="6" s="1"/>
  <c r="J138" i="4"/>
  <c r="AY164" i="6" s="1"/>
  <c r="E138" i="4"/>
  <c r="T201" i="4" s="1"/>
  <c r="O137" i="4"/>
  <c r="BA163" i="6" s="1"/>
  <c r="J137" i="4"/>
  <c r="AY163" i="6" s="1"/>
  <c r="E137" i="4"/>
  <c r="T196" i="4" s="1"/>
  <c r="O136" i="4"/>
  <c r="BA162" i="6" s="1"/>
  <c r="J136" i="4"/>
  <c r="AY162" i="6" s="1"/>
  <c r="E136" i="4"/>
  <c r="T191" i="4" s="1"/>
  <c r="T211" i="4" s="1"/>
  <c r="D132" i="4"/>
  <c r="F132" i="4" s="1"/>
  <c r="D131" i="4"/>
  <c r="F131" i="4" s="1"/>
  <c r="O125" i="4"/>
  <c r="AW165" i="6" s="1"/>
  <c r="J125" i="4"/>
  <c r="AU165" i="6" s="1"/>
  <c r="E125" i="4"/>
  <c r="T205" i="4" s="1"/>
  <c r="O124" i="4"/>
  <c r="AW164" i="6" s="1"/>
  <c r="J124" i="4"/>
  <c r="AU164" i="6" s="1"/>
  <c r="E124" i="4"/>
  <c r="T200" i="4" s="1"/>
  <c r="O123" i="4"/>
  <c r="AW163" i="6" s="1"/>
  <c r="J123" i="4"/>
  <c r="AU163" i="6" s="1"/>
  <c r="E123" i="4"/>
  <c r="T195" i="4" s="1"/>
  <c r="O122" i="4"/>
  <c r="AW162" i="6" s="1"/>
  <c r="T190" i="4"/>
  <c r="T210" i="4" s="1"/>
  <c r="F118" i="4"/>
  <c r="D118" i="4"/>
  <c r="E118" i="4" s="1"/>
  <c r="D117" i="4"/>
  <c r="F117" i="4" s="1"/>
  <c r="D116" i="4"/>
  <c r="F116" i="4" s="1"/>
  <c r="D115" i="4"/>
  <c r="F115" i="4" s="1"/>
  <c r="O111" i="4"/>
  <c r="AS165" i="6" s="1"/>
  <c r="J111" i="4"/>
  <c r="AQ165" i="6" s="1"/>
  <c r="E111" i="4"/>
  <c r="T204" i="4" s="1"/>
  <c r="O110" i="4"/>
  <c r="AS164" i="6" s="1"/>
  <c r="J110" i="4"/>
  <c r="AQ164" i="6" s="1"/>
  <c r="E110" i="4"/>
  <c r="T199" i="4" s="1"/>
  <c r="O109" i="4"/>
  <c r="AS163" i="6" s="1"/>
  <c r="J109" i="4"/>
  <c r="AQ163" i="6" s="1"/>
  <c r="E109" i="4"/>
  <c r="T194" i="4" s="1"/>
  <c r="O108" i="4"/>
  <c r="AS162" i="6" s="1"/>
  <c r="J108" i="4"/>
  <c r="AQ162" i="6" s="1"/>
  <c r="E108" i="4"/>
  <c r="T189" i="4" s="1"/>
  <c r="T209" i="4" s="1"/>
  <c r="D104" i="4"/>
  <c r="F104" i="4" s="1"/>
  <c r="D103" i="4"/>
  <c r="F103" i="4" s="1"/>
  <c r="D102" i="4"/>
  <c r="F102" i="4" s="1"/>
  <c r="O97" i="4"/>
  <c r="AO165" i="6" s="1"/>
  <c r="J97" i="4"/>
  <c r="AM165" i="6" s="1"/>
  <c r="E97" i="4"/>
  <c r="T203" i="4" s="1"/>
  <c r="O96" i="4"/>
  <c r="AO164" i="6" s="1"/>
  <c r="J96" i="4"/>
  <c r="AM164" i="6" s="1"/>
  <c r="E96" i="4"/>
  <c r="T198" i="4" s="1"/>
  <c r="O95" i="4"/>
  <c r="AO163" i="6" s="1"/>
  <c r="J95" i="4"/>
  <c r="AM163" i="6" s="1"/>
  <c r="E95" i="4"/>
  <c r="T193" i="4" s="1"/>
  <c r="O94" i="4"/>
  <c r="AO162" i="6" s="1"/>
  <c r="J94" i="4"/>
  <c r="AM162" i="6" s="1"/>
  <c r="E94" i="4"/>
  <c r="T188" i="4" s="1"/>
  <c r="T208" i="4" s="1"/>
  <c r="D90" i="4"/>
  <c r="E90" i="4" s="1"/>
  <c r="O83" i="4"/>
  <c r="AG165" i="6" s="1"/>
  <c r="J83" i="4"/>
  <c r="AE165" i="6" s="1"/>
  <c r="E83" i="4"/>
  <c r="M206" i="4" s="1"/>
  <c r="O82" i="4"/>
  <c r="AG164" i="6" s="1"/>
  <c r="J82" i="4"/>
  <c r="AE164" i="6" s="1"/>
  <c r="E82" i="4"/>
  <c r="M201" i="4" s="1"/>
  <c r="O81" i="4"/>
  <c r="AG163" i="6" s="1"/>
  <c r="J81" i="4"/>
  <c r="AE163" i="6" s="1"/>
  <c r="E81" i="4"/>
  <c r="M196" i="4" s="1"/>
  <c r="O80" i="4"/>
  <c r="AG162" i="6" s="1"/>
  <c r="J80" i="4"/>
  <c r="AE162" i="6" s="1"/>
  <c r="AE166" i="6" s="1"/>
  <c r="E80" i="4"/>
  <c r="M191" i="4" s="1"/>
  <c r="M211" i="4" s="1"/>
  <c r="O69" i="4"/>
  <c r="AC165" i="6" s="1"/>
  <c r="J69" i="4"/>
  <c r="AA165" i="6" s="1"/>
  <c r="E69" i="4"/>
  <c r="M205" i="4" s="1"/>
  <c r="O68" i="4"/>
  <c r="AC164" i="6" s="1"/>
  <c r="J68" i="4"/>
  <c r="AA164" i="6" s="1"/>
  <c r="E68" i="4"/>
  <c r="M200" i="4" s="1"/>
  <c r="O67" i="4"/>
  <c r="AC163" i="6" s="1"/>
  <c r="J67" i="4"/>
  <c r="AA163" i="6" s="1"/>
  <c r="E67" i="4"/>
  <c r="M195" i="4" s="1"/>
  <c r="O66" i="4"/>
  <c r="AC162" i="6" s="1"/>
  <c r="J66" i="4"/>
  <c r="AA162" i="6" s="1"/>
  <c r="AA166" i="6" s="1"/>
  <c r="E66" i="4"/>
  <c r="M190" i="4" s="1"/>
  <c r="M210" i="4" s="1"/>
  <c r="D61" i="4"/>
  <c r="F61" i="4" s="1"/>
  <c r="D60" i="4"/>
  <c r="F60" i="4" s="1"/>
  <c r="D59" i="4"/>
  <c r="F59" i="4" s="1"/>
  <c r="O55" i="4"/>
  <c r="Y165" i="6" s="1"/>
  <c r="J55" i="4"/>
  <c r="W165" i="6" s="1"/>
  <c r="E55" i="4"/>
  <c r="M204" i="4" s="1"/>
  <c r="O54" i="4"/>
  <c r="Y164" i="6" s="1"/>
  <c r="J54" i="4"/>
  <c r="W164" i="6" s="1"/>
  <c r="E54" i="4"/>
  <c r="M199" i="4" s="1"/>
  <c r="O53" i="4"/>
  <c r="Y163" i="6" s="1"/>
  <c r="J53" i="4"/>
  <c r="W163" i="6" s="1"/>
  <c r="E53" i="4"/>
  <c r="M194" i="4" s="1"/>
  <c r="O52" i="4"/>
  <c r="Y162" i="6" s="1"/>
  <c r="J52" i="4"/>
  <c r="W162" i="6" s="1"/>
  <c r="E52" i="4"/>
  <c r="M189" i="4" s="1"/>
  <c r="M209" i="4" s="1"/>
  <c r="O41" i="4"/>
  <c r="U165" i="6" s="1"/>
  <c r="J41" i="4"/>
  <c r="S165" i="6" s="1"/>
  <c r="E41" i="4"/>
  <c r="M203" i="4" s="1"/>
  <c r="O40" i="4"/>
  <c r="U164" i="6" s="1"/>
  <c r="J40" i="4"/>
  <c r="S164" i="6" s="1"/>
  <c r="E40" i="4"/>
  <c r="M198" i="4" s="1"/>
  <c r="O39" i="4"/>
  <c r="U163" i="6" s="1"/>
  <c r="J39" i="4"/>
  <c r="S163" i="6" s="1"/>
  <c r="E39" i="4"/>
  <c r="M193" i="4" s="1"/>
  <c r="O38" i="4"/>
  <c r="U162" i="6" s="1"/>
  <c r="J38" i="4"/>
  <c r="S162" i="6" s="1"/>
  <c r="E38" i="4"/>
  <c r="M188" i="4" s="1"/>
  <c r="M208" i="4" s="1"/>
  <c r="O27" i="4"/>
  <c r="M165" i="6" s="1"/>
  <c r="J27" i="4"/>
  <c r="K165" i="6" s="1"/>
  <c r="E27" i="4"/>
  <c r="F198" i="4" s="1"/>
  <c r="O26" i="4"/>
  <c r="M164" i="6" s="1"/>
  <c r="J26" i="4"/>
  <c r="K164" i="6" s="1"/>
  <c r="E26" i="4"/>
  <c r="F195" i="4" s="1"/>
  <c r="O25" i="4"/>
  <c r="M163" i="6" s="1"/>
  <c r="J25" i="4"/>
  <c r="K163" i="6" s="1"/>
  <c r="E25" i="4"/>
  <c r="F192" i="4" s="1"/>
  <c r="O24" i="4"/>
  <c r="M162" i="6" s="1"/>
  <c r="J24" i="4"/>
  <c r="K162" i="6" s="1"/>
  <c r="E24" i="4"/>
  <c r="F189" i="4" s="1"/>
  <c r="F201" i="4" s="1"/>
  <c r="D17" i="4"/>
  <c r="E17" i="4" s="1"/>
  <c r="O13" i="4"/>
  <c r="I165" i="6" s="1"/>
  <c r="J13" i="4"/>
  <c r="G165" i="6" s="1"/>
  <c r="E13" i="4"/>
  <c r="F197" i="4" s="1"/>
  <c r="O12" i="4"/>
  <c r="I164" i="6" s="1"/>
  <c r="J12" i="4"/>
  <c r="G164" i="6" s="1"/>
  <c r="E12" i="4"/>
  <c r="F194" i="4" s="1"/>
  <c r="O11" i="4"/>
  <c r="I163" i="6" s="1"/>
  <c r="J11" i="4"/>
  <c r="G163" i="6" s="1"/>
  <c r="E11" i="4"/>
  <c r="F191" i="4" s="1"/>
  <c r="O10" i="4"/>
  <c r="I162" i="6" s="1"/>
  <c r="J10" i="4"/>
  <c r="G162" i="6" s="1"/>
  <c r="E10" i="4"/>
  <c r="F188" i="4" s="1"/>
  <c r="F200" i="4" s="1"/>
  <c r="D3" i="4"/>
  <c r="E3" i="4" s="1"/>
  <c r="C218" i="3"/>
  <c r="D218" i="3" s="1"/>
  <c r="F218" i="3" s="1"/>
  <c r="B218" i="3"/>
  <c r="C217" i="3"/>
  <c r="B217" i="3"/>
  <c r="C216" i="3"/>
  <c r="D216" i="3" s="1"/>
  <c r="F216" i="3" s="1"/>
  <c r="B216" i="3"/>
  <c r="C215" i="3"/>
  <c r="B215" i="3"/>
  <c r="C132" i="3"/>
  <c r="B132" i="3"/>
  <c r="C131" i="3"/>
  <c r="B131" i="3"/>
  <c r="C130" i="3"/>
  <c r="B130" i="3"/>
  <c r="C129" i="3"/>
  <c r="B129" i="3"/>
  <c r="C118" i="3"/>
  <c r="B118" i="3"/>
  <c r="C117" i="3"/>
  <c r="B117" i="3"/>
  <c r="C116" i="3"/>
  <c r="B116" i="3"/>
  <c r="C115" i="3"/>
  <c r="B115" i="3"/>
  <c r="C104" i="3"/>
  <c r="B104" i="3"/>
  <c r="C103" i="3"/>
  <c r="B103" i="3"/>
  <c r="C102" i="3"/>
  <c r="B102" i="3"/>
  <c r="C101" i="3"/>
  <c r="B101" i="3"/>
  <c r="C90" i="3"/>
  <c r="B90" i="3"/>
  <c r="G175" i="3" s="1"/>
  <c r="C89" i="3"/>
  <c r="H174" i="3" s="1"/>
  <c r="B89" i="3"/>
  <c r="C87" i="3"/>
  <c r="B87" i="3"/>
  <c r="C88" i="3"/>
  <c r="B88" i="3"/>
  <c r="C76" i="3"/>
  <c r="D76" i="3" s="1"/>
  <c r="E76" i="3" s="1"/>
  <c r="B76" i="3"/>
  <c r="C75" i="3"/>
  <c r="B75" i="3"/>
  <c r="C74" i="3"/>
  <c r="B74" i="3"/>
  <c r="C73" i="3"/>
  <c r="D73" i="3" s="1"/>
  <c r="F73" i="3" s="1"/>
  <c r="B73" i="3"/>
  <c r="C62" i="3"/>
  <c r="H161" i="3" s="1"/>
  <c r="B62" i="3"/>
  <c r="C61" i="3"/>
  <c r="B61" i="3"/>
  <c r="C60" i="3"/>
  <c r="D60" i="3" s="1"/>
  <c r="F60" i="3" s="1"/>
  <c r="B60" i="3"/>
  <c r="C59" i="3"/>
  <c r="B59" i="3"/>
  <c r="C47" i="3"/>
  <c r="B47" i="3"/>
  <c r="C45" i="3"/>
  <c r="B45" i="3"/>
  <c r="B34" i="3"/>
  <c r="D34" i="3" s="1"/>
  <c r="E34" i="3" s="1"/>
  <c r="B33" i="3"/>
  <c r="C33" i="3"/>
  <c r="B31" i="3"/>
  <c r="B32" i="3"/>
  <c r="C31" i="3"/>
  <c r="C19" i="3"/>
  <c r="B19" i="3"/>
  <c r="E26" i="3"/>
  <c r="O25" i="3"/>
  <c r="O26" i="3"/>
  <c r="O27" i="3"/>
  <c r="E27" i="3"/>
  <c r="C18" i="3"/>
  <c r="B18" i="3"/>
  <c r="D18" i="3" s="1"/>
  <c r="F18" i="3" s="1"/>
  <c r="C17" i="3"/>
  <c r="B17" i="3"/>
  <c r="C4" i="3"/>
  <c r="B4" i="3"/>
  <c r="G144" i="3" s="1"/>
  <c r="C3" i="3"/>
  <c r="C5" i="3"/>
  <c r="B5" i="3"/>
  <c r="O225" i="3"/>
  <c r="J225" i="3"/>
  <c r="E225" i="3"/>
  <c r="O224" i="3"/>
  <c r="J224" i="3"/>
  <c r="E224" i="3"/>
  <c r="O223" i="3"/>
  <c r="J223" i="3"/>
  <c r="E223" i="3"/>
  <c r="O222" i="3"/>
  <c r="J222" i="3"/>
  <c r="E222" i="3"/>
  <c r="S206" i="3"/>
  <c r="R206" i="3"/>
  <c r="Q206" i="3"/>
  <c r="L206" i="3"/>
  <c r="K206" i="3"/>
  <c r="J206" i="3"/>
  <c r="S205" i="3"/>
  <c r="R205" i="3"/>
  <c r="Q205" i="3"/>
  <c r="L205" i="3"/>
  <c r="K205" i="3"/>
  <c r="J205" i="3"/>
  <c r="S204" i="3"/>
  <c r="R204" i="3"/>
  <c r="Q204" i="3"/>
  <c r="L204" i="3"/>
  <c r="K204" i="3"/>
  <c r="J204" i="3"/>
  <c r="S203" i="3"/>
  <c r="R203" i="3"/>
  <c r="Q203" i="3"/>
  <c r="L203" i="3"/>
  <c r="K203" i="3"/>
  <c r="J203" i="3"/>
  <c r="S202" i="3"/>
  <c r="R202" i="3"/>
  <c r="Q202" i="3"/>
  <c r="L202" i="3"/>
  <c r="K202" i="3"/>
  <c r="J202" i="3"/>
  <c r="S201" i="3"/>
  <c r="R201" i="3"/>
  <c r="Q201" i="3"/>
  <c r="L201" i="3"/>
  <c r="K201" i="3"/>
  <c r="J201" i="3"/>
  <c r="S200" i="3"/>
  <c r="R200" i="3"/>
  <c r="Q200" i="3"/>
  <c r="L200" i="3"/>
  <c r="K200" i="3"/>
  <c r="J200" i="3"/>
  <c r="S199" i="3"/>
  <c r="R199" i="3"/>
  <c r="Q199" i="3"/>
  <c r="L199" i="3"/>
  <c r="K199" i="3"/>
  <c r="J199" i="3"/>
  <c r="S198" i="3"/>
  <c r="R198" i="3"/>
  <c r="Q198" i="3"/>
  <c r="L198" i="3"/>
  <c r="K198" i="3"/>
  <c r="J198" i="3"/>
  <c r="E198" i="3"/>
  <c r="D198" i="3"/>
  <c r="C198" i="3"/>
  <c r="S197" i="3"/>
  <c r="R197" i="3"/>
  <c r="Q197" i="3"/>
  <c r="L197" i="3"/>
  <c r="K197" i="3"/>
  <c r="J197" i="3"/>
  <c r="E197" i="3"/>
  <c r="D197" i="3"/>
  <c r="C197" i="3"/>
  <c r="S196" i="3"/>
  <c r="R196" i="3"/>
  <c r="Q196" i="3"/>
  <c r="L196" i="3"/>
  <c r="K196" i="3"/>
  <c r="J196" i="3"/>
  <c r="E196" i="3"/>
  <c r="D196" i="3"/>
  <c r="C196" i="3"/>
  <c r="S195" i="3"/>
  <c r="R195" i="3"/>
  <c r="Q195" i="3"/>
  <c r="L195" i="3"/>
  <c r="K195" i="3"/>
  <c r="J195" i="3"/>
  <c r="E195" i="3"/>
  <c r="D195" i="3"/>
  <c r="C195" i="3"/>
  <c r="S194" i="3"/>
  <c r="R194" i="3"/>
  <c r="Q194" i="3"/>
  <c r="L194" i="3"/>
  <c r="K194" i="3"/>
  <c r="J194" i="3"/>
  <c r="E194" i="3"/>
  <c r="D194" i="3"/>
  <c r="C194" i="3"/>
  <c r="S193" i="3"/>
  <c r="R193" i="3"/>
  <c r="Q193" i="3"/>
  <c r="L193" i="3"/>
  <c r="K193" i="3"/>
  <c r="J193" i="3"/>
  <c r="E193" i="3"/>
  <c r="D193" i="3"/>
  <c r="C193" i="3"/>
  <c r="S192" i="3"/>
  <c r="R192" i="3"/>
  <c r="Q192" i="3"/>
  <c r="L192" i="3"/>
  <c r="K192" i="3"/>
  <c r="J192" i="3"/>
  <c r="E192" i="3"/>
  <c r="D192" i="3"/>
  <c r="C192" i="3"/>
  <c r="S191" i="3"/>
  <c r="R191" i="3"/>
  <c r="Q191" i="3"/>
  <c r="L191" i="3"/>
  <c r="K191" i="3"/>
  <c r="J191" i="3"/>
  <c r="E191" i="3"/>
  <c r="D191" i="3"/>
  <c r="C191" i="3"/>
  <c r="S190" i="3"/>
  <c r="R190" i="3"/>
  <c r="Q190" i="3"/>
  <c r="L190" i="3"/>
  <c r="K190" i="3"/>
  <c r="J190" i="3"/>
  <c r="E190" i="3"/>
  <c r="D190" i="3"/>
  <c r="C190" i="3"/>
  <c r="S189" i="3"/>
  <c r="R189" i="3"/>
  <c r="Q189" i="3"/>
  <c r="L189" i="3"/>
  <c r="K189" i="3"/>
  <c r="J189" i="3"/>
  <c r="E189" i="3"/>
  <c r="D189" i="3"/>
  <c r="C189" i="3"/>
  <c r="S188" i="3"/>
  <c r="R188" i="3"/>
  <c r="Q188" i="3"/>
  <c r="L188" i="3"/>
  <c r="K188" i="3"/>
  <c r="J188" i="3"/>
  <c r="E188" i="3"/>
  <c r="D188" i="3"/>
  <c r="C188" i="3"/>
  <c r="S187" i="3"/>
  <c r="R187" i="3"/>
  <c r="Q187" i="3"/>
  <c r="L187" i="3"/>
  <c r="K187" i="3"/>
  <c r="J187" i="3"/>
  <c r="E187" i="3"/>
  <c r="D187" i="3"/>
  <c r="C187" i="3"/>
  <c r="O182" i="3"/>
  <c r="J182" i="3"/>
  <c r="E182" i="3"/>
  <c r="O181" i="3"/>
  <c r="J181" i="3"/>
  <c r="E181" i="3"/>
  <c r="O180" i="3"/>
  <c r="J180" i="3"/>
  <c r="E180" i="3"/>
  <c r="O179" i="3"/>
  <c r="J179" i="3"/>
  <c r="E179" i="3"/>
  <c r="D175" i="3"/>
  <c r="F175" i="3" s="1"/>
  <c r="G174" i="3"/>
  <c r="H173" i="3"/>
  <c r="G173" i="3"/>
  <c r="D173" i="3"/>
  <c r="E173" i="3" s="1"/>
  <c r="D172" i="3"/>
  <c r="F172" i="3" s="1"/>
  <c r="O168" i="3"/>
  <c r="J168" i="3"/>
  <c r="E168" i="3"/>
  <c r="O167" i="3"/>
  <c r="J167" i="3"/>
  <c r="E167" i="3"/>
  <c r="O166" i="3"/>
  <c r="J166" i="3"/>
  <c r="E166" i="3"/>
  <c r="O165" i="3"/>
  <c r="J165" i="3"/>
  <c r="E165" i="3"/>
  <c r="D161" i="3"/>
  <c r="F161" i="3" s="1"/>
  <c r="H159" i="3"/>
  <c r="D158" i="3"/>
  <c r="F158" i="3" s="1"/>
  <c r="O153" i="3"/>
  <c r="J153" i="3"/>
  <c r="E153" i="3"/>
  <c r="O152" i="3"/>
  <c r="J152" i="3"/>
  <c r="E152" i="3"/>
  <c r="O151" i="3"/>
  <c r="J151" i="3"/>
  <c r="E151" i="3"/>
  <c r="O150" i="3"/>
  <c r="J150" i="3"/>
  <c r="E150" i="3"/>
  <c r="H146" i="3"/>
  <c r="G146" i="3"/>
  <c r="D146" i="3"/>
  <c r="F146" i="3" s="1"/>
  <c r="H144" i="3"/>
  <c r="D144" i="3"/>
  <c r="E144" i="3" s="1"/>
  <c r="O139" i="3"/>
  <c r="J139" i="3"/>
  <c r="E139" i="3"/>
  <c r="O138" i="3"/>
  <c r="J138" i="3"/>
  <c r="E138" i="3"/>
  <c r="O137" i="3"/>
  <c r="J137" i="3"/>
  <c r="E137" i="3"/>
  <c r="O136" i="3"/>
  <c r="J136" i="3"/>
  <c r="E136" i="3"/>
  <c r="D132" i="3"/>
  <c r="E132" i="3" s="1"/>
  <c r="O125" i="3"/>
  <c r="J125" i="3"/>
  <c r="E125" i="3"/>
  <c r="O124" i="3"/>
  <c r="J124" i="3"/>
  <c r="E124" i="3"/>
  <c r="O123" i="3"/>
  <c r="J123" i="3"/>
  <c r="E123" i="3"/>
  <c r="O122" i="3"/>
  <c r="J122" i="3"/>
  <c r="E122" i="3"/>
  <c r="D118" i="3"/>
  <c r="E118" i="3" s="1"/>
  <c r="O111" i="3"/>
  <c r="J111" i="3"/>
  <c r="E111" i="3"/>
  <c r="O110" i="3"/>
  <c r="J110" i="3"/>
  <c r="E110" i="3"/>
  <c r="O109" i="3"/>
  <c r="J109" i="3"/>
  <c r="E109" i="3"/>
  <c r="O108" i="3"/>
  <c r="J108" i="3"/>
  <c r="E108" i="3"/>
  <c r="D103" i="3"/>
  <c r="O97" i="3"/>
  <c r="J97" i="3"/>
  <c r="E97" i="3"/>
  <c r="O96" i="3"/>
  <c r="J96" i="3"/>
  <c r="E96" i="3"/>
  <c r="O95" i="3"/>
  <c r="J95" i="3"/>
  <c r="E95" i="3"/>
  <c r="O94" i="3"/>
  <c r="J94" i="3"/>
  <c r="E94" i="3"/>
  <c r="O83" i="3"/>
  <c r="J83" i="3"/>
  <c r="E83" i="3"/>
  <c r="O82" i="3"/>
  <c r="J82" i="3"/>
  <c r="E82" i="3"/>
  <c r="O81" i="3"/>
  <c r="J81" i="3"/>
  <c r="E81" i="3"/>
  <c r="O80" i="3"/>
  <c r="J80" i="3"/>
  <c r="E80" i="3"/>
  <c r="D74" i="3"/>
  <c r="F74" i="3" s="1"/>
  <c r="O69" i="3"/>
  <c r="J69" i="3"/>
  <c r="E69" i="3"/>
  <c r="O68" i="3"/>
  <c r="J68" i="3"/>
  <c r="E68" i="3"/>
  <c r="O67" i="3"/>
  <c r="J67" i="3"/>
  <c r="E67" i="3"/>
  <c r="O66" i="3"/>
  <c r="J66" i="3"/>
  <c r="E66" i="3"/>
  <c r="D59" i="3"/>
  <c r="F59" i="3" s="1"/>
  <c r="O55" i="3"/>
  <c r="J55" i="3"/>
  <c r="E55" i="3"/>
  <c r="O54" i="3"/>
  <c r="J54" i="3"/>
  <c r="E54" i="3"/>
  <c r="O53" i="3"/>
  <c r="J53" i="3"/>
  <c r="E53" i="3"/>
  <c r="O52" i="3"/>
  <c r="J52" i="3"/>
  <c r="E52" i="3"/>
  <c r="D48" i="3"/>
  <c r="E48" i="3" s="1"/>
  <c r="D47" i="3"/>
  <c r="F47" i="3" s="1"/>
  <c r="D46" i="3"/>
  <c r="F46" i="3" s="1"/>
  <c r="O41" i="3"/>
  <c r="J41" i="3"/>
  <c r="E41" i="3"/>
  <c r="O40" i="3"/>
  <c r="J40" i="3"/>
  <c r="E40" i="3"/>
  <c r="O39" i="3"/>
  <c r="J39" i="3"/>
  <c r="E39" i="3"/>
  <c r="O38" i="3"/>
  <c r="J38" i="3"/>
  <c r="E38" i="3"/>
  <c r="D33" i="3"/>
  <c r="F33" i="3" s="1"/>
  <c r="D32" i="3"/>
  <c r="F32" i="3" s="1"/>
  <c r="J27" i="3"/>
  <c r="J26" i="3"/>
  <c r="F195" i="3"/>
  <c r="J25" i="3"/>
  <c r="E25" i="3"/>
  <c r="O24" i="3"/>
  <c r="J24" i="3"/>
  <c r="E24" i="3"/>
  <c r="D20" i="3"/>
  <c r="E20" i="3" s="1"/>
  <c r="O13" i="3"/>
  <c r="J13" i="3"/>
  <c r="E13" i="3"/>
  <c r="O12" i="3"/>
  <c r="J12" i="3"/>
  <c r="E12" i="3"/>
  <c r="O11" i="3"/>
  <c r="J11" i="3"/>
  <c r="E11" i="3"/>
  <c r="O10" i="3"/>
  <c r="J10" i="3"/>
  <c r="E10" i="3"/>
  <c r="D6" i="3"/>
  <c r="E6" i="3" s="1"/>
  <c r="O225" i="2"/>
  <c r="J225" i="2"/>
  <c r="E225" i="2"/>
  <c r="O224" i="2"/>
  <c r="J224" i="2"/>
  <c r="E224" i="2"/>
  <c r="O223" i="2"/>
  <c r="J223" i="2"/>
  <c r="E223" i="2"/>
  <c r="O222" i="2"/>
  <c r="J222" i="2"/>
  <c r="E222" i="2"/>
  <c r="D218" i="2"/>
  <c r="F218" i="2" s="1"/>
  <c r="D217" i="2"/>
  <c r="E217" i="2" s="1"/>
  <c r="D216" i="2"/>
  <c r="D215" i="2"/>
  <c r="E215" i="2" s="1"/>
  <c r="S206" i="2"/>
  <c r="R206" i="2"/>
  <c r="Q206" i="2"/>
  <c r="L206" i="2"/>
  <c r="K206" i="2"/>
  <c r="J206" i="2"/>
  <c r="S205" i="2"/>
  <c r="R205" i="2"/>
  <c r="Q205" i="2"/>
  <c r="L205" i="2"/>
  <c r="K205" i="2"/>
  <c r="J205" i="2"/>
  <c r="S204" i="2"/>
  <c r="R204" i="2"/>
  <c r="Q204" i="2"/>
  <c r="L204" i="2"/>
  <c r="K204" i="2"/>
  <c r="J204" i="2"/>
  <c r="S203" i="2"/>
  <c r="R203" i="2"/>
  <c r="Q203" i="2"/>
  <c r="L203" i="2"/>
  <c r="K203" i="2"/>
  <c r="J203" i="2"/>
  <c r="S202" i="2"/>
  <c r="R202" i="2"/>
  <c r="Q202" i="2"/>
  <c r="L202" i="2"/>
  <c r="K202" i="2"/>
  <c r="J202" i="2"/>
  <c r="S201" i="2"/>
  <c r="R201" i="2"/>
  <c r="Q201" i="2"/>
  <c r="L201" i="2"/>
  <c r="K201" i="2"/>
  <c r="J201" i="2"/>
  <c r="S200" i="2"/>
  <c r="R200" i="2"/>
  <c r="Q200" i="2"/>
  <c r="L200" i="2"/>
  <c r="K200" i="2"/>
  <c r="J200" i="2"/>
  <c r="S199" i="2"/>
  <c r="R199" i="2"/>
  <c r="Q199" i="2"/>
  <c r="L199" i="2"/>
  <c r="K199" i="2"/>
  <c r="J199" i="2"/>
  <c r="S198" i="2"/>
  <c r="R198" i="2"/>
  <c r="Q198" i="2"/>
  <c r="L198" i="2"/>
  <c r="K198" i="2"/>
  <c r="J198" i="2"/>
  <c r="E198" i="2"/>
  <c r="D198" i="2"/>
  <c r="C198" i="2"/>
  <c r="S197" i="2"/>
  <c r="R197" i="2"/>
  <c r="Q197" i="2"/>
  <c r="L197" i="2"/>
  <c r="K197" i="2"/>
  <c r="J197" i="2"/>
  <c r="E197" i="2"/>
  <c r="D197" i="2"/>
  <c r="C197" i="2"/>
  <c r="S196" i="2"/>
  <c r="R196" i="2"/>
  <c r="Q196" i="2"/>
  <c r="L196" i="2"/>
  <c r="K196" i="2"/>
  <c r="J196" i="2"/>
  <c r="E196" i="2"/>
  <c r="D196" i="2"/>
  <c r="C196" i="2"/>
  <c r="S195" i="2"/>
  <c r="R195" i="2"/>
  <c r="Q195" i="2"/>
  <c r="L195" i="2"/>
  <c r="K195" i="2"/>
  <c r="J195" i="2"/>
  <c r="E195" i="2"/>
  <c r="D195" i="2"/>
  <c r="C195" i="2"/>
  <c r="S194" i="2"/>
  <c r="R194" i="2"/>
  <c r="Q194" i="2"/>
  <c r="L194" i="2"/>
  <c r="K194" i="2"/>
  <c r="J194" i="2"/>
  <c r="E194" i="2"/>
  <c r="D194" i="2"/>
  <c r="C194" i="2"/>
  <c r="S193" i="2"/>
  <c r="R193" i="2"/>
  <c r="Q193" i="2"/>
  <c r="L193" i="2"/>
  <c r="K193" i="2"/>
  <c r="J193" i="2"/>
  <c r="E193" i="2"/>
  <c r="D193" i="2"/>
  <c r="C193" i="2"/>
  <c r="S192" i="2"/>
  <c r="R192" i="2"/>
  <c r="Q192" i="2"/>
  <c r="L192" i="2"/>
  <c r="K192" i="2"/>
  <c r="J192" i="2"/>
  <c r="E192" i="2"/>
  <c r="D192" i="2"/>
  <c r="C192" i="2"/>
  <c r="S191" i="2"/>
  <c r="S211" i="2" s="1"/>
  <c r="R191" i="2"/>
  <c r="Q191" i="2"/>
  <c r="L191" i="2"/>
  <c r="K191" i="2"/>
  <c r="K211" i="2" s="1"/>
  <c r="J191" i="2"/>
  <c r="E191" i="2"/>
  <c r="D191" i="2"/>
  <c r="C191" i="2"/>
  <c r="S190" i="2"/>
  <c r="R190" i="2"/>
  <c r="Q190" i="2"/>
  <c r="Q210" i="2" s="1"/>
  <c r="L190" i="2"/>
  <c r="K190" i="2"/>
  <c r="J190" i="2"/>
  <c r="E190" i="2"/>
  <c r="D190" i="2"/>
  <c r="C190" i="2"/>
  <c r="S189" i="2"/>
  <c r="R189" i="2"/>
  <c r="Q189" i="2"/>
  <c r="Q209" i="2" s="1"/>
  <c r="L189" i="2"/>
  <c r="K189" i="2"/>
  <c r="K209" i="2" s="1"/>
  <c r="J189" i="2"/>
  <c r="E189" i="2"/>
  <c r="D189" i="2"/>
  <c r="C189" i="2"/>
  <c r="S188" i="2"/>
  <c r="S208" i="2" s="1"/>
  <c r="R188" i="2"/>
  <c r="Q188" i="2"/>
  <c r="L188" i="2"/>
  <c r="K188" i="2"/>
  <c r="K208" i="2" s="1"/>
  <c r="J188" i="2"/>
  <c r="J208" i="2" s="1"/>
  <c r="E188" i="2"/>
  <c r="D188" i="2"/>
  <c r="C188" i="2"/>
  <c r="S187" i="2"/>
  <c r="R187" i="2"/>
  <c r="Q187" i="2"/>
  <c r="L187" i="2"/>
  <c r="K187" i="2"/>
  <c r="K207" i="2" s="1"/>
  <c r="J187" i="2"/>
  <c r="E187" i="2"/>
  <c r="D187" i="2"/>
  <c r="C187" i="2"/>
  <c r="C199" i="2" s="1"/>
  <c r="O182" i="2"/>
  <c r="J182" i="2"/>
  <c r="E182" i="2"/>
  <c r="T202" i="2" s="1"/>
  <c r="O181" i="2"/>
  <c r="J181" i="2"/>
  <c r="E181" i="2"/>
  <c r="T197" i="2" s="1"/>
  <c r="O180" i="2"/>
  <c r="J180" i="2"/>
  <c r="E180" i="2"/>
  <c r="T192" i="2" s="1"/>
  <c r="O179" i="2"/>
  <c r="J179" i="2"/>
  <c r="E179" i="2"/>
  <c r="T187" i="2" s="1"/>
  <c r="D175" i="2"/>
  <c r="F175" i="2" s="1"/>
  <c r="D174" i="2"/>
  <c r="E174" i="2" s="1"/>
  <c r="D172" i="2"/>
  <c r="E172" i="2" s="1"/>
  <c r="O168" i="2"/>
  <c r="J168" i="2"/>
  <c r="E168" i="2"/>
  <c r="M202" i="2" s="1"/>
  <c r="O167" i="2"/>
  <c r="J167" i="2"/>
  <c r="E167" i="2"/>
  <c r="M197" i="2" s="1"/>
  <c r="O166" i="2"/>
  <c r="J166" i="2"/>
  <c r="E166" i="2"/>
  <c r="M192" i="2" s="1"/>
  <c r="O165" i="2"/>
  <c r="J165" i="2"/>
  <c r="E165" i="2"/>
  <c r="M187" i="2" s="1"/>
  <c r="D161" i="2"/>
  <c r="F161" i="2" s="1"/>
  <c r="D160" i="2"/>
  <c r="E160" i="2" s="1"/>
  <c r="D159" i="2"/>
  <c r="F159" i="2" s="1"/>
  <c r="D158" i="2"/>
  <c r="E158" i="2" s="1"/>
  <c r="O153" i="2"/>
  <c r="J153" i="2"/>
  <c r="E153" i="2"/>
  <c r="F196" i="2" s="1"/>
  <c r="O152" i="2"/>
  <c r="J152" i="2"/>
  <c r="E152" i="2"/>
  <c r="F193" i="2" s="1"/>
  <c r="O151" i="2"/>
  <c r="J151" i="2"/>
  <c r="E151" i="2"/>
  <c r="F190" i="2" s="1"/>
  <c r="O150" i="2"/>
  <c r="J150" i="2"/>
  <c r="E150" i="2"/>
  <c r="F187" i="2" s="1"/>
  <c r="D145" i="2"/>
  <c r="E145" i="2" s="1"/>
  <c r="D144" i="2"/>
  <c r="F144" i="2" s="1"/>
  <c r="D143" i="2"/>
  <c r="E143" i="2" s="1"/>
  <c r="O139" i="2"/>
  <c r="J139" i="2"/>
  <c r="E139" i="2"/>
  <c r="T206" i="2" s="1"/>
  <c r="O138" i="2"/>
  <c r="J138" i="2"/>
  <c r="E138" i="2"/>
  <c r="T201" i="2" s="1"/>
  <c r="O137" i="2"/>
  <c r="J137" i="2"/>
  <c r="E137" i="2"/>
  <c r="T196" i="2" s="1"/>
  <c r="O136" i="2"/>
  <c r="J136" i="2"/>
  <c r="E136" i="2"/>
  <c r="T191" i="2" s="1"/>
  <c r="D132" i="2"/>
  <c r="F132" i="2" s="1"/>
  <c r="D131" i="2"/>
  <c r="E131" i="2" s="1"/>
  <c r="D130" i="2"/>
  <c r="F130" i="2" s="1"/>
  <c r="D129" i="2"/>
  <c r="E129" i="2" s="1"/>
  <c r="O125" i="2"/>
  <c r="J125" i="2"/>
  <c r="E125" i="2"/>
  <c r="T205" i="2" s="1"/>
  <c r="O124" i="2"/>
  <c r="J124" i="2"/>
  <c r="E124" i="2"/>
  <c r="T200" i="2" s="1"/>
  <c r="O123" i="2"/>
  <c r="J123" i="2"/>
  <c r="E123" i="2"/>
  <c r="T195" i="2" s="1"/>
  <c r="O122" i="2"/>
  <c r="J122" i="2"/>
  <c r="E122" i="2"/>
  <c r="T190" i="2" s="1"/>
  <c r="T210" i="2" s="1"/>
  <c r="D118" i="2"/>
  <c r="F118" i="2" s="1"/>
  <c r="G174" i="2"/>
  <c r="D116" i="2"/>
  <c r="F116" i="2" s="1"/>
  <c r="D115" i="2"/>
  <c r="F115" i="2" s="1"/>
  <c r="O111" i="2"/>
  <c r="J111" i="2"/>
  <c r="E111" i="2"/>
  <c r="T204" i="2" s="1"/>
  <c r="O110" i="2"/>
  <c r="J110" i="2"/>
  <c r="E110" i="2"/>
  <c r="T199" i="2" s="1"/>
  <c r="O109" i="2"/>
  <c r="J109" i="2"/>
  <c r="E109" i="2"/>
  <c r="T194" i="2" s="1"/>
  <c r="O108" i="2"/>
  <c r="J108" i="2"/>
  <c r="E108" i="2"/>
  <c r="T189" i="2" s="1"/>
  <c r="H175" i="2"/>
  <c r="G175" i="2"/>
  <c r="D103" i="2"/>
  <c r="F103" i="2" s="1"/>
  <c r="D101" i="2"/>
  <c r="F101" i="2" s="1"/>
  <c r="O97" i="2"/>
  <c r="J97" i="2"/>
  <c r="E97" i="2"/>
  <c r="T203" i="2" s="1"/>
  <c r="O96" i="2"/>
  <c r="J96" i="2"/>
  <c r="E96" i="2"/>
  <c r="T198" i="2" s="1"/>
  <c r="O95" i="2"/>
  <c r="J95" i="2"/>
  <c r="E95" i="2"/>
  <c r="T193" i="2" s="1"/>
  <c r="O94" i="2"/>
  <c r="J94" i="2"/>
  <c r="E94" i="2"/>
  <c r="T188" i="2" s="1"/>
  <c r="T208" i="2" s="1"/>
  <c r="D90" i="2"/>
  <c r="E90" i="2" s="1"/>
  <c r="D89" i="2"/>
  <c r="F89" i="2" s="1"/>
  <c r="H173" i="2"/>
  <c r="G173" i="2"/>
  <c r="H172" i="2"/>
  <c r="G172" i="2"/>
  <c r="O83" i="2"/>
  <c r="J83" i="2"/>
  <c r="E83" i="2"/>
  <c r="M206" i="2" s="1"/>
  <c r="O82" i="2"/>
  <c r="J82" i="2"/>
  <c r="E82" i="2"/>
  <c r="M201" i="2" s="1"/>
  <c r="O81" i="2"/>
  <c r="J81" i="2"/>
  <c r="E81" i="2"/>
  <c r="M196" i="2" s="1"/>
  <c r="O80" i="2"/>
  <c r="J80" i="2"/>
  <c r="E80" i="2"/>
  <c r="M191" i="2" s="1"/>
  <c r="D75" i="2"/>
  <c r="E75" i="2" s="1"/>
  <c r="D74" i="2"/>
  <c r="E74" i="2" s="1"/>
  <c r="D73" i="2"/>
  <c r="F73" i="2" s="1"/>
  <c r="O69" i="2"/>
  <c r="J69" i="2"/>
  <c r="E69" i="2"/>
  <c r="M205" i="2" s="1"/>
  <c r="O68" i="2"/>
  <c r="J68" i="2"/>
  <c r="E68" i="2"/>
  <c r="M200" i="2" s="1"/>
  <c r="O67" i="2"/>
  <c r="J67" i="2"/>
  <c r="E67" i="2"/>
  <c r="M195" i="2" s="1"/>
  <c r="O66" i="2"/>
  <c r="J66" i="2"/>
  <c r="E66" i="2"/>
  <c r="M190" i="2" s="1"/>
  <c r="D62" i="2"/>
  <c r="F62" i="2" s="1"/>
  <c r="D61" i="2"/>
  <c r="E61" i="2" s="1"/>
  <c r="D59" i="2"/>
  <c r="F59" i="2" s="1"/>
  <c r="O55" i="2"/>
  <c r="J55" i="2"/>
  <c r="E55" i="2"/>
  <c r="M204" i="2" s="1"/>
  <c r="O54" i="2"/>
  <c r="J54" i="2"/>
  <c r="E54" i="2"/>
  <c r="M199" i="2" s="1"/>
  <c r="O53" i="2"/>
  <c r="J53" i="2"/>
  <c r="E53" i="2"/>
  <c r="M194" i="2" s="1"/>
  <c r="O52" i="2"/>
  <c r="J52" i="2"/>
  <c r="E52" i="2"/>
  <c r="M189" i="2" s="1"/>
  <c r="M209" i="2" s="1"/>
  <c r="D47" i="2"/>
  <c r="F47" i="2" s="1"/>
  <c r="D46" i="2"/>
  <c r="F46" i="2" s="1"/>
  <c r="D45" i="2"/>
  <c r="F45" i="2" s="1"/>
  <c r="O41" i="2"/>
  <c r="J41" i="2"/>
  <c r="E41" i="2"/>
  <c r="M203" i="2" s="1"/>
  <c r="O40" i="2"/>
  <c r="J40" i="2"/>
  <c r="E40" i="2"/>
  <c r="M198" i="2" s="1"/>
  <c r="O39" i="2"/>
  <c r="J39" i="2"/>
  <c r="E39" i="2"/>
  <c r="M193" i="2" s="1"/>
  <c r="O38" i="2"/>
  <c r="J38" i="2"/>
  <c r="E38" i="2"/>
  <c r="M188" i="2" s="1"/>
  <c r="M208" i="2" s="1"/>
  <c r="G161" i="2"/>
  <c r="D33" i="2"/>
  <c r="F33" i="2" s="1"/>
  <c r="H160" i="2"/>
  <c r="G159" i="2"/>
  <c r="D31" i="2"/>
  <c r="F31" i="2" s="1"/>
  <c r="H158" i="2"/>
  <c r="O27" i="2"/>
  <c r="J27" i="2"/>
  <c r="E27" i="2"/>
  <c r="F198" i="2" s="1"/>
  <c r="O26" i="2"/>
  <c r="J26" i="2"/>
  <c r="E26" i="2"/>
  <c r="F195" i="2" s="1"/>
  <c r="O25" i="2"/>
  <c r="J25" i="2"/>
  <c r="E25" i="2"/>
  <c r="F192" i="2" s="1"/>
  <c r="O24" i="2"/>
  <c r="J24" i="2"/>
  <c r="E24" i="2"/>
  <c r="F189" i="2" s="1"/>
  <c r="D18" i="2"/>
  <c r="F18" i="2" s="1"/>
  <c r="D17" i="2"/>
  <c r="F17" i="2"/>
  <c r="E17" i="2"/>
  <c r="O13" i="2"/>
  <c r="J13" i="2"/>
  <c r="E13" i="2"/>
  <c r="F197" i="2" s="1"/>
  <c r="O12" i="2"/>
  <c r="J12" i="2"/>
  <c r="E12" i="2"/>
  <c r="F194" i="2" s="1"/>
  <c r="O11" i="2"/>
  <c r="J11" i="2"/>
  <c r="E11" i="2"/>
  <c r="F191" i="2" s="1"/>
  <c r="O10" i="2"/>
  <c r="J10" i="2"/>
  <c r="E10" i="2"/>
  <c r="F188" i="2" s="1"/>
  <c r="H146" i="2"/>
  <c r="G146" i="2"/>
  <c r="H145" i="2"/>
  <c r="G145" i="2"/>
  <c r="H144" i="2"/>
  <c r="G144" i="2"/>
  <c r="H143" i="2"/>
  <c r="G143" i="2"/>
  <c r="U166" i="6" l="1"/>
  <c r="AI166" i="6"/>
  <c r="AS227" i="6"/>
  <c r="AW227" i="6"/>
  <c r="BA227" i="6"/>
  <c r="G166" i="6"/>
  <c r="BA166" i="6"/>
  <c r="H226" i="6"/>
  <c r="G104" i="6"/>
  <c r="J223" i="6"/>
  <c r="I101" i="6"/>
  <c r="M193" i="3"/>
  <c r="N102" i="6"/>
  <c r="F23" i="6"/>
  <c r="M189" i="3"/>
  <c r="G22" i="6"/>
  <c r="Q101" i="6"/>
  <c r="X225" i="6"/>
  <c r="S103" i="6"/>
  <c r="Z225" i="6"/>
  <c r="U103" i="6"/>
  <c r="AF224" i="6"/>
  <c r="Y102" i="6"/>
  <c r="AL224" i="6"/>
  <c r="AD102" i="6"/>
  <c r="T194" i="3"/>
  <c r="AF102" i="6"/>
  <c r="L23" i="6"/>
  <c r="AV223" i="6"/>
  <c r="AK101" i="6"/>
  <c r="AX223" i="6"/>
  <c r="AM101" i="6"/>
  <c r="T206" i="3"/>
  <c r="AL104" i="6"/>
  <c r="N25" i="6"/>
  <c r="D226" i="6"/>
  <c r="D104" i="6"/>
  <c r="L103" i="6"/>
  <c r="AJ226" i="6"/>
  <c r="AB104" i="6"/>
  <c r="J207" i="2"/>
  <c r="R207" i="2"/>
  <c r="E200" i="2"/>
  <c r="Q208" i="2"/>
  <c r="D201" i="2"/>
  <c r="L209" i="2"/>
  <c r="K210" i="2"/>
  <c r="S210" i="2"/>
  <c r="J211" i="2"/>
  <c r="R211" i="2"/>
  <c r="H223" i="6"/>
  <c r="G101" i="6"/>
  <c r="F194" i="3"/>
  <c r="E103" i="6"/>
  <c r="C24" i="6"/>
  <c r="F226" i="6"/>
  <c r="F104" i="6"/>
  <c r="F189" i="3"/>
  <c r="H101" i="6"/>
  <c r="D22" i="6"/>
  <c r="J224" i="6"/>
  <c r="I102" i="6"/>
  <c r="T223" i="6"/>
  <c r="P101" i="6"/>
  <c r="M198" i="3"/>
  <c r="N103" i="6"/>
  <c r="F24" i="6"/>
  <c r="R226" i="6"/>
  <c r="O104" i="6"/>
  <c r="M194" i="3"/>
  <c r="Q102" i="6"/>
  <c r="G23" i="6"/>
  <c r="V225" i="6"/>
  <c r="R103" i="6"/>
  <c r="X226" i="6"/>
  <c r="S104" i="6"/>
  <c r="AB223" i="6"/>
  <c r="V101" i="6"/>
  <c r="M200" i="3"/>
  <c r="H24" i="6"/>
  <c r="T103" i="6"/>
  <c r="Z226" i="6"/>
  <c r="U104" i="6"/>
  <c r="M191" i="3"/>
  <c r="W101" i="6"/>
  <c r="I22" i="6"/>
  <c r="AD224" i="6"/>
  <c r="X102" i="6"/>
  <c r="AF225" i="6"/>
  <c r="Y103" i="6"/>
  <c r="D89" i="3"/>
  <c r="F89" i="3" s="1"/>
  <c r="T193" i="3"/>
  <c r="AC102" i="6"/>
  <c r="K23" i="6"/>
  <c r="AL225" i="6"/>
  <c r="AD103" i="6"/>
  <c r="AN226" i="6"/>
  <c r="AE104" i="6"/>
  <c r="AR223" i="6"/>
  <c r="AH101" i="6"/>
  <c r="T199" i="3"/>
  <c r="L24" i="6"/>
  <c r="AF103" i="6"/>
  <c r="AP226" i="6"/>
  <c r="AG104" i="6"/>
  <c r="AT223" i="6"/>
  <c r="AJ101" i="6"/>
  <c r="AV224" i="6"/>
  <c r="AK102" i="6"/>
  <c r="T205" i="3"/>
  <c r="AI104" i="6"/>
  <c r="M25" i="6"/>
  <c r="T191" i="3"/>
  <c r="AL101" i="6"/>
  <c r="N22" i="6"/>
  <c r="AX224" i="6"/>
  <c r="AM102" i="6"/>
  <c r="AZ225" i="6"/>
  <c r="AN103" i="6"/>
  <c r="D223" i="6"/>
  <c r="D101" i="6"/>
  <c r="F193" i="3"/>
  <c r="B103" i="6"/>
  <c r="B24" i="6"/>
  <c r="B226" i="6"/>
  <c r="C104" i="6"/>
  <c r="M101" i="6"/>
  <c r="M197" i="3"/>
  <c r="K103" i="6"/>
  <c r="E24" i="6"/>
  <c r="L104" i="6"/>
  <c r="AJ223" i="6"/>
  <c r="AB101" i="6"/>
  <c r="T197" i="3"/>
  <c r="Z103" i="6"/>
  <c r="J24" i="6"/>
  <c r="AH226" i="6"/>
  <c r="AA104" i="6"/>
  <c r="L226" i="6"/>
  <c r="J104" i="6"/>
  <c r="G145" i="3"/>
  <c r="D129" i="3"/>
  <c r="F129" i="3" s="1"/>
  <c r="M166" i="6"/>
  <c r="S166" i="6"/>
  <c r="W166" i="6"/>
  <c r="D88" i="4"/>
  <c r="F88" i="4" s="1"/>
  <c r="AO166" i="6"/>
  <c r="AY166" i="6"/>
  <c r="E166" i="6"/>
  <c r="Q166" i="6"/>
  <c r="C199" i="4"/>
  <c r="K207" i="4"/>
  <c r="S207" i="4"/>
  <c r="Q209" i="4"/>
  <c r="K211" i="4"/>
  <c r="S211" i="4"/>
  <c r="Y227" i="6"/>
  <c r="AQ227" i="6"/>
  <c r="AU227" i="6"/>
  <c r="AY227" i="6"/>
  <c r="E227" i="6"/>
  <c r="AI227" i="6"/>
  <c r="F225" i="6"/>
  <c r="F103" i="6"/>
  <c r="T226" i="6"/>
  <c r="P104" i="6"/>
  <c r="AB226" i="6"/>
  <c r="V104" i="6"/>
  <c r="M206" i="3"/>
  <c r="W104" i="6"/>
  <c r="I25" i="6"/>
  <c r="AN225" i="6"/>
  <c r="AE103" i="6"/>
  <c r="AP225" i="6"/>
  <c r="AG103" i="6"/>
  <c r="AT226" i="6"/>
  <c r="AJ104" i="6"/>
  <c r="B225" i="6"/>
  <c r="C103" i="6"/>
  <c r="M192" i="3"/>
  <c r="K102" i="6"/>
  <c r="E23" i="6"/>
  <c r="M104" i="6"/>
  <c r="T192" i="3"/>
  <c r="J23" i="6"/>
  <c r="Z102" i="6"/>
  <c r="J209" i="2"/>
  <c r="F188" i="3"/>
  <c r="E101" i="6"/>
  <c r="C22" i="6"/>
  <c r="F224" i="6"/>
  <c r="F102" i="6"/>
  <c r="H225" i="6"/>
  <c r="G103" i="6"/>
  <c r="L223" i="6"/>
  <c r="J101" i="6"/>
  <c r="J225" i="6"/>
  <c r="I103" i="6"/>
  <c r="M188" i="3"/>
  <c r="N101" i="6"/>
  <c r="F22" i="6"/>
  <c r="R224" i="6"/>
  <c r="O102" i="6"/>
  <c r="T225" i="6"/>
  <c r="P103" i="6"/>
  <c r="V223" i="6"/>
  <c r="R101" i="6"/>
  <c r="X224" i="6"/>
  <c r="S102" i="6"/>
  <c r="M204" i="3"/>
  <c r="G25" i="6"/>
  <c r="Q104" i="6"/>
  <c r="M190" i="3"/>
  <c r="T101" i="6"/>
  <c r="H22" i="6"/>
  <c r="Z224" i="6"/>
  <c r="U102" i="6"/>
  <c r="AB225" i="6"/>
  <c r="V103" i="6"/>
  <c r="AF223" i="6"/>
  <c r="Y101" i="6"/>
  <c r="M201" i="3"/>
  <c r="W103" i="6"/>
  <c r="I24" i="6"/>
  <c r="AD226" i="6"/>
  <c r="X104" i="6"/>
  <c r="AL223" i="6"/>
  <c r="AD101" i="6"/>
  <c r="AN224" i="6"/>
  <c r="AE102" i="6"/>
  <c r="T203" i="3"/>
  <c r="AC104" i="6"/>
  <c r="K25" i="6"/>
  <c r="T189" i="3"/>
  <c r="AF101" i="6"/>
  <c r="L22" i="6"/>
  <c r="AP224" i="6"/>
  <c r="AG102" i="6"/>
  <c r="AR225" i="6"/>
  <c r="AH103" i="6"/>
  <c r="T195" i="3"/>
  <c r="AI102" i="6"/>
  <c r="M23" i="6"/>
  <c r="AT225" i="6"/>
  <c r="AJ103" i="6"/>
  <c r="AV226" i="6"/>
  <c r="AK104" i="6"/>
  <c r="AZ223" i="6"/>
  <c r="AN101" i="6"/>
  <c r="T201" i="3"/>
  <c r="AL103" i="6"/>
  <c r="N24" i="6"/>
  <c r="AX226" i="6"/>
  <c r="AM104" i="6"/>
  <c r="F187" i="3"/>
  <c r="B101" i="6"/>
  <c r="B22" i="6"/>
  <c r="B224" i="6"/>
  <c r="C102" i="6"/>
  <c r="D225" i="6"/>
  <c r="D103" i="6"/>
  <c r="M187" i="3"/>
  <c r="K101" i="6"/>
  <c r="E22" i="6"/>
  <c r="L102" i="6"/>
  <c r="M103" i="6"/>
  <c r="T187" i="3"/>
  <c r="J22" i="6"/>
  <c r="Z101" i="6"/>
  <c r="AH224" i="6"/>
  <c r="AA102" i="6"/>
  <c r="AJ225" i="6"/>
  <c r="AB103" i="6"/>
  <c r="C199" i="3"/>
  <c r="K207" i="3"/>
  <c r="Q209" i="3"/>
  <c r="L224" i="6"/>
  <c r="J102" i="6"/>
  <c r="D32" i="4"/>
  <c r="F32" i="4" s="1"/>
  <c r="Y166" i="6"/>
  <c r="AC166" i="6"/>
  <c r="AG166" i="6"/>
  <c r="AM166" i="6"/>
  <c r="AQ166" i="6"/>
  <c r="AK166" i="6"/>
  <c r="E199" i="4"/>
  <c r="D200" i="4"/>
  <c r="C201" i="4"/>
  <c r="K209" i="4"/>
  <c r="S209" i="4"/>
  <c r="J210" i="4"/>
  <c r="R210" i="4"/>
  <c r="E218" i="4"/>
  <c r="G227" i="6"/>
  <c r="K227" i="6"/>
  <c r="S227" i="6"/>
  <c r="AC227" i="6"/>
  <c r="AG227" i="6"/>
  <c r="AM227" i="6"/>
  <c r="AK227" i="6"/>
  <c r="E199" i="5"/>
  <c r="Q207" i="5"/>
  <c r="D200" i="5"/>
  <c r="L208" i="5"/>
  <c r="C201" i="5"/>
  <c r="J210" i="5"/>
  <c r="R210" i="5"/>
  <c r="F191" i="3"/>
  <c r="E102" i="6"/>
  <c r="C23" i="6"/>
  <c r="R225" i="6"/>
  <c r="O103" i="6"/>
  <c r="V224" i="6"/>
  <c r="R102" i="6"/>
  <c r="M195" i="3"/>
  <c r="T102" i="6"/>
  <c r="H23" i="6"/>
  <c r="AD223" i="6"/>
  <c r="X101" i="6"/>
  <c r="T188" i="3"/>
  <c r="AC101" i="6"/>
  <c r="K22" i="6"/>
  <c r="AR226" i="6"/>
  <c r="AH104" i="6"/>
  <c r="T200" i="3"/>
  <c r="AI103" i="6"/>
  <c r="M24" i="6"/>
  <c r="AZ224" i="6"/>
  <c r="AN102" i="6"/>
  <c r="F190" i="3"/>
  <c r="B23" i="6"/>
  <c r="B102" i="6"/>
  <c r="AH225" i="6"/>
  <c r="AA103" i="6"/>
  <c r="L225" i="6"/>
  <c r="J103" i="6"/>
  <c r="AU166" i="6"/>
  <c r="E199" i="2"/>
  <c r="L208" i="2"/>
  <c r="C201" i="2"/>
  <c r="F223" i="6"/>
  <c r="F227" i="6" s="1"/>
  <c r="F101" i="6"/>
  <c r="F105" i="6" s="1"/>
  <c r="H224" i="6"/>
  <c r="G102" i="6"/>
  <c r="F197" i="3"/>
  <c r="C25" i="6"/>
  <c r="E104" i="6"/>
  <c r="F192" i="3"/>
  <c r="H102" i="6"/>
  <c r="D23" i="6"/>
  <c r="J226" i="6"/>
  <c r="I104" i="6"/>
  <c r="R223" i="6"/>
  <c r="R227" i="6" s="1"/>
  <c r="O101" i="6"/>
  <c r="O105" i="6" s="1"/>
  <c r="T224" i="6"/>
  <c r="P102" i="6"/>
  <c r="M203" i="3"/>
  <c r="N104" i="6"/>
  <c r="F25" i="6"/>
  <c r="X223" i="6"/>
  <c r="S101" i="6"/>
  <c r="S105" i="6" s="1"/>
  <c r="M199" i="3"/>
  <c r="Q103" i="6"/>
  <c r="G24" i="6"/>
  <c r="V226" i="6"/>
  <c r="R104" i="6"/>
  <c r="Z223" i="6"/>
  <c r="U101" i="6"/>
  <c r="AB224" i="6"/>
  <c r="V102" i="6"/>
  <c r="M205" i="3"/>
  <c r="H25" i="6"/>
  <c r="T104" i="6"/>
  <c r="M196" i="3"/>
  <c r="W102" i="6"/>
  <c r="I23" i="6"/>
  <c r="AD225" i="6"/>
  <c r="X103" i="6"/>
  <c r="AF226" i="6"/>
  <c r="Y104" i="6"/>
  <c r="AN223" i="6"/>
  <c r="AN227" i="6" s="1"/>
  <c r="AE101" i="6"/>
  <c r="AE105" i="6" s="1"/>
  <c r="T198" i="3"/>
  <c r="AC103" i="6"/>
  <c r="K24" i="6"/>
  <c r="AL226" i="6"/>
  <c r="AD104" i="6"/>
  <c r="AP223" i="6"/>
  <c r="AG101" i="6"/>
  <c r="AG105" i="6" s="1"/>
  <c r="AR224" i="6"/>
  <c r="AH102" i="6"/>
  <c r="T204" i="3"/>
  <c r="AF104" i="6"/>
  <c r="L25" i="6"/>
  <c r="T190" i="3"/>
  <c r="AI101" i="6"/>
  <c r="M22" i="6"/>
  <c r="M26" i="6" s="1"/>
  <c r="AT224" i="6"/>
  <c r="AJ102" i="6"/>
  <c r="AV225" i="6"/>
  <c r="AK103" i="6"/>
  <c r="T196" i="3"/>
  <c r="AL102" i="6"/>
  <c r="N23" i="6"/>
  <c r="AX225" i="6"/>
  <c r="AM103" i="6"/>
  <c r="AZ226" i="6"/>
  <c r="AN104" i="6"/>
  <c r="B223" i="6"/>
  <c r="B227" i="6" s="1"/>
  <c r="C101" i="6"/>
  <c r="C105" i="6" s="1"/>
  <c r="D224" i="6"/>
  <c r="D102" i="6"/>
  <c r="F196" i="3"/>
  <c r="B104" i="6"/>
  <c r="B25" i="6"/>
  <c r="N227" i="6"/>
  <c r="L101" i="6"/>
  <c r="L105" i="6" s="1"/>
  <c r="M102" i="6"/>
  <c r="M202" i="3"/>
  <c r="K104" i="6"/>
  <c r="E25" i="6"/>
  <c r="AH223" i="6"/>
  <c r="AA101" i="6"/>
  <c r="AJ224" i="6"/>
  <c r="AB102" i="6"/>
  <c r="T202" i="3"/>
  <c r="Z104" i="6"/>
  <c r="J25" i="6"/>
  <c r="K208" i="3"/>
  <c r="S208" i="3"/>
  <c r="F198" i="3"/>
  <c r="H104" i="6"/>
  <c r="D25" i="6"/>
  <c r="D24" i="6"/>
  <c r="H103" i="6"/>
  <c r="I166" i="6"/>
  <c r="K166" i="6"/>
  <c r="AS166" i="6"/>
  <c r="AW166" i="6"/>
  <c r="C166" i="6"/>
  <c r="O166" i="6"/>
  <c r="K210" i="4"/>
  <c r="S210" i="4"/>
  <c r="E4" i="5"/>
  <c r="I227" i="6"/>
  <c r="M227" i="6"/>
  <c r="U227" i="6"/>
  <c r="W227" i="6"/>
  <c r="AO227" i="6"/>
  <c r="C227" i="6"/>
  <c r="Q227" i="6"/>
  <c r="Q208" i="5"/>
  <c r="K210" i="5"/>
  <c r="S210" i="5"/>
  <c r="D17" i="3"/>
  <c r="F17" i="3" s="1"/>
  <c r="E131" i="4"/>
  <c r="E61" i="4"/>
  <c r="D172" i="4"/>
  <c r="H158" i="5"/>
  <c r="E59" i="2"/>
  <c r="E89" i="2"/>
  <c r="E117" i="4"/>
  <c r="H172" i="5"/>
  <c r="E175" i="5"/>
  <c r="J207" i="5"/>
  <c r="R207" i="5"/>
  <c r="E200" i="5"/>
  <c r="D201" i="5"/>
  <c r="L209" i="5"/>
  <c r="J211" i="5"/>
  <c r="R211" i="5"/>
  <c r="E216" i="5"/>
  <c r="E102" i="5"/>
  <c r="D104" i="5"/>
  <c r="F104" i="5" s="1"/>
  <c r="F74" i="2"/>
  <c r="L210" i="3"/>
  <c r="F90" i="4"/>
  <c r="C199" i="5"/>
  <c r="K207" i="5"/>
  <c r="S207" i="5"/>
  <c r="R208" i="5"/>
  <c r="E201" i="5"/>
  <c r="L210" i="5"/>
  <c r="H144" i="5"/>
  <c r="D62" i="5"/>
  <c r="F62" i="5" s="1"/>
  <c r="D74" i="5"/>
  <c r="F74" i="5" s="1"/>
  <c r="H161" i="4"/>
  <c r="D74" i="4"/>
  <c r="F74" i="4" s="1"/>
  <c r="D130" i="4"/>
  <c r="F130" i="4" s="1"/>
  <c r="E116" i="5"/>
  <c r="D199" i="5"/>
  <c r="L207" i="5"/>
  <c r="C200" i="5"/>
  <c r="K208" i="5"/>
  <c r="S208" i="5"/>
  <c r="J209" i="5"/>
  <c r="R209" i="5"/>
  <c r="Q210" i="5"/>
  <c r="L211" i="5"/>
  <c r="J208" i="5"/>
  <c r="G158" i="5"/>
  <c r="E218" i="5"/>
  <c r="D217" i="5"/>
  <c r="E217" i="5" s="1"/>
  <c r="F174" i="5"/>
  <c r="E161" i="5"/>
  <c r="D160" i="5"/>
  <c r="F160" i="5" s="1"/>
  <c r="D159" i="5"/>
  <c r="F159" i="5" s="1"/>
  <c r="D145" i="5"/>
  <c r="F145" i="5" s="1"/>
  <c r="F131" i="5"/>
  <c r="G174" i="5"/>
  <c r="E130" i="5"/>
  <c r="F117" i="5"/>
  <c r="H175" i="5"/>
  <c r="G175" i="5"/>
  <c r="H174" i="5"/>
  <c r="F103" i="5"/>
  <c r="D101" i="5"/>
  <c r="F101" i="5" s="1"/>
  <c r="D89" i="5"/>
  <c r="E89" i="5" s="1"/>
  <c r="D88" i="5"/>
  <c r="D76" i="5"/>
  <c r="F76" i="5" s="1"/>
  <c r="D75" i="5"/>
  <c r="F75" i="5" s="1"/>
  <c r="E74" i="5"/>
  <c r="D73" i="5"/>
  <c r="F73" i="5" s="1"/>
  <c r="G160" i="5"/>
  <c r="F61" i="5"/>
  <c r="D60" i="5"/>
  <c r="E60" i="5" s="1"/>
  <c r="D48" i="5"/>
  <c r="F48" i="5" s="1"/>
  <c r="D47" i="5"/>
  <c r="E47" i="5" s="1"/>
  <c r="D46" i="5"/>
  <c r="F46" i="5" s="1"/>
  <c r="D34" i="5"/>
  <c r="D33" i="5"/>
  <c r="F33" i="5" s="1"/>
  <c r="D32" i="5"/>
  <c r="F32" i="5" s="1"/>
  <c r="D20" i="5"/>
  <c r="D19" i="5"/>
  <c r="F19" i="5" s="1"/>
  <c r="G145" i="5"/>
  <c r="D18" i="5"/>
  <c r="D17" i="5"/>
  <c r="F17" i="5" s="1"/>
  <c r="E6" i="5"/>
  <c r="D5" i="5"/>
  <c r="D3" i="5"/>
  <c r="F3" i="5" s="1"/>
  <c r="F143" i="5"/>
  <c r="E143" i="5"/>
  <c r="F215" i="5"/>
  <c r="E215" i="5"/>
  <c r="F87" i="5"/>
  <c r="E87" i="5"/>
  <c r="E31" i="5"/>
  <c r="E45" i="5"/>
  <c r="F129" i="5"/>
  <c r="E129" i="5"/>
  <c r="F172" i="5"/>
  <c r="E172" i="5"/>
  <c r="F59" i="5"/>
  <c r="E59" i="5"/>
  <c r="F115" i="5"/>
  <c r="E115" i="5"/>
  <c r="E101" i="5"/>
  <c r="F158" i="5"/>
  <c r="E158" i="5"/>
  <c r="E62" i="5"/>
  <c r="E90" i="5"/>
  <c r="E104" i="5"/>
  <c r="E118" i="5"/>
  <c r="E132" i="5"/>
  <c r="E144" i="5"/>
  <c r="E173" i="5"/>
  <c r="T207" i="3"/>
  <c r="E174" i="3"/>
  <c r="S207" i="3"/>
  <c r="F173" i="3"/>
  <c r="E160" i="3"/>
  <c r="F160" i="3"/>
  <c r="M207" i="3"/>
  <c r="D145" i="3"/>
  <c r="F145" i="3" s="1"/>
  <c r="F199" i="3"/>
  <c r="E217" i="4"/>
  <c r="E215" i="4"/>
  <c r="E174" i="4"/>
  <c r="F173" i="4"/>
  <c r="Q208" i="4"/>
  <c r="F172" i="4"/>
  <c r="E172" i="4"/>
  <c r="E160" i="4"/>
  <c r="E159" i="4"/>
  <c r="D158" i="4"/>
  <c r="F158" i="4" s="1"/>
  <c r="E145" i="4"/>
  <c r="D144" i="4"/>
  <c r="E144" i="4" s="1"/>
  <c r="F143" i="4"/>
  <c r="E132" i="4"/>
  <c r="F129" i="4"/>
  <c r="E129" i="4"/>
  <c r="H172" i="4"/>
  <c r="E115" i="4"/>
  <c r="E104" i="4"/>
  <c r="E103" i="4"/>
  <c r="D101" i="4"/>
  <c r="F101" i="4" s="1"/>
  <c r="D89" i="4"/>
  <c r="F89" i="4" s="1"/>
  <c r="E87" i="4"/>
  <c r="G172" i="4"/>
  <c r="D76" i="4"/>
  <c r="E76" i="4" s="1"/>
  <c r="E75" i="4"/>
  <c r="H158" i="4"/>
  <c r="D73" i="4"/>
  <c r="F73" i="4" s="1"/>
  <c r="E62" i="4"/>
  <c r="G160" i="4"/>
  <c r="H159" i="4"/>
  <c r="E59" i="4"/>
  <c r="G158" i="4"/>
  <c r="D48" i="4"/>
  <c r="E48" i="4" s="1"/>
  <c r="H160" i="4"/>
  <c r="G161" i="4"/>
  <c r="E47" i="4"/>
  <c r="D45" i="4"/>
  <c r="E45" i="4" s="1"/>
  <c r="F34" i="4"/>
  <c r="E34" i="4"/>
  <c r="D33" i="4"/>
  <c r="D31" i="4"/>
  <c r="D20" i="4"/>
  <c r="F20" i="4" s="1"/>
  <c r="E19" i="4"/>
  <c r="F17" i="4"/>
  <c r="D6" i="4"/>
  <c r="F6" i="4" s="1"/>
  <c r="D5" i="4"/>
  <c r="D4" i="4"/>
  <c r="F4" i="4" s="1"/>
  <c r="G144" i="4"/>
  <c r="F3" i="4"/>
  <c r="E18" i="4"/>
  <c r="E32" i="4"/>
  <c r="E46" i="4"/>
  <c r="E60" i="4"/>
  <c r="E74" i="4"/>
  <c r="E88" i="4"/>
  <c r="E102" i="4"/>
  <c r="E116" i="4"/>
  <c r="E130" i="4"/>
  <c r="E146" i="4"/>
  <c r="E161" i="4"/>
  <c r="E175" i="4"/>
  <c r="E216" i="4"/>
  <c r="D217" i="3"/>
  <c r="E217" i="3" s="1"/>
  <c r="G158" i="3"/>
  <c r="H145" i="3"/>
  <c r="D45" i="3"/>
  <c r="F45" i="3" s="1"/>
  <c r="H160" i="3"/>
  <c r="D88" i="3"/>
  <c r="F88" i="3" s="1"/>
  <c r="D101" i="3"/>
  <c r="F101" i="3" s="1"/>
  <c r="F103" i="3"/>
  <c r="D115" i="3"/>
  <c r="F115" i="3" s="1"/>
  <c r="D117" i="3"/>
  <c r="E117" i="3" s="1"/>
  <c r="D131" i="3"/>
  <c r="E131" i="3" s="1"/>
  <c r="D4" i="3"/>
  <c r="F4" i="3" s="1"/>
  <c r="G161" i="3"/>
  <c r="D215" i="3"/>
  <c r="F215" i="3" s="1"/>
  <c r="T211" i="3"/>
  <c r="S211" i="3"/>
  <c r="Q211" i="3"/>
  <c r="D130" i="3"/>
  <c r="F130" i="3" s="1"/>
  <c r="Q210" i="3"/>
  <c r="T210" i="3"/>
  <c r="D116" i="3"/>
  <c r="F116" i="3" s="1"/>
  <c r="D104" i="3"/>
  <c r="E104" i="3" s="1"/>
  <c r="H175" i="3"/>
  <c r="T209" i="3"/>
  <c r="E103" i="3"/>
  <c r="S209" i="3"/>
  <c r="D102" i="3"/>
  <c r="F102" i="3" s="1"/>
  <c r="H172" i="3"/>
  <c r="G172" i="3"/>
  <c r="D90" i="3"/>
  <c r="E90" i="3" s="1"/>
  <c r="T208" i="3"/>
  <c r="D87" i="3"/>
  <c r="F87" i="3" s="1"/>
  <c r="R208" i="3"/>
  <c r="K211" i="3"/>
  <c r="D75" i="3"/>
  <c r="F75" i="3" s="1"/>
  <c r="M211" i="3"/>
  <c r="D62" i="3"/>
  <c r="E62" i="3" s="1"/>
  <c r="D61" i="3"/>
  <c r="F61" i="3" s="1"/>
  <c r="G160" i="3"/>
  <c r="M210" i="3"/>
  <c r="G159" i="3"/>
  <c r="K209" i="3"/>
  <c r="E47" i="3"/>
  <c r="M209" i="3"/>
  <c r="J208" i="3"/>
  <c r="E33" i="3"/>
  <c r="M208" i="3"/>
  <c r="D31" i="3"/>
  <c r="F31" i="3" s="1"/>
  <c r="H158" i="3"/>
  <c r="E201" i="3"/>
  <c r="D19" i="3"/>
  <c r="F19" i="3" s="1"/>
  <c r="F76" i="3"/>
  <c r="E89" i="3"/>
  <c r="F118" i="3"/>
  <c r="F131" i="3"/>
  <c r="D5" i="3"/>
  <c r="F117" i="3"/>
  <c r="F132" i="3"/>
  <c r="F159" i="3"/>
  <c r="G143" i="3"/>
  <c r="E32" i="3"/>
  <c r="E46" i="3"/>
  <c r="E60" i="3"/>
  <c r="E74" i="3"/>
  <c r="E88" i="3"/>
  <c r="F144" i="3"/>
  <c r="E146" i="3"/>
  <c r="E161" i="3"/>
  <c r="E175" i="3"/>
  <c r="D199" i="3"/>
  <c r="L207" i="3"/>
  <c r="C200" i="3"/>
  <c r="J209" i="3"/>
  <c r="R209" i="3"/>
  <c r="L211" i="3"/>
  <c r="D3" i="3"/>
  <c r="F3" i="3" s="1"/>
  <c r="F20" i="3"/>
  <c r="F34" i="3"/>
  <c r="F48" i="3"/>
  <c r="E199" i="3"/>
  <c r="Q207" i="3"/>
  <c r="D200" i="3"/>
  <c r="L208" i="3"/>
  <c r="J210" i="3"/>
  <c r="R210" i="3"/>
  <c r="E216" i="3"/>
  <c r="J207" i="3"/>
  <c r="R207" i="3"/>
  <c r="Q208" i="3"/>
  <c r="D201" i="3"/>
  <c r="L209" i="3"/>
  <c r="K210" i="3"/>
  <c r="S210" i="3"/>
  <c r="J211" i="3"/>
  <c r="R211" i="3"/>
  <c r="C201" i="3"/>
  <c r="F201" i="3"/>
  <c r="E18" i="3"/>
  <c r="H143" i="3"/>
  <c r="F6" i="3"/>
  <c r="F5" i="3"/>
  <c r="E5" i="3"/>
  <c r="F200" i="3"/>
  <c r="E200" i="3"/>
  <c r="E3" i="3"/>
  <c r="E17" i="3"/>
  <c r="E59" i="3"/>
  <c r="E73" i="3"/>
  <c r="E101" i="3"/>
  <c r="E129" i="3"/>
  <c r="E143" i="3"/>
  <c r="E158" i="3"/>
  <c r="E172" i="3"/>
  <c r="E218" i="3"/>
  <c r="F174" i="2"/>
  <c r="D199" i="2"/>
  <c r="L207" i="2"/>
  <c r="S207" i="2"/>
  <c r="F158" i="2"/>
  <c r="E175" i="2"/>
  <c r="F217" i="2"/>
  <c r="E159" i="2"/>
  <c r="Q207" i="2"/>
  <c r="E103" i="2"/>
  <c r="E115" i="2"/>
  <c r="R208" i="2"/>
  <c r="F143" i="2"/>
  <c r="R209" i="2"/>
  <c r="E101" i="2"/>
  <c r="E144" i="2"/>
  <c r="S209" i="2"/>
  <c r="R210" i="2"/>
  <c r="Q211" i="2"/>
  <c r="E73" i="2"/>
  <c r="F75" i="2"/>
  <c r="L210" i="2"/>
  <c r="E62" i="2"/>
  <c r="L211" i="2"/>
  <c r="J210" i="2"/>
  <c r="E47" i="2"/>
  <c r="E201" i="2"/>
  <c r="C200" i="2"/>
  <c r="D200" i="2"/>
  <c r="D5" i="2"/>
  <c r="F5" i="2" s="1"/>
  <c r="F200" i="2"/>
  <c r="E18" i="2"/>
  <c r="D19" i="2"/>
  <c r="F19" i="2" s="1"/>
  <c r="F201" i="2"/>
  <c r="E31" i="2"/>
  <c r="G158" i="2"/>
  <c r="H161" i="2"/>
  <c r="F129" i="2"/>
  <c r="F216" i="2"/>
  <c r="E216" i="2"/>
  <c r="E5" i="2"/>
  <c r="D6" i="2"/>
  <c r="E6" i="2" s="1"/>
  <c r="D20" i="2"/>
  <c r="E20" i="2" s="1"/>
  <c r="H159" i="2"/>
  <c r="T209" i="2"/>
  <c r="T211" i="2"/>
  <c r="M207" i="2"/>
  <c r="T207" i="2"/>
  <c r="E45" i="2"/>
  <c r="E46" i="2"/>
  <c r="F61" i="2"/>
  <c r="M210" i="2"/>
  <c r="M211" i="2"/>
  <c r="F199" i="2"/>
  <c r="D3" i="2"/>
  <c r="F3" i="2" s="1"/>
  <c r="D4" i="2"/>
  <c r="E4" i="2" s="1"/>
  <c r="E33" i="2"/>
  <c r="G160" i="2"/>
  <c r="D48" i="2"/>
  <c r="F48" i="2" s="1"/>
  <c r="F131" i="2"/>
  <c r="D60" i="2"/>
  <c r="F60" i="2" s="1"/>
  <c r="D88" i="2"/>
  <c r="F88" i="2" s="1"/>
  <c r="F90" i="2"/>
  <c r="D32" i="2"/>
  <c r="E32" i="2" s="1"/>
  <c r="E116" i="2"/>
  <c r="D117" i="2"/>
  <c r="E117" i="2" s="1"/>
  <c r="E118" i="2"/>
  <c r="E130" i="2"/>
  <c r="E132" i="2"/>
  <c r="F145" i="2"/>
  <c r="F160" i="2"/>
  <c r="E161" i="2"/>
  <c r="F172" i="2"/>
  <c r="H174" i="2"/>
  <c r="F215" i="2"/>
  <c r="D76" i="2"/>
  <c r="F76" i="2" s="1"/>
  <c r="D102" i="2"/>
  <c r="F102" i="2" s="1"/>
  <c r="D104" i="2"/>
  <c r="F104" i="2" s="1"/>
  <c r="D146" i="2"/>
  <c r="F146" i="2" s="1"/>
  <c r="D173" i="2"/>
  <c r="F173" i="2" s="1"/>
  <c r="E218" i="2"/>
  <c r="D34" i="2"/>
  <c r="E34" i="2" s="1"/>
  <c r="D87" i="2"/>
  <c r="E87" i="2" s="1"/>
  <c r="B216" i="1"/>
  <c r="C215" i="1"/>
  <c r="B215" i="1"/>
  <c r="O225" i="1"/>
  <c r="J225" i="1"/>
  <c r="E225" i="1"/>
  <c r="O224" i="1"/>
  <c r="J224" i="1"/>
  <c r="E224" i="1"/>
  <c r="O223" i="1"/>
  <c r="J223" i="1"/>
  <c r="E223" i="1"/>
  <c r="O222" i="1"/>
  <c r="J222" i="1"/>
  <c r="E222" i="1"/>
  <c r="D218" i="1"/>
  <c r="E218" i="1" s="1"/>
  <c r="D217" i="1"/>
  <c r="F217" i="1" s="1"/>
  <c r="AC105" i="6" l="1"/>
  <c r="AA105" i="6"/>
  <c r="AI105" i="6"/>
  <c r="AP227" i="6"/>
  <c r="U105" i="6"/>
  <c r="X227" i="6"/>
  <c r="Z227" i="6"/>
  <c r="Z105" i="6"/>
  <c r="K105" i="6"/>
  <c r="AF105" i="6"/>
  <c r="AL227" i="6"/>
  <c r="H26" i="6"/>
  <c r="R105" i="6"/>
  <c r="L227" i="6"/>
  <c r="AJ227" i="6"/>
  <c r="AL105" i="6"/>
  <c r="AT227" i="6"/>
  <c r="I26" i="6"/>
  <c r="V105" i="6"/>
  <c r="AX227" i="6"/>
  <c r="I105" i="6"/>
  <c r="F90" i="3"/>
  <c r="F48" i="4"/>
  <c r="E32" i="5"/>
  <c r="E75" i="5"/>
  <c r="F89" i="5"/>
  <c r="J26" i="6"/>
  <c r="T105" i="6"/>
  <c r="V227" i="6"/>
  <c r="C26" i="6"/>
  <c r="D105" i="6"/>
  <c r="W105" i="6"/>
  <c r="AB227" i="6"/>
  <c r="AK105" i="6"/>
  <c r="J227" i="6"/>
  <c r="AH227" i="6"/>
  <c r="X105" i="6"/>
  <c r="B26" i="6"/>
  <c r="AN105" i="6"/>
  <c r="Y105" i="6"/>
  <c r="F26" i="6"/>
  <c r="E105" i="6"/>
  <c r="M105" i="6"/>
  <c r="D227" i="6"/>
  <c r="AH105" i="6"/>
  <c r="P105" i="6"/>
  <c r="D26" i="6"/>
  <c r="G105" i="6"/>
  <c r="AV227" i="6"/>
  <c r="Q105" i="6"/>
  <c r="F76" i="4"/>
  <c r="E158" i="4"/>
  <c r="K26" i="6"/>
  <c r="AD227" i="6"/>
  <c r="E26" i="6"/>
  <c r="B105" i="6"/>
  <c r="AZ227" i="6"/>
  <c r="L26" i="6"/>
  <c r="AD105" i="6"/>
  <c r="AF227" i="6"/>
  <c r="N105" i="6"/>
  <c r="J105" i="6"/>
  <c r="AB105" i="6"/>
  <c r="P227" i="6"/>
  <c r="N26" i="6"/>
  <c r="AJ105" i="6"/>
  <c r="AR227" i="6"/>
  <c r="T227" i="6"/>
  <c r="H105" i="6"/>
  <c r="H227" i="6"/>
  <c r="AM105" i="6"/>
  <c r="G26" i="6"/>
  <c r="E4" i="4"/>
  <c r="E104" i="2"/>
  <c r="E101" i="4"/>
  <c r="E88" i="2"/>
  <c r="E45" i="3"/>
  <c r="F62" i="3"/>
  <c r="F144" i="4"/>
  <c r="F217" i="5"/>
  <c r="E160" i="5"/>
  <c r="E159" i="5"/>
  <c r="E145" i="5"/>
  <c r="F88" i="5"/>
  <c r="E88" i="5"/>
  <c r="E76" i="5"/>
  <c r="E73" i="5"/>
  <c r="F60" i="5"/>
  <c r="E48" i="5"/>
  <c r="F47" i="5"/>
  <c r="E46" i="5"/>
  <c r="F34" i="5"/>
  <c r="E34" i="5"/>
  <c r="E33" i="5"/>
  <c r="E20" i="5"/>
  <c r="F20" i="5"/>
  <c r="E19" i="5"/>
  <c r="F18" i="5"/>
  <c r="E18" i="5"/>
  <c r="E17" i="5"/>
  <c r="F5" i="5"/>
  <c r="E5" i="5"/>
  <c r="E3" i="5"/>
  <c r="E145" i="3"/>
  <c r="E89" i="4"/>
  <c r="E73" i="4"/>
  <c r="F45" i="4"/>
  <c r="F33" i="4"/>
  <c r="E33" i="4"/>
  <c r="E31" i="4"/>
  <c r="F31" i="4"/>
  <c r="E20" i="4"/>
  <c r="E6" i="4"/>
  <c r="F5" i="4"/>
  <c r="E5" i="4"/>
  <c r="F217" i="3"/>
  <c r="E4" i="3"/>
  <c r="E115" i="3"/>
  <c r="E215" i="3"/>
  <c r="E130" i="3"/>
  <c r="E116" i="3"/>
  <c r="F104" i="3"/>
  <c r="E102" i="3"/>
  <c r="E87" i="3"/>
  <c r="E75" i="3"/>
  <c r="E61" i="3"/>
  <c r="E31" i="3"/>
  <c r="E19" i="3"/>
  <c r="E76" i="2"/>
  <c r="E60" i="2"/>
  <c r="E48" i="2"/>
  <c r="F20" i="2"/>
  <c r="E3" i="2"/>
  <c r="E19" i="2"/>
  <c r="E102" i="2"/>
  <c r="F87" i="2"/>
  <c r="F6" i="2"/>
  <c r="F32" i="2"/>
  <c r="F4" i="2"/>
  <c r="E146" i="2"/>
  <c r="F34" i="2"/>
  <c r="E173" i="2"/>
  <c r="F117" i="2"/>
  <c r="E217" i="1"/>
  <c r="D216" i="1"/>
  <c r="F216" i="1" s="1"/>
  <c r="F218" i="1"/>
  <c r="D215" i="1"/>
  <c r="F215" i="1" s="1"/>
  <c r="R187" i="1"/>
  <c r="S187" i="1"/>
  <c r="R188" i="1"/>
  <c r="S188" i="1"/>
  <c r="R189" i="1"/>
  <c r="S189" i="1"/>
  <c r="R190" i="1"/>
  <c r="S190" i="1"/>
  <c r="R191" i="1"/>
  <c r="R211" i="1" s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Q206" i="1"/>
  <c r="Q201" i="1"/>
  <c r="Q196" i="1"/>
  <c r="Q211" i="1" s="1"/>
  <c r="Q205" i="1"/>
  <c r="Q200" i="1"/>
  <c r="Q195" i="1"/>
  <c r="Q204" i="1"/>
  <c r="Q199" i="1"/>
  <c r="Q194" i="1"/>
  <c r="Q203" i="1"/>
  <c r="Q198" i="1"/>
  <c r="Q193" i="1"/>
  <c r="Q191" i="1"/>
  <c r="Q190" i="1"/>
  <c r="Q189" i="1"/>
  <c r="Q188" i="1"/>
  <c r="Q202" i="1"/>
  <c r="Q197" i="1"/>
  <c r="Q192" i="1"/>
  <c r="Q187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J206" i="1"/>
  <c r="J201" i="1"/>
  <c r="J196" i="1"/>
  <c r="J205" i="1"/>
  <c r="J200" i="1"/>
  <c r="J195" i="1"/>
  <c r="J192" i="1"/>
  <c r="J204" i="1"/>
  <c r="J199" i="1"/>
  <c r="J194" i="1"/>
  <c r="J203" i="1"/>
  <c r="J198" i="1"/>
  <c r="J193" i="1"/>
  <c r="J191" i="1"/>
  <c r="J190" i="1"/>
  <c r="J189" i="1"/>
  <c r="J209" i="1" s="1"/>
  <c r="J188" i="1"/>
  <c r="J202" i="1"/>
  <c r="J197" i="1"/>
  <c r="J187" i="1"/>
  <c r="D197" i="1"/>
  <c r="E197" i="1"/>
  <c r="D198" i="1"/>
  <c r="E198" i="1"/>
  <c r="D194" i="1"/>
  <c r="E194" i="1"/>
  <c r="D195" i="1"/>
  <c r="E195" i="1"/>
  <c r="D191" i="1"/>
  <c r="E191" i="1"/>
  <c r="D192" i="1"/>
  <c r="E192" i="1"/>
  <c r="D188" i="1"/>
  <c r="D200" i="1" s="1"/>
  <c r="E188" i="1"/>
  <c r="E200" i="1" s="1"/>
  <c r="D189" i="1"/>
  <c r="D201" i="1" s="1"/>
  <c r="E189" i="1"/>
  <c r="E201" i="1" s="1"/>
  <c r="C198" i="1"/>
  <c r="C195" i="1"/>
  <c r="C192" i="1"/>
  <c r="C189" i="1"/>
  <c r="C197" i="1"/>
  <c r="C194" i="1"/>
  <c r="C191" i="1"/>
  <c r="C188" i="1"/>
  <c r="D196" i="1"/>
  <c r="E196" i="1"/>
  <c r="C196" i="1"/>
  <c r="D193" i="1"/>
  <c r="E193" i="1"/>
  <c r="C193" i="1"/>
  <c r="D190" i="1"/>
  <c r="E190" i="1"/>
  <c r="C190" i="1"/>
  <c r="D187" i="1"/>
  <c r="E187" i="1"/>
  <c r="C187" i="1"/>
  <c r="C146" i="1"/>
  <c r="B146" i="1"/>
  <c r="C145" i="1"/>
  <c r="B145" i="1"/>
  <c r="C144" i="1"/>
  <c r="B144" i="1"/>
  <c r="C143" i="1"/>
  <c r="B143" i="1"/>
  <c r="C175" i="1"/>
  <c r="B175" i="1"/>
  <c r="D175" i="1" s="1"/>
  <c r="F175" i="1" s="1"/>
  <c r="C174" i="1"/>
  <c r="B174" i="1"/>
  <c r="C173" i="1"/>
  <c r="B173" i="1"/>
  <c r="C160" i="1"/>
  <c r="B160" i="1"/>
  <c r="C159" i="1"/>
  <c r="B159" i="1"/>
  <c r="C158" i="1"/>
  <c r="B158" i="1"/>
  <c r="C172" i="1"/>
  <c r="B172" i="1"/>
  <c r="O182" i="1"/>
  <c r="J182" i="1"/>
  <c r="E182" i="1"/>
  <c r="O181" i="1"/>
  <c r="J181" i="1"/>
  <c r="E181" i="1"/>
  <c r="O180" i="1"/>
  <c r="J180" i="1"/>
  <c r="E180" i="1"/>
  <c r="O179" i="1"/>
  <c r="J179" i="1"/>
  <c r="E179" i="1"/>
  <c r="O168" i="1"/>
  <c r="J168" i="1"/>
  <c r="E168" i="1"/>
  <c r="O167" i="1"/>
  <c r="J167" i="1"/>
  <c r="E167" i="1"/>
  <c r="O166" i="1"/>
  <c r="J166" i="1"/>
  <c r="E166" i="1"/>
  <c r="O165" i="1"/>
  <c r="J165" i="1"/>
  <c r="E165" i="1"/>
  <c r="D161" i="1"/>
  <c r="E161" i="1" s="1"/>
  <c r="O153" i="1"/>
  <c r="J153" i="1"/>
  <c r="E153" i="1"/>
  <c r="O152" i="1"/>
  <c r="J152" i="1"/>
  <c r="E152" i="1"/>
  <c r="O151" i="1"/>
  <c r="J151" i="1"/>
  <c r="E151" i="1"/>
  <c r="O150" i="1"/>
  <c r="J150" i="1"/>
  <c r="E150" i="1"/>
  <c r="D146" i="1"/>
  <c r="F146" i="1" s="1"/>
  <c r="D144" i="1"/>
  <c r="F144" i="1" s="1"/>
  <c r="F187" i="1" l="1"/>
  <c r="B40" i="6"/>
  <c r="B4" i="6"/>
  <c r="D164" i="6"/>
  <c r="D42" i="6"/>
  <c r="L42" i="6"/>
  <c r="N164" i="6"/>
  <c r="AJ165" i="6"/>
  <c r="AB43" i="6"/>
  <c r="B162" i="6"/>
  <c r="C40" i="6"/>
  <c r="D163" i="6"/>
  <c r="D41" i="6"/>
  <c r="F196" i="1"/>
  <c r="B7" i="6"/>
  <c r="B43" i="6"/>
  <c r="M187" i="1"/>
  <c r="E4" i="6"/>
  <c r="K40" i="6"/>
  <c r="N163" i="6"/>
  <c r="L41" i="6"/>
  <c r="P164" i="6"/>
  <c r="M42" i="6"/>
  <c r="T187" i="1"/>
  <c r="T207" i="1" s="1"/>
  <c r="Z40" i="6"/>
  <c r="J4" i="6"/>
  <c r="AA41" i="6"/>
  <c r="AH163" i="6"/>
  <c r="AJ164" i="6"/>
  <c r="AB42" i="6"/>
  <c r="P165" i="6"/>
  <c r="M43" i="6"/>
  <c r="AA42" i="6"/>
  <c r="AH164" i="6"/>
  <c r="D162" i="6"/>
  <c r="D40" i="6"/>
  <c r="F193" i="1"/>
  <c r="B42" i="6"/>
  <c r="B6" i="6"/>
  <c r="C43" i="6"/>
  <c r="B165" i="6"/>
  <c r="L40" i="6"/>
  <c r="N162" i="6"/>
  <c r="P163" i="6"/>
  <c r="P166" i="6" s="1"/>
  <c r="M41" i="6"/>
  <c r="M202" i="1"/>
  <c r="E7" i="6"/>
  <c r="K43" i="6"/>
  <c r="AH162" i="6"/>
  <c r="AA40" i="6"/>
  <c r="AJ163" i="6"/>
  <c r="AB41" i="6"/>
  <c r="T202" i="1"/>
  <c r="Z43" i="6"/>
  <c r="J7" i="6"/>
  <c r="B163" i="6"/>
  <c r="C41" i="6"/>
  <c r="M192" i="1"/>
  <c r="E5" i="6"/>
  <c r="K41" i="6"/>
  <c r="T192" i="1"/>
  <c r="Z41" i="6"/>
  <c r="J5" i="6"/>
  <c r="F190" i="1"/>
  <c r="B41" i="6"/>
  <c r="B5" i="6"/>
  <c r="C42" i="6"/>
  <c r="B164" i="6"/>
  <c r="D165" i="6"/>
  <c r="D43" i="6"/>
  <c r="P162" i="6"/>
  <c r="M40" i="6"/>
  <c r="M44" i="6" s="1"/>
  <c r="M197" i="1"/>
  <c r="K42" i="6"/>
  <c r="E6" i="6"/>
  <c r="L43" i="6"/>
  <c r="N165" i="6"/>
  <c r="AJ162" i="6"/>
  <c r="AB40" i="6"/>
  <c r="T197" i="1"/>
  <c r="J6" i="6"/>
  <c r="Z42" i="6"/>
  <c r="AA43" i="6"/>
  <c r="AH165" i="6"/>
  <c r="J207" i="1"/>
  <c r="Q207" i="1"/>
  <c r="Q208" i="1"/>
  <c r="S208" i="1"/>
  <c r="J210" i="1"/>
  <c r="J208" i="1"/>
  <c r="K210" i="1"/>
  <c r="Q209" i="1"/>
  <c r="R209" i="1"/>
  <c r="R210" i="1"/>
  <c r="R208" i="1"/>
  <c r="F199" i="1"/>
  <c r="C199" i="1"/>
  <c r="C201" i="1"/>
  <c r="J211" i="1"/>
  <c r="L211" i="1"/>
  <c r="S210" i="1"/>
  <c r="S211" i="1"/>
  <c r="S209" i="1"/>
  <c r="S207" i="1"/>
  <c r="M207" i="1"/>
  <c r="E199" i="1"/>
  <c r="D199" i="1"/>
  <c r="C200" i="1"/>
  <c r="K211" i="1"/>
  <c r="K208" i="1"/>
  <c r="K209" i="1"/>
  <c r="K207" i="1"/>
  <c r="Q210" i="1"/>
  <c r="R207" i="1"/>
  <c r="L209" i="1"/>
  <c r="L207" i="1"/>
  <c r="L210" i="1"/>
  <c r="L208" i="1"/>
  <c r="E216" i="1"/>
  <c r="E215" i="1"/>
  <c r="D145" i="1"/>
  <c r="D159" i="1"/>
  <c r="F159" i="1" s="1"/>
  <c r="D160" i="1"/>
  <c r="E160" i="1" s="1"/>
  <c r="D158" i="1"/>
  <c r="E158" i="1" s="1"/>
  <c r="D173" i="1"/>
  <c r="F173" i="1" s="1"/>
  <c r="E159" i="1"/>
  <c r="F161" i="1"/>
  <c r="D172" i="1"/>
  <c r="F172" i="1" s="1"/>
  <c r="D174" i="1"/>
  <c r="F174" i="1" s="1"/>
  <c r="E175" i="1"/>
  <c r="F160" i="1"/>
  <c r="D143" i="1"/>
  <c r="E143" i="1" s="1"/>
  <c r="E144" i="1"/>
  <c r="E145" i="1"/>
  <c r="E146" i="1"/>
  <c r="O139" i="1"/>
  <c r="C131" i="1"/>
  <c r="B131" i="1"/>
  <c r="C129" i="1"/>
  <c r="B129" i="1"/>
  <c r="O125" i="1"/>
  <c r="J125" i="1"/>
  <c r="O124" i="1"/>
  <c r="C117" i="1"/>
  <c r="B117" i="1"/>
  <c r="O123" i="1"/>
  <c r="J123" i="1"/>
  <c r="O122" i="1"/>
  <c r="J122" i="1"/>
  <c r="C104" i="1"/>
  <c r="H175" i="1" s="1"/>
  <c r="B104" i="1"/>
  <c r="G175" i="1" s="1"/>
  <c r="C102" i="1"/>
  <c r="B102" i="1"/>
  <c r="C88" i="1"/>
  <c r="B88" i="1"/>
  <c r="C87" i="1"/>
  <c r="B87" i="1"/>
  <c r="O83" i="1"/>
  <c r="C76" i="1"/>
  <c r="B76" i="1"/>
  <c r="C75" i="1"/>
  <c r="B75" i="1"/>
  <c r="D74" i="1"/>
  <c r="E74" i="1" s="1"/>
  <c r="C62" i="1"/>
  <c r="B62" i="1"/>
  <c r="C61" i="1"/>
  <c r="B61" i="1"/>
  <c r="O67" i="1"/>
  <c r="C60" i="1"/>
  <c r="B60" i="1"/>
  <c r="C48" i="1"/>
  <c r="B48" i="1"/>
  <c r="B46" i="1"/>
  <c r="J52" i="1"/>
  <c r="C45" i="1"/>
  <c r="B45" i="1"/>
  <c r="C34" i="1"/>
  <c r="B34" i="1"/>
  <c r="C33" i="1"/>
  <c r="B33" i="1"/>
  <c r="C32" i="1"/>
  <c r="H159" i="1" s="1"/>
  <c r="B32" i="1"/>
  <c r="C31" i="1"/>
  <c r="H158" i="1" s="1"/>
  <c r="B31" i="1"/>
  <c r="G158" i="1" s="1"/>
  <c r="D44" i="6" l="1"/>
  <c r="AF165" i="6"/>
  <c r="Y43" i="6"/>
  <c r="AV163" i="6"/>
  <c r="AK41" i="6"/>
  <c r="AT162" i="6"/>
  <c r="AJ40" i="6"/>
  <c r="AV165" i="6"/>
  <c r="AK43" i="6"/>
  <c r="AB44" i="6"/>
  <c r="N166" i="6"/>
  <c r="D166" i="6"/>
  <c r="K44" i="6"/>
  <c r="C44" i="6"/>
  <c r="B8" i="6"/>
  <c r="AK40" i="6"/>
  <c r="AV162" i="6"/>
  <c r="AZ165" i="6"/>
  <c r="AN43" i="6"/>
  <c r="AJ166" i="6"/>
  <c r="AA44" i="6"/>
  <c r="L44" i="6"/>
  <c r="J8" i="6"/>
  <c r="E8" i="6"/>
  <c r="B166" i="6"/>
  <c r="B44" i="6"/>
  <c r="R40" i="6"/>
  <c r="V162" i="6"/>
  <c r="AJ43" i="6"/>
  <c r="AT165" i="6"/>
  <c r="AB163" i="6"/>
  <c r="V41" i="6"/>
  <c r="AT163" i="6"/>
  <c r="AJ41" i="6"/>
  <c r="AV164" i="6"/>
  <c r="AK42" i="6"/>
  <c r="AH166" i="6"/>
  <c r="Z44" i="6"/>
  <c r="E173" i="1"/>
  <c r="F158" i="1"/>
  <c r="G172" i="1"/>
  <c r="H161" i="1"/>
  <c r="G174" i="1"/>
  <c r="G160" i="1"/>
  <c r="H172" i="1"/>
  <c r="H174" i="1"/>
  <c r="H160" i="1"/>
  <c r="G173" i="1"/>
  <c r="F74" i="1"/>
  <c r="G159" i="1"/>
  <c r="G161" i="1"/>
  <c r="H173" i="1"/>
  <c r="E172" i="1"/>
  <c r="E174" i="1"/>
  <c r="F143" i="1"/>
  <c r="F145" i="1"/>
  <c r="C20" i="1"/>
  <c r="B20" i="1"/>
  <c r="C19" i="1"/>
  <c r="B19" i="1"/>
  <c r="C18" i="1"/>
  <c r="B18" i="1"/>
  <c r="C17" i="1"/>
  <c r="B17" i="1"/>
  <c r="J139" i="1"/>
  <c r="E139" i="1"/>
  <c r="O138" i="1"/>
  <c r="J138" i="1"/>
  <c r="E138" i="1"/>
  <c r="O137" i="1"/>
  <c r="J137" i="1"/>
  <c r="E137" i="1"/>
  <c r="O136" i="1"/>
  <c r="J136" i="1"/>
  <c r="E136" i="1"/>
  <c r="D132" i="1"/>
  <c r="D131" i="1"/>
  <c r="E131" i="1" s="1"/>
  <c r="D130" i="1"/>
  <c r="D129" i="1"/>
  <c r="E129" i="1" s="1"/>
  <c r="E125" i="1"/>
  <c r="J124" i="1"/>
  <c r="E124" i="1"/>
  <c r="E123" i="1"/>
  <c r="E122" i="1"/>
  <c r="D118" i="1"/>
  <c r="D117" i="1"/>
  <c r="E117" i="1" s="1"/>
  <c r="D116" i="1"/>
  <c r="D115" i="1"/>
  <c r="O111" i="1"/>
  <c r="J111" i="1"/>
  <c r="E111" i="1"/>
  <c r="O110" i="1"/>
  <c r="J110" i="1"/>
  <c r="E110" i="1"/>
  <c r="O109" i="1"/>
  <c r="J109" i="1"/>
  <c r="E109" i="1"/>
  <c r="O108" i="1"/>
  <c r="J108" i="1"/>
  <c r="E108" i="1"/>
  <c r="D104" i="1"/>
  <c r="F104" i="1" s="1"/>
  <c r="D103" i="1"/>
  <c r="D102" i="1"/>
  <c r="E102" i="1" s="1"/>
  <c r="D101" i="1"/>
  <c r="O97" i="1"/>
  <c r="J97" i="1"/>
  <c r="E97" i="1"/>
  <c r="O96" i="1"/>
  <c r="J96" i="1"/>
  <c r="E96" i="1"/>
  <c r="O95" i="1"/>
  <c r="J95" i="1"/>
  <c r="E95" i="1"/>
  <c r="O94" i="1"/>
  <c r="J94" i="1"/>
  <c r="E94" i="1"/>
  <c r="D90" i="1"/>
  <c r="D89" i="1"/>
  <c r="D88" i="1"/>
  <c r="F88" i="1" s="1"/>
  <c r="D87" i="1"/>
  <c r="E87" i="1" s="1"/>
  <c r="J83" i="1"/>
  <c r="E83" i="1"/>
  <c r="O82" i="1"/>
  <c r="J82" i="1"/>
  <c r="E82" i="1"/>
  <c r="O81" i="1"/>
  <c r="J81" i="1"/>
  <c r="E81" i="1"/>
  <c r="O80" i="1"/>
  <c r="J80" i="1"/>
  <c r="E80" i="1"/>
  <c r="D76" i="1"/>
  <c r="F76" i="1" s="1"/>
  <c r="D75" i="1"/>
  <c r="F75" i="1" s="1"/>
  <c r="D73" i="1"/>
  <c r="O69" i="1"/>
  <c r="J69" i="1"/>
  <c r="E69" i="1"/>
  <c r="O68" i="1"/>
  <c r="J68" i="1"/>
  <c r="E68" i="1"/>
  <c r="J67" i="1"/>
  <c r="E67" i="1"/>
  <c r="O66" i="1"/>
  <c r="J66" i="1"/>
  <c r="E66" i="1"/>
  <c r="D62" i="1"/>
  <c r="E62" i="1" s="1"/>
  <c r="D61" i="1"/>
  <c r="E61" i="1" s="1"/>
  <c r="D60" i="1"/>
  <c r="F60" i="1" s="1"/>
  <c r="D59" i="1"/>
  <c r="O55" i="1"/>
  <c r="J55" i="1"/>
  <c r="E55" i="1"/>
  <c r="O54" i="1"/>
  <c r="J54" i="1"/>
  <c r="E54" i="1"/>
  <c r="O53" i="1"/>
  <c r="J53" i="1"/>
  <c r="E53" i="1"/>
  <c r="O52" i="1"/>
  <c r="E52" i="1"/>
  <c r="D48" i="1"/>
  <c r="F48" i="1" s="1"/>
  <c r="D47" i="1"/>
  <c r="D46" i="1"/>
  <c r="F46" i="1" s="1"/>
  <c r="D45" i="1"/>
  <c r="E45" i="1" s="1"/>
  <c r="O41" i="1"/>
  <c r="J41" i="1"/>
  <c r="E41" i="1"/>
  <c r="O40" i="1"/>
  <c r="J40" i="1"/>
  <c r="E40" i="1"/>
  <c r="O39" i="1"/>
  <c r="J39" i="1"/>
  <c r="E39" i="1"/>
  <c r="O38" i="1"/>
  <c r="J38" i="1"/>
  <c r="E38" i="1"/>
  <c r="D34" i="1"/>
  <c r="F34" i="1" s="1"/>
  <c r="D33" i="1"/>
  <c r="F33" i="1" s="1"/>
  <c r="D32" i="1"/>
  <c r="E32" i="1" s="1"/>
  <c r="D31" i="1"/>
  <c r="E31" i="1" s="1"/>
  <c r="O27" i="1"/>
  <c r="J27" i="1"/>
  <c r="E27" i="1"/>
  <c r="O26" i="1"/>
  <c r="J26" i="1"/>
  <c r="E26" i="1"/>
  <c r="O25" i="1"/>
  <c r="J25" i="1"/>
  <c r="E25" i="1"/>
  <c r="O24" i="1"/>
  <c r="J24" i="1"/>
  <c r="E24" i="1"/>
  <c r="C6" i="1"/>
  <c r="B6" i="1"/>
  <c r="C5" i="1"/>
  <c r="B5" i="1"/>
  <c r="G145" i="1" s="1"/>
  <c r="C4" i="1"/>
  <c r="B4" i="1"/>
  <c r="O11" i="1"/>
  <c r="O12" i="1"/>
  <c r="O13" i="1"/>
  <c r="O10" i="1"/>
  <c r="J11" i="1"/>
  <c r="J12" i="1"/>
  <c r="J13" i="1"/>
  <c r="E11" i="1"/>
  <c r="E12" i="1"/>
  <c r="E13" i="1"/>
  <c r="J10" i="1"/>
  <c r="E10" i="1"/>
  <c r="C3" i="1"/>
  <c r="B3" i="1"/>
  <c r="G143" i="1" s="1"/>
  <c r="F165" i="6" l="1"/>
  <c r="F43" i="6"/>
  <c r="L165" i="6"/>
  <c r="J43" i="6"/>
  <c r="O42" i="6"/>
  <c r="R164" i="6"/>
  <c r="R41" i="6"/>
  <c r="V163" i="6"/>
  <c r="M205" i="1"/>
  <c r="T43" i="6"/>
  <c r="H7" i="6"/>
  <c r="M201" i="1"/>
  <c r="W42" i="6"/>
  <c r="I6" i="6"/>
  <c r="T193" i="1"/>
  <c r="K5" i="6"/>
  <c r="AC41" i="6"/>
  <c r="AR165" i="6"/>
  <c r="AH43" i="6"/>
  <c r="AM43" i="6"/>
  <c r="AX165" i="6"/>
  <c r="H164" i="6"/>
  <c r="G42" i="6"/>
  <c r="F189" i="1"/>
  <c r="D4" i="6"/>
  <c r="H40" i="6"/>
  <c r="I41" i="6"/>
  <c r="J163" i="6"/>
  <c r="L164" i="6"/>
  <c r="J42" i="6"/>
  <c r="M188" i="1"/>
  <c r="N40" i="6"/>
  <c r="F4" i="6"/>
  <c r="O41" i="6"/>
  <c r="R163" i="6"/>
  <c r="T164" i="6"/>
  <c r="P42" i="6"/>
  <c r="M189" i="1"/>
  <c r="Q40" i="6"/>
  <c r="G4" i="6"/>
  <c r="X163" i="6"/>
  <c r="S41" i="6"/>
  <c r="M204" i="1"/>
  <c r="Q43" i="6"/>
  <c r="G7" i="6"/>
  <c r="Z162" i="6"/>
  <c r="U40" i="6"/>
  <c r="M200" i="1"/>
  <c r="M210" i="1" s="1"/>
  <c r="T42" i="6"/>
  <c r="H6" i="6"/>
  <c r="U43" i="6"/>
  <c r="Z165" i="6"/>
  <c r="M196" i="1"/>
  <c r="I5" i="6"/>
  <c r="W41" i="6"/>
  <c r="X42" i="6"/>
  <c r="AD164" i="6"/>
  <c r="T188" i="1"/>
  <c r="AC40" i="6"/>
  <c r="K4" i="6"/>
  <c r="AD41" i="6"/>
  <c r="AL163" i="6"/>
  <c r="AN164" i="6"/>
  <c r="AE42" i="6"/>
  <c r="T189" i="1"/>
  <c r="AF40" i="6"/>
  <c r="L4" i="6"/>
  <c r="AG41" i="6"/>
  <c r="AP163" i="6"/>
  <c r="AR164" i="6"/>
  <c r="AH42" i="6"/>
  <c r="T190" i="1"/>
  <c r="T210" i="1" s="1"/>
  <c r="AI40" i="6"/>
  <c r="M4" i="6"/>
  <c r="T205" i="1"/>
  <c r="M7" i="6"/>
  <c r="AI43" i="6"/>
  <c r="T196" i="1"/>
  <c r="AL41" i="6"/>
  <c r="N5" i="6"/>
  <c r="AM42" i="6"/>
  <c r="AX164" i="6"/>
  <c r="AK44" i="6"/>
  <c r="AV166" i="6"/>
  <c r="F40" i="6"/>
  <c r="F162" i="6"/>
  <c r="F192" i="1"/>
  <c r="D5" i="6"/>
  <c r="H41" i="6"/>
  <c r="T165" i="6"/>
  <c r="P43" i="6"/>
  <c r="X164" i="6"/>
  <c r="S42" i="6"/>
  <c r="Z163" i="6"/>
  <c r="U41" i="6"/>
  <c r="Y40" i="6"/>
  <c r="AF162" i="6"/>
  <c r="AN165" i="6"/>
  <c r="AE43" i="6"/>
  <c r="T194" i="1"/>
  <c r="T209" i="1" s="1"/>
  <c r="L5" i="6"/>
  <c r="AF41" i="6"/>
  <c r="AZ162" i="6"/>
  <c r="AN40" i="6"/>
  <c r="F197" i="1"/>
  <c r="E43" i="6"/>
  <c r="C7" i="6"/>
  <c r="F194" i="1"/>
  <c r="E42" i="6"/>
  <c r="C6" i="6"/>
  <c r="F41" i="6"/>
  <c r="F163" i="6"/>
  <c r="H163" i="6"/>
  <c r="G41" i="6"/>
  <c r="J162" i="6"/>
  <c r="I40" i="6"/>
  <c r="L163" i="6"/>
  <c r="J41" i="6"/>
  <c r="F198" i="1"/>
  <c r="H43" i="6"/>
  <c r="D7" i="6"/>
  <c r="R162" i="6"/>
  <c r="O40" i="6"/>
  <c r="T163" i="6"/>
  <c r="P41" i="6"/>
  <c r="M203" i="1"/>
  <c r="N43" i="6"/>
  <c r="F7" i="6"/>
  <c r="S40" i="6"/>
  <c r="X162" i="6"/>
  <c r="M199" i="1"/>
  <c r="G6" i="6"/>
  <c r="Q42" i="6"/>
  <c r="V165" i="6"/>
  <c r="R43" i="6"/>
  <c r="AB162" i="6"/>
  <c r="V40" i="6"/>
  <c r="Z164" i="6"/>
  <c r="U42" i="6"/>
  <c r="AB165" i="6"/>
  <c r="V43" i="6"/>
  <c r="M191" i="1"/>
  <c r="W40" i="6"/>
  <c r="I4" i="6"/>
  <c r="AD163" i="6"/>
  <c r="X41" i="6"/>
  <c r="AF164" i="6"/>
  <c r="Y42" i="6"/>
  <c r="AD40" i="6"/>
  <c r="AL162" i="6"/>
  <c r="AN163" i="6"/>
  <c r="AE41" i="6"/>
  <c r="T203" i="1"/>
  <c r="AC43" i="6"/>
  <c r="K7" i="6"/>
  <c r="AG40" i="6"/>
  <c r="AP162" i="6"/>
  <c r="AR163" i="6"/>
  <c r="AH41" i="6"/>
  <c r="T204" i="1"/>
  <c r="AF43" i="6"/>
  <c r="L7" i="6"/>
  <c r="T195" i="1"/>
  <c r="M5" i="6"/>
  <c r="AI41" i="6"/>
  <c r="T191" i="1"/>
  <c r="AL40" i="6"/>
  <c r="N4" i="6"/>
  <c r="AM41" i="6"/>
  <c r="AX163" i="6"/>
  <c r="AZ164" i="6"/>
  <c r="AN42" i="6"/>
  <c r="H165" i="6"/>
  <c r="G43" i="6"/>
  <c r="J164" i="6"/>
  <c r="I42" i="6"/>
  <c r="M193" i="1"/>
  <c r="N41" i="6"/>
  <c r="F5" i="6"/>
  <c r="M190" i="1"/>
  <c r="T40" i="6"/>
  <c r="H4" i="6"/>
  <c r="X43" i="6"/>
  <c r="AD165" i="6"/>
  <c r="AD42" i="6"/>
  <c r="AL164" i="6"/>
  <c r="AP164" i="6"/>
  <c r="AG42" i="6"/>
  <c r="AJ42" i="6"/>
  <c r="AJ44" i="6" s="1"/>
  <c r="AT164" i="6"/>
  <c r="T201" i="1"/>
  <c r="AL42" i="6"/>
  <c r="N6" i="6"/>
  <c r="F42" i="6"/>
  <c r="F164" i="6"/>
  <c r="F188" i="1"/>
  <c r="E40" i="6"/>
  <c r="C4" i="6"/>
  <c r="C8" i="6" s="1"/>
  <c r="F191" i="1"/>
  <c r="E41" i="6"/>
  <c r="C5" i="6"/>
  <c r="G40" i="6"/>
  <c r="G44" i="6" s="1"/>
  <c r="H162" i="6"/>
  <c r="H166" i="6" s="1"/>
  <c r="L162" i="6"/>
  <c r="L166" i="6" s="1"/>
  <c r="J40" i="6"/>
  <c r="F195" i="1"/>
  <c r="H42" i="6"/>
  <c r="D6" i="6"/>
  <c r="I43" i="6"/>
  <c r="J165" i="6"/>
  <c r="T162" i="6"/>
  <c r="P40" i="6"/>
  <c r="P44" i="6" s="1"/>
  <c r="M198" i="1"/>
  <c r="F6" i="6"/>
  <c r="N42" i="6"/>
  <c r="R165" i="6"/>
  <c r="O43" i="6"/>
  <c r="M194" i="1"/>
  <c r="M209" i="1" s="1"/>
  <c r="G5" i="6"/>
  <c r="Q41" i="6"/>
  <c r="R42" i="6"/>
  <c r="R44" i="6" s="1"/>
  <c r="V164" i="6"/>
  <c r="X165" i="6"/>
  <c r="S43" i="6"/>
  <c r="M195" i="1"/>
  <c r="T41" i="6"/>
  <c r="H5" i="6"/>
  <c r="AB164" i="6"/>
  <c r="V42" i="6"/>
  <c r="X40" i="6"/>
  <c r="X44" i="6" s="1"/>
  <c r="AD162" i="6"/>
  <c r="AF163" i="6"/>
  <c r="AF166" i="6" s="1"/>
  <c r="Y41" i="6"/>
  <c r="M206" i="1"/>
  <c r="I7" i="6"/>
  <c r="W43" i="6"/>
  <c r="AE40" i="6"/>
  <c r="AN162" i="6"/>
  <c r="T198" i="1"/>
  <c r="K6" i="6"/>
  <c r="AC42" i="6"/>
  <c r="AL165" i="6"/>
  <c r="AD43" i="6"/>
  <c r="AR162" i="6"/>
  <c r="AR166" i="6" s="1"/>
  <c r="AH40" i="6"/>
  <c r="AH44" i="6" s="1"/>
  <c r="T199" i="1"/>
  <c r="AF42" i="6"/>
  <c r="L6" i="6"/>
  <c r="AG43" i="6"/>
  <c r="AP165" i="6"/>
  <c r="T200" i="1"/>
  <c r="AI42" i="6"/>
  <c r="M6" i="6"/>
  <c r="AX162" i="6"/>
  <c r="AX166" i="6" s="1"/>
  <c r="AM40" i="6"/>
  <c r="AZ163" i="6"/>
  <c r="AN41" i="6"/>
  <c r="T206" i="1"/>
  <c r="AL43" i="6"/>
  <c r="N7" i="6"/>
  <c r="D18" i="1"/>
  <c r="AT166" i="6"/>
  <c r="F200" i="1"/>
  <c r="G144" i="1"/>
  <c r="G146" i="1"/>
  <c r="H143" i="1"/>
  <c r="H145" i="1"/>
  <c r="F131" i="1"/>
  <c r="E34" i="1"/>
  <c r="E75" i="1"/>
  <c r="H144" i="1"/>
  <c r="H146" i="1"/>
  <c r="F45" i="1"/>
  <c r="F89" i="1"/>
  <c r="E89" i="1"/>
  <c r="F103" i="1"/>
  <c r="E103" i="1"/>
  <c r="F62" i="1"/>
  <c r="D20" i="1"/>
  <c r="E20" i="1" s="1"/>
  <c r="F59" i="1"/>
  <c r="E59" i="1"/>
  <c r="E90" i="1"/>
  <c r="F90" i="1"/>
  <c r="F118" i="1"/>
  <c r="E118" i="1"/>
  <c r="F18" i="1"/>
  <c r="F102" i="1"/>
  <c r="E48" i="1"/>
  <c r="E46" i="1"/>
  <c r="E104" i="1"/>
  <c r="F31" i="1"/>
  <c r="E60" i="1"/>
  <c r="F73" i="1"/>
  <c r="E73" i="1"/>
  <c r="F130" i="1"/>
  <c r="E130" i="1"/>
  <c r="D4" i="1"/>
  <c r="E4" i="1" s="1"/>
  <c r="F101" i="1"/>
  <c r="E101" i="1"/>
  <c r="E115" i="1"/>
  <c r="F115" i="1"/>
  <c r="F132" i="1"/>
  <c r="E132" i="1"/>
  <c r="D17" i="1"/>
  <c r="F17" i="1" s="1"/>
  <c r="D19" i="1"/>
  <c r="E19" i="1" s="1"/>
  <c r="F87" i="1"/>
  <c r="F32" i="1"/>
  <c r="E88" i="1"/>
  <c r="F129" i="1"/>
  <c r="D3" i="1"/>
  <c r="E3" i="1" s="1"/>
  <c r="F47" i="1"/>
  <c r="E47" i="1"/>
  <c r="E18" i="1"/>
  <c r="F117" i="1"/>
  <c r="D6" i="1"/>
  <c r="E6" i="1" s="1"/>
  <c r="F116" i="1"/>
  <c r="E116" i="1"/>
  <c r="E76" i="1"/>
  <c r="E33" i="1"/>
  <c r="F61" i="1"/>
  <c r="D5" i="1"/>
  <c r="F5" i="1" s="1"/>
  <c r="I8" i="6" l="1"/>
  <c r="F166" i="6"/>
  <c r="H8" i="6"/>
  <c r="N8" i="6"/>
  <c r="AG44" i="6"/>
  <c r="AB166" i="6"/>
  <c r="I44" i="6"/>
  <c r="K8" i="6"/>
  <c r="AD166" i="6"/>
  <c r="Y44" i="6"/>
  <c r="N44" i="6"/>
  <c r="F201" i="1"/>
  <c r="AE44" i="6"/>
  <c r="J44" i="6"/>
  <c r="E44" i="6"/>
  <c r="T44" i="6"/>
  <c r="AL44" i="6"/>
  <c r="AN166" i="6"/>
  <c r="W44" i="6"/>
  <c r="O44" i="6"/>
  <c r="J166" i="6"/>
  <c r="AZ166" i="6"/>
  <c r="L8" i="6"/>
  <c r="AC44" i="6"/>
  <c r="U44" i="6"/>
  <c r="Q44" i="6"/>
  <c r="M208" i="1"/>
  <c r="G8" i="6"/>
  <c r="V166" i="6"/>
  <c r="T211" i="1"/>
  <c r="M211" i="1"/>
  <c r="R166" i="6"/>
  <c r="M8" i="6"/>
  <c r="AF44" i="6"/>
  <c r="AL166" i="6"/>
  <c r="T208" i="1"/>
  <c r="Z166" i="6"/>
  <c r="H44" i="6"/>
  <c r="AN44" i="6"/>
  <c r="AM44" i="6"/>
  <c r="T166" i="6"/>
  <c r="AP166" i="6"/>
  <c r="AD44" i="6"/>
  <c r="V44" i="6"/>
  <c r="S44" i="6"/>
  <c r="F44" i="6"/>
  <c r="AI44" i="6"/>
  <c r="X166" i="6"/>
  <c r="F8" i="6"/>
  <c r="D8" i="6"/>
  <c r="F4" i="1"/>
  <c r="F3" i="1"/>
  <c r="F20" i="1"/>
  <c r="F6" i="1"/>
  <c r="E5" i="1"/>
  <c r="F19" i="1"/>
  <c r="E17" i="1"/>
</calcChain>
</file>

<file path=xl/sharedStrings.xml><?xml version="1.0" encoding="utf-8"?>
<sst xmlns="http://schemas.openxmlformats.org/spreadsheetml/2006/main" count="3158" uniqueCount="185">
  <si>
    <t>PL</t>
  </si>
  <si>
    <t>low</t>
  </si>
  <si>
    <t>high</t>
  </si>
  <si>
    <t>AP</t>
  </si>
  <si>
    <t>AT</t>
  </si>
  <si>
    <t>SE</t>
  </si>
  <si>
    <t>A</t>
  </si>
  <si>
    <t>P</t>
  </si>
  <si>
    <t>R</t>
  </si>
  <si>
    <t>F</t>
  </si>
  <si>
    <t>K</t>
  </si>
  <si>
    <t>SVM</t>
  </si>
  <si>
    <t>DT</t>
  </si>
  <si>
    <t>MLP</t>
  </si>
  <si>
    <t>FEMALE</t>
  </si>
  <si>
    <t>MALE</t>
  </si>
  <si>
    <t>RP1</t>
  </si>
  <si>
    <t>RP2</t>
  </si>
  <si>
    <t>RP3</t>
  </si>
  <si>
    <t>RP4</t>
  </si>
  <si>
    <t>RF1</t>
  </si>
  <si>
    <t>RF2</t>
  </si>
  <si>
    <t>RF3</t>
  </si>
  <si>
    <t>RF4</t>
  </si>
  <si>
    <t>SEX</t>
  </si>
  <si>
    <t>RP</t>
  </si>
  <si>
    <t>RF</t>
  </si>
  <si>
    <t>check</t>
  </si>
  <si>
    <t>AVG</t>
  </si>
  <si>
    <t>ALL</t>
  </si>
  <si>
    <t>USER</t>
  </si>
  <si>
    <t>SEX DT</t>
  </si>
  <si>
    <t>RP DT</t>
  </si>
  <si>
    <t>RF DT</t>
  </si>
  <si>
    <t>AE</t>
  </si>
  <si>
    <t>EV</t>
  </si>
  <si>
    <t>NA</t>
  </si>
  <si>
    <t>OT</t>
  </si>
  <si>
    <t>?</t>
  </si>
  <si>
    <t>Female</t>
  </si>
  <si>
    <t>Male</t>
  </si>
  <si>
    <t>BaseFeat_HoE_DT_Sex</t>
  </si>
  <si>
    <t>BaseFeat_HoE_DT</t>
  </si>
  <si>
    <t>BaseFeat_HoE_DT_RP</t>
  </si>
  <si>
    <t>BaseFeat_HoE_DT_RF</t>
  </si>
  <si>
    <t>BaseFeat_ELR_DT</t>
  </si>
  <si>
    <t>BaseFeat_ELR_DT_Sex</t>
  </si>
  <si>
    <t>BaseFeat_ELR_DT_RP</t>
  </si>
  <si>
    <t>BaseFeat_ELR_DT_RF</t>
  </si>
  <si>
    <t>Chart 1</t>
  </si>
  <si>
    <t>Chart 2</t>
  </si>
  <si>
    <t>Chart 3</t>
  </si>
  <si>
    <t>HoE_Sex-merged</t>
  </si>
  <si>
    <t>HoE_Female</t>
  </si>
  <si>
    <t>HoE_Male</t>
  </si>
  <si>
    <t>HoE_dataset</t>
  </si>
  <si>
    <t>HoE_RP-merged</t>
  </si>
  <si>
    <t>HoE_RP1</t>
  </si>
  <si>
    <t>HoE_RP2</t>
  </si>
  <si>
    <t>HoE_RP3</t>
  </si>
  <si>
    <t>HoE_RP4</t>
  </si>
  <si>
    <t>HoE_RF-merged</t>
  </si>
  <si>
    <t>HoE_RF1</t>
  </si>
  <si>
    <t>HoE_RF2</t>
  </si>
  <si>
    <t>HoE_RF3</t>
  </si>
  <si>
    <t>HoE_RF4</t>
  </si>
  <si>
    <t>BaseFeat_HoE_dataset</t>
  </si>
  <si>
    <t>BaseFeat_HoE_Sex-merged</t>
  </si>
  <si>
    <t>BaseFeat_HoE_Female</t>
  </si>
  <si>
    <t>BaseFeat_HoE_Male</t>
  </si>
  <si>
    <t>BaseFeat_HoE_RP-merged</t>
  </si>
  <si>
    <t>BaseFeat_HoE_RP1</t>
  </si>
  <si>
    <t>BaseFeat_HoE_RP2</t>
  </si>
  <si>
    <t>BaseFeat_HoE_RP3</t>
  </si>
  <si>
    <t>BaseFeat_HoE_RP4</t>
  </si>
  <si>
    <t>BaseFeat_HoE_RF-merged</t>
  </si>
  <si>
    <t>BaseFeat_HoE_RF1</t>
  </si>
  <si>
    <t>BaseFeat_HoE_RF2</t>
  </si>
  <si>
    <t>BaseFeat_HoE_RF3</t>
  </si>
  <si>
    <t>BaseFeat_HoE_RF4</t>
  </si>
  <si>
    <t>BaseFeat_ELR_dataset</t>
  </si>
  <si>
    <t>BaseFeat_ELR_Sex-merged</t>
  </si>
  <si>
    <t>BaseFeat_ELR_Female</t>
  </si>
  <si>
    <t>BaseFeat_ELR_Male</t>
  </si>
  <si>
    <t>BaseFeat_ELR_RP-merged</t>
  </si>
  <si>
    <t>BaseFeat_ELR_RP1</t>
  </si>
  <si>
    <t>BaseFeat_ELR_RP2</t>
  </si>
  <si>
    <t>BaseFeat_ELR_RP3</t>
  </si>
  <si>
    <t>BaseFeat_ELR_RP4</t>
  </si>
  <si>
    <t>BaseFeat_ELR_RF-merged</t>
  </si>
  <si>
    <t>BaseFeat_ELR_RF1</t>
  </si>
  <si>
    <t>BaseFeat_ELR_RF2</t>
  </si>
  <si>
    <t>BaseFeat_ELR_RF3</t>
  </si>
  <si>
    <t>BaseFeat_ELR_RF4</t>
  </si>
  <si>
    <t>SVM (Base)</t>
  </si>
  <si>
    <t>SVM (PCA)</t>
  </si>
  <si>
    <t>MLP (Base)</t>
  </si>
  <si>
    <t>MLP (PCA)</t>
  </si>
  <si>
    <t>ELR_dataset</t>
  </si>
  <si>
    <t>ELR_Sex-merged</t>
  </si>
  <si>
    <t>ELR_Female</t>
  </si>
  <si>
    <t>ELR_Male</t>
  </si>
  <si>
    <t>ELR_RP-merged</t>
  </si>
  <si>
    <t>ELR_RP1</t>
  </si>
  <si>
    <t>ELR_RP2</t>
  </si>
  <si>
    <t>ELR_RP3</t>
  </si>
  <si>
    <t>ELR_RP4</t>
  </si>
  <si>
    <t>ELR_RF-merged</t>
  </si>
  <si>
    <t>ELR_RF1</t>
  </si>
  <si>
    <t>ELR_RF2</t>
  </si>
  <si>
    <t>ELR_RF3</t>
  </si>
  <si>
    <t>ELR_RF4</t>
  </si>
  <si>
    <t>Aptitude</t>
  </si>
  <si>
    <t>Attention</t>
  </si>
  <si>
    <t>Pleasantness</t>
  </si>
  <si>
    <t>Sensitivity</t>
  </si>
  <si>
    <t>Average</t>
  </si>
  <si>
    <t>Aesthetic Feelings</t>
  </si>
  <si>
    <t>Evaluative Feelings</t>
  </si>
  <si>
    <t>Narrative Feelings</t>
  </si>
  <si>
    <t>Others</t>
  </si>
  <si>
    <t>Reading Preference merged</t>
  </si>
  <si>
    <t>Reading Preference: traditional books only</t>
  </si>
  <si>
    <t>Reading Preference: traditional books over eBooks</t>
  </si>
  <si>
    <t>Reading Preference: both traditional books &amp; eBooks</t>
  </si>
  <si>
    <t>Reading Preference: eBooks over traditional books</t>
  </si>
  <si>
    <t>Both sexes</t>
  </si>
  <si>
    <t>Reading Frequency merged</t>
  </si>
  <si>
    <t>Reading Frequency: 1-2 books a week</t>
  </si>
  <si>
    <t>Reading Frequency: 1-2 books a month</t>
  </si>
  <si>
    <t>Reading Frequency: 1-2 books in 6 months</t>
  </si>
  <si>
    <t>Never</t>
  </si>
  <si>
    <t>Decision Tree</t>
  </si>
  <si>
    <t>Support Vector Machine</t>
  </si>
  <si>
    <t>Multilayer Perceptron</t>
  </si>
  <si>
    <t xml:space="preserve"> IS_STRIKING</t>
  </si>
  <si>
    <t xml:space="preserve"> FROM_EVALUATIVE</t>
  </si>
  <si>
    <t xml:space="preserve"> FROM_NARRATIVE</t>
  </si>
  <si>
    <t xml:space="preserve"> FROM_AESTHETIC</t>
  </si>
  <si>
    <t xml:space="preserve"> FROM_OTHERS</t>
  </si>
  <si>
    <t>AVERAGE</t>
  </si>
  <si>
    <t>Segment</t>
  </si>
  <si>
    <t>Andrea</t>
  </si>
  <si>
    <t>Bea</t>
  </si>
  <si>
    <t>Daian</t>
  </si>
  <si>
    <t>Eldes</t>
  </si>
  <si>
    <t>Erika</t>
  </si>
  <si>
    <t>Faith</t>
  </si>
  <si>
    <t>Jan</t>
  </si>
  <si>
    <t>Jaymee</t>
  </si>
  <si>
    <t>Jed</t>
  </si>
  <si>
    <t>Joseph</t>
  </si>
  <si>
    <t>Joshua</t>
  </si>
  <si>
    <t>Kerty</t>
  </si>
  <si>
    <t>Kim</t>
  </si>
  <si>
    <t>Laurence</t>
  </si>
  <si>
    <t>Lizale</t>
  </si>
  <si>
    <t>Lyann</t>
  </si>
  <si>
    <t>Lynette</t>
  </si>
  <si>
    <t>Mark</t>
  </si>
  <si>
    <t>Maureen</t>
  </si>
  <si>
    <t>Naomi</t>
  </si>
  <si>
    <t>Phoebe</t>
  </si>
  <si>
    <t>Ralph</t>
  </si>
  <si>
    <t>Rhei</t>
  </si>
  <si>
    <t>Rheygine</t>
  </si>
  <si>
    <t>Roscoe</t>
  </si>
  <si>
    <t>Saira</t>
  </si>
  <si>
    <t>Sam</t>
  </si>
  <si>
    <t>Sharmaine</t>
  </si>
  <si>
    <t>Stephanie</t>
  </si>
  <si>
    <t>Theresa</t>
  </si>
  <si>
    <t>Vina</t>
  </si>
  <si>
    <t>Seth</t>
  </si>
  <si>
    <t>IS_STRIKING</t>
  </si>
  <si>
    <t>FROM_EVALUATIVE</t>
  </si>
  <si>
    <t>FROM_NARRATIVE</t>
  </si>
  <si>
    <t>FROM_AESTHETIC</t>
  </si>
  <si>
    <t>FROM_OTHERS</t>
  </si>
  <si>
    <t>Legend: Start of an Act</t>
  </si>
  <si>
    <t>ACT 1</t>
  </si>
  <si>
    <t>ACT 2</t>
  </si>
  <si>
    <t>ACT 3</t>
  </si>
  <si>
    <t>End</t>
  </si>
  <si>
    <t>ACT 4-5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</si>
</sst>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0" xfId="0" applyFill="1"/>
    <xf numFmtId="0" fontId="0" fillId="0" borderId="0" xfId="0" applyFill="1" applyBorder="1"/>
    <xf numFmtId="164" fontId="0" fillId="0" borderId="0" xfId="1" applyNumberFormat="1" applyFont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3" xfId="0" applyNumberFormat="1" applyBorder="1"/>
    <xf numFmtId="2" fontId="0" fillId="0" borderId="6" xfId="0" applyNumberFormat="1" applyBorder="1"/>
    <xf numFmtId="0" fontId="0" fillId="5" borderId="0" xfId="0" applyFill="1"/>
    <xf numFmtId="2" fontId="0" fillId="0" borderId="2" xfId="0" applyNumberFormat="1" applyBorder="1" applyAlignment="1">
      <alignment vertical="center" wrapText="1"/>
    </xf>
    <xf numFmtId="2" fontId="0" fillId="0" borderId="0" xfId="0" applyNumberFormat="1" applyBorder="1" applyAlignment="1">
      <alignment vertical="center" wrapText="1"/>
    </xf>
    <xf numFmtId="2" fontId="0" fillId="0" borderId="2" xfId="0" applyNumberFormat="1" applyBorder="1"/>
    <xf numFmtId="2" fontId="0" fillId="0" borderId="0" xfId="0" applyNumberFormat="1" applyFill="1" applyBorder="1"/>
    <xf numFmtId="2" fontId="0" fillId="0" borderId="4" xfId="0" applyNumberFormat="1" applyBorder="1"/>
    <xf numFmtId="2" fontId="0" fillId="0" borderId="0" xfId="0" applyNumberFormat="1"/>
    <xf numFmtId="165" fontId="0" fillId="0" borderId="0" xfId="0" applyNumberFormat="1"/>
    <xf numFmtId="165" fontId="0" fillId="0" borderId="3" xfId="0" applyNumberFormat="1" applyBorder="1"/>
    <xf numFmtId="165" fontId="0" fillId="0" borderId="6" xfId="0" applyNumberFormat="1" applyBorder="1"/>
    <xf numFmtId="2" fontId="0" fillId="0" borderId="0" xfId="0" applyNumberFormat="1" applyFont="1" applyBorder="1"/>
    <xf numFmtId="2" fontId="0" fillId="0" borderId="5" xfId="0" applyNumberFormat="1" applyFont="1" applyBorder="1"/>
    <xf numFmtId="165" fontId="0" fillId="0" borderId="6" xfId="0" applyNumberFormat="1" applyFont="1" applyBorder="1"/>
    <xf numFmtId="165" fontId="0" fillId="0" borderId="3" xfId="0" applyNumberFormat="1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6" borderId="0" xfId="0" applyFill="1" applyAlignment="1">
      <alignment vertical="center"/>
    </xf>
    <xf numFmtId="0" fontId="2" fillId="6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2" fillId="6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2" fillId="6" borderId="0" xfId="0" applyNumberFormat="1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vertical="center"/>
    </xf>
    <xf numFmtId="2" fontId="0" fillId="7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2" fontId="2" fillId="6" borderId="0" xfId="0" applyNumberFormat="1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BaseFeat_HoE!$D$186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BaseFeat_HoE!$A$187:$B$201</c:f>
              <c:multiLvlStrCache>
                <c:ptCount val="15"/>
                <c:lvl>
                  <c:pt idx="0">
                    <c:v>ALL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ALL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ALL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ALL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ALL</c:v>
                  </c:pt>
                  <c:pt idx="13">
                    <c:v>FEMALE</c:v>
                  </c:pt>
                  <c:pt idx="14">
                    <c:v>MALE</c:v>
                  </c:pt>
                </c:lvl>
                <c:lvl>
                  <c:pt idx="0">
                    <c:v>AP</c:v>
                  </c:pt>
                  <c:pt idx="3">
                    <c:v>AT</c:v>
                  </c:pt>
                  <c:pt idx="6">
                    <c:v>PL</c:v>
                  </c:pt>
                  <c:pt idx="9">
                    <c:v>SE</c:v>
                  </c:pt>
                  <c:pt idx="12">
                    <c:v>AVG</c:v>
                  </c:pt>
                </c:lvl>
              </c:multiLvlStrCache>
            </c:multiLvlStrRef>
          </c:cat>
          <c:val>
            <c:numRef>
              <c:f>BaseFeat_HoE!$D$187:$D$201</c:f>
              <c:numCache>
                <c:formatCode>0.00</c:formatCode>
                <c:ptCount val="15"/>
                <c:pt idx="0">
                  <c:v>53.53</c:v>
                </c:pt>
                <c:pt idx="1">
                  <c:v>44.23</c:v>
                </c:pt>
                <c:pt idx="2">
                  <c:v>48.63</c:v>
                </c:pt>
                <c:pt idx="3">
                  <c:v>50.82</c:v>
                </c:pt>
                <c:pt idx="4">
                  <c:v>49.6</c:v>
                </c:pt>
                <c:pt idx="5">
                  <c:v>58.78</c:v>
                </c:pt>
                <c:pt idx="6">
                  <c:v>48.48</c:v>
                </c:pt>
                <c:pt idx="7">
                  <c:v>29.45</c:v>
                </c:pt>
                <c:pt idx="8">
                  <c:v>34.880000000000003</c:v>
                </c:pt>
                <c:pt idx="9">
                  <c:v>43.79</c:v>
                </c:pt>
                <c:pt idx="10">
                  <c:v>54.59</c:v>
                </c:pt>
                <c:pt idx="11">
                  <c:v>37.74</c:v>
                </c:pt>
                <c:pt idx="12">
                  <c:v>49.154999999999994</c:v>
                </c:pt>
                <c:pt idx="13">
                  <c:v>44.467500000000001</c:v>
                </c:pt>
                <c:pt idx="14">
                  <c:v>45.0075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16-4B94-88CB-4FBCCA6C0E6C}"/>
            </c:ext>
          </c:extLst>
        </c:ser>
        <c:ser>
          <c:idx val="2"/>
          <c:order val="2"/>
          <c:tx>
            <c:strRef>
              <c:f>BaseFeat_HoE!$E$186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BaseFeat_HoE!$A$187:$B$201</c:f>
              <c:multiLvlStrCache>
                <c:ptCount val="15"/>
                <c:lvl>
                  <c:pt idx="0">
                    <c:v>ALL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ALL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ALL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ALL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ALL</c:v>
                  </c:pt>
                  <c:pt idx="13">
                    <c:v>FEMALE</c:v>
                  </c:pt>
                  <c:pt idx="14">
                    <c:v>MALE</c:v>
                  </c:pt>
                </c:lvl>
                <c:lvl>
                  <c:pt idx="0">
                    <c:v>AP</c:v>
                  </c:pt>
                  <c:pt idx="3">
                    <c:v>AT</c:v>
                  </c:pt>
                  <c:pt idx="6">
                    <c:v>PL</c:v>
                  </c:pt>
                  <c:pt idx="9">
                    <c:v>SE</c:v>
                  </c:pt>
                  <c:pt idx="12">
                    <c:v>AVG</c:v>
                  </c:pt>
                </c:lvl>
              </c:multiLvlStrCache>
            </c:multiLvlStrRef>
          </c:cat>
          <c:val>
            <c:numRef>
              <c:f>BaseFeat_HoE!$E$187:$E$201</c:f>
              <c:numCache>
                <c:formatCode>0.00</c:formatCode>
                <c:ptCount val="15"/>
                <c:pt idx="0">
                  <c:v>53.51</c:v>
                </c:pt>
                <c:pt idx="1">
                  <c:v>44.22</c:v>
                </c:pt>
                <c:pt idx="2">
                  <c:v>49.14</c:v>
                </c:pt>
                <c:pt idx="3">
                  <c:v>50.72</c:v>
                </c:pt>
                <c:pt idx="4">
                  <c:v>49.59</c:v>
                </c:pt>
                <c:pt idx="5">
                  <c:v>58.58</c:v>
                </c:pt>
                <c:pt idx="6">
                  <c:v>48.58</c:v>
                </c:pt>
                <c:pt idx="7">
                  <c:v>32.53</c:v>
                </c:pt>
                <c:pt idx="8">
                  <c:v>38.19</c:v>
                </c:pt>
                <c:pt idx="9">
                  <c:v>46.96</c:v>
                </c:pt>
                <c:pt idx="10">
                  <c:v>50.34</c:v>
                </c:pt>
                <c:pt idx="11">
                  <c:v>43.56</c:v>
                </c:pt>
                <c:pt idx="12">
                  <c:v>49.942500000000003</c:v>
                </c:pt>
                <c:pt idx="13">
                  <c:v>44.17</c:v>
                </c:pt>
                <c:pt idx="14">
                  <c:v>47.3675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16-4B94-88CB-4FBCCA6C0E6C}"/>
            </c:ext>
          </c:extLst>
        </c:ser>
        <c:ser>
          <c:idx val="3"/>
          <c:order val="3"/>
          <c:tx>
            <c:strRef>
              <c:f>BaseFeat_HoE!$F$186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BaseFeat_HoE!$A$187:$B$201</c:f>
              <c:multiLvlStrCache>
                <c:ptCount val="15"/>
                <c:lvl>
                  <c:pt idx="0">
                    <c:v>ALL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ALL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ALL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ALL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ALL</c:v>
                  </c:pt>
                  <c:pt idx="13">
                    <c:v>FEMALE</c:v>
                  </c:pt>
                  <c:pt idx="14">
                    <c:v>MALE</c:v>
                  </c:pt>
                </c:lvl>
                <c:lvl>
                  <c:pt idx="0">
                    <c:v>AP</c:v>
                  </c:pt>
                  <c:pt idx="3">
                    <c:v>AT</c:v>
                  </c:pt>
                  <c:pt idx="6">
                    <c:v>PL</c:v>
                  </c:pt>
                  <c:pt idx="9">
                    <c:v>SE</c:v>
                  </c:pt>
                  <c:pt idx="12">
                    <c:v>AVG</c:v>
                  </c:pt>
                </c:lvl>
              </c:multiLvlStrCache>
            </c:multiLvlStrRef>
          </c:cat>
          <c:val>
            <c:numRef>
              <c:f>BaseFeat_HoE!$F$187:$F$201</c:f>
              <c:numCache>
                <c:formatCode>0.00</c:formatCode>
                <c:ptCount val="15"/>
                <c:pt idx="0">
                  <c:v>53.519998131539616</c:v>
                </c:pt>
                <c:pt idx="1">
                  <c:v>44.224999434708877</c:v>
                </c:pt>
                <c:pt idx="2">
                  <c:v>48.883669837373425</c:v>
                </c:pt>
                <c:pt idx="3">
                  <c:v>50.769950758321848</c:v>
                </c:pt>
                <c:pt idx="4">
                  <c:v>49.59499949591693</c:v>
                </c:pt>
                <c:pt idx="5">
                  <c:v>58.679829584185406</c:v>
                </c:pt>
                <c:pt idx="6">
                  <c:v>48.5299484854729</c:v>
                </c:pt>
                <c:pt idx="7">
                  <c:v>30.913472087770248</c:v>
                </c:pt>
                <c:pt idx="8">
                  <c:v>36.460030108115511</c:v>
                </c:pt>
                <c:pt idx="9">
                  <c:v>45.319634159779618</c:v>
                </c:pt>
                <c:pt idx="10">
                  <c:v>52.378930715715242</c:v>
                </c:pt>
                <c:pt idx="11">
                  <c:v>40.441682656826565</c:v>
                </c:pt>
                <c:pt idx="12">
                  <c:v>49.534882883778494</c:v>
                </c:pt>
                <c:pt idx="13">
                  <c:v>44.278100433527825</c:v>
                </c:pt>
                <c:pt idx="14">
                  <c:v>46.116303046625227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16-4B94-88CB-4FBCCA6C0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352976"/>
        <c:axId val="134335406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BaseFeat_HoE!$C$186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BaseFeat_HoE!$A$187:$B$201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ALL</c:v>
                        </c:pt>
                        <c:pt idx="1">
                          <c:v>FEMALE</c:v>
                        </c:pt>
                        <c:pt idx="2">
                          <c:v>MALE</c:v>
                        </c:pt>
                        <c:pt idx="3">
                          <c:v>ALL</c:v>
                        </c:pt>
                        <c:pt idx="4">
                          <c:v>FEMALE</c:v>
                        </c:pt>
                        <c:pt idx="5">
                          <c:v>MALE</c:v>
                        </c:pt>
                        <c:pt idx="6">
                          <c:v>ALL</c:v>
                        </c:pt>
                        <c:pt idx="7">
                          <c:v>FEMALE</c:v>
                        </c:pt>
                        <c:pt idx="8">
                          <c:v>MALE</c:v>
                        </c:pt>
                        <c:pt idx="9">
                          <c:v>ALL</c:v>
                        </c:pt>
                        <c:pt idx="10">
                          <c:v>FEMALE</c:v>
                        </c:pt>
                        <c:pt idx="11">
                          <c:v>MALE</c:v>
                        </c:pt>
                        <c:pt idx="12">
                          <c:v>ALL</c:v>
                        </c:pt>
                        <c:pt idx="13">
                          <c:v>FEMALE</c:v>
                        </c:pt>
                        <c:pt idx="14">
                          <c:v>MALE</c:v>
                        </c:pt>
                      </c:lvl>
                      <c:lvl>
                        <c:pt idx="0">
                          <c:v>AP</c:v>
                        </c:pt>
                        <c:pt idx="3">
                          <c:v>AT</c:v>
                        </c:pt>
                        <c:pt idx="6">
                          <c:v>PL</c:v>
                        </c:pt>
                        <c:pt idx="9">
                          <c:v>SE</c:v>
                        </c:pt>
                        <c:pt idx="12">
                          <c:v>AVG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BaseFeat_HoE!$C$187:$C$201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54.53</c:v>
                      </c:pt>
                      <c:pt idx="1">
                        <c:v>44.12</c:v>
                      </c:pt>
                      <c:pt idx="2">
                        <c:v>56.45</c:v>
                      </c:pt>
                      <c:pt idx="3">
                        <c:v>54</c:v>
                      </c:pt>
                      <c:pt idx="4">
                        <c:v>56.15</c:v>
                      </c:pt>
                      <c:pt idx="5">
                        <c:v>58.36</c:v>
                      </c:pt>
                      <c:pt idx="6">
                        <c:v>49.76</c:v>
                      </c:pt>
                      <c:pt idx="7">
                        <c:v>33.72</c:v>
                      </c:pt>
                      <c:pt idx="8">
                        <c:v>58.74</c:v>
                      </c:pt>
                      <c:pt idx="9">
                        <c:v>66.510000000000005</c:v>
                      </c:pt>
                      <c:pt idx="10">
                        <c:v>77.22</c:v>
                      </c:pt>
                      <c:pt idx="11">
                        <c:v>59.44</c:v>
                      </c:pt>
                      <c:pt idx="12">
                        <c:v>56.2</c:v>
                      </c:pt>
                      <c:pt idx="13">
                        <c:v>52.802500000000002</c:v>
                      </c:pt>
                      <c:pt idx="14">
                        <c:v>58.247500000000002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916-4B94-88CB-4FBCCA6C0E6C}"/>
                  </c:ext>
                </c:extLst>
              </c15:ser>
            </c15:filteredBarSeries>
          </c:ext>
        </c:extLst>
      </c:barChart>
      <c:catAx>
        <c:axId val="134335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54064"/>
        <c:crosses val="autoZero"/>
        <c:auto val="1"/>
        <c:lblAlgn val="ctr"/>
        <c:lblOffset val="100"/>
        <c:noMultiLvlLbl val="0"/>
      </c:catAx>
      <c:valAx>
        <c:axId val="13433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5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PCA_ELR!$D$186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PCA_ELR!$A$187:$B$201</c:f>
              <c:multiLvlStrCache>
                <c:ptCount val="15"/>
                <c:lvl>
                  <c:pt idx="0">
                    <c:v>ALL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ALL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ALL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ALL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ALL</c:v>
                  </c:pt>
                  <c:pt idx="13">
                    <c:v>FEMALE</c:v>
                  </c:pt>
                  <c:pt idx="14">
                    <c:v>MALE</c:v>
                  </c:pt>
                </c:lvl>
                <c:lvl>
                  <c:pt idx="0">
                    <c:v>AE</c:v>
                  </c:pt>
                  <c:pt idx="3">
                    <c:v>EV</c:v>
                  </c:pt>
                  <c:pt idx="6">
                    <c:v>NA</c:v>
                  </c:pt>
                  <c:pt idx="9">
                    <c:v>OT</c:v>
                  </c:pt>
                  <c:pt idx="12">
                    <c:v>AVG</c:v>
                  </c:pt>
                </c:lvl>
              </c:multiLvlStrCache>
            </c:multiLvlStrRef>
          </c:cat>
          <c:val>
            <c:numRef>
              <c:f>PCA_ELR!$D$187:$D$201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F3-46C5-A822-47B912988005}"/>
            </c:ext>
          </c:extLst>
        </c:ser>
        <c:ser>
          <c:idx val="2"/>
          <c:order val="2"/>
          <c:tx>
            <c:strRef>
              <c:f>PCA_ELR!$E$186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PCA_ELR!$A$187:$B$201</c:f>
              <c:multiLvlStrCache>
                <c:ptCount val="15"/>
                <c:lvl>
                  <c:pt idx="0">
                    <c:v>ALL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ALL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ALL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ALL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ALL</c:v>
                  </c:pt>
                  <c:pt idx="13">
                    <c:v>FEMALE</c:v>
                  </c:pt>
                  <c:pt idx="14">
                    <c:v>MALE</c:v>
                  </c:pt>
                </c:lvl>
                <c:lvl>
                  <c:pt idx="0">
                    <c:v>AE</c:v>
                  </c:pt>
                  <c:pt idx="3">
                    <c:v>EV</c:v>
                  </c:pt>
                  <c:pt idx="6">
                    <c:v>NA</c:v>
                  </c:pt>
                  <c:pt idx="9">
                    <c:v>OT</c:v>
                  </c:pt>
                  <c:pt idx="12">
                    <c:v>AVG</c:v>
                  </c:pt>
                </c:lvl>
              </c:multiLvlStrCache>
            </c:multiLvlStrRef>
          </c:cat>
          <c:val>
            <c:numRef>
              <c:f>PCA_ELR!$E$187:$E$201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F3-46C5-A822-47B912988005}"/>
            </c:ext>
          </c:extLst>
        </c:ser>
        <c:ser>
          <c:idx val="3"/>
          <c:order val="3"/>
          <c:tx>
            <c:strRef>
              <c:f>PCA_ELR!$F$186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PCA_ELR!$A$187:$B$201</c:f>
              <c:multiLvlStrCache>
                <c:ptCount val="15"/>
                <c:lvl>
                  <c:pt idx="0">
                    <c:v>ALL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ALL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ALL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ALL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ALL</c:v>
                  </c:pt>
                  <c:pt idx="13">
                    <c:v>FEMALE</c:v>
                  </c:pt>
                  <c:pt idx="14">
                    <c:v>MALE</c:v>
                  </c:pt>
                </c:lvl>
                <c:lvl>
                  <c:pt idx="0">
                    <c:v>AE</c:v>
                  </c:pt>
                  <c:pt idx="3">
                    <c:v>EV</c:v>
                  </c:pt>
                  <c:pt idx="6">
                    <c:v>NA</c:v>
                  </c:pt>
                  <c:pt idx="9">
                    <c:v>OT</c:v>
                  </c:pt>
                  <c:pt idx="12">
                    <c:v>AVG</c:v>
                  </c:pt>
                </c:lvl>
              </c:multiLvlStrCache>
            </c:multiLvlStrRef>
          </c:cat>
          <c:val>
            <c:numRef>
              <c:f>PCA_ELR!$F$187:$F$201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FF3-46C5-A822-47B912988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989664"/>
        <c:axId val="201299020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PCA_ELR!$C$186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PCA_ELR!$A$187:$B$201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ALL</c:v>
                        </c:pt>
                        <c:pt idx="1">
                          <c:v>FEMALE</c:v>
                        </c:pt>
                        <c:pt idx="2">
                          <c:v>MALE</c:v>
                        </c:pt>
                        <c:pt idx="3">
                          <c:v>ALL</c:v>
                        </c:pt>
                        <c:pt idx="4">
                          <c:v>FEMALE</c:v>
                        </c:pt>
                        <c:pt idx="5">
                          <c:v>MALE</c:v>
                        </c:pt>
                        <c:pt idx="6">
                          <c:v>ALL</c:v>
                        </c:pt>
                        <c:pt idx="7">
                          <c:v>FEMALE</c:v>
                        </c:pt>
                        <c:pt idx="8">
                          <c:v>MALE</c:v>
                        </c:pt>
                        <c:pt idx="9">
                          <c:v>ALL</c:v>
                        </c:pt>
                        <c:pt idx="10">
                          <c:v>FEMALE</c:v>
                        </c:pt>
                        <c:pt idx="11">
                          <c:v>MALE</c:v>
                        </c:pt>
                        <c:pt idx="12">
                          <c:v>ALL</c:v>
                        </c:pt>
                        <c:pt idx="13">
                          <c:v>FEMALE</c:v>
                        </c:pt>
                        <c:pt idx="14">
                          <c:v>MALE</c:v>
                        </c:pt>
                      </c:lvl>
                      <c:lvl>
                        <c:pt idx="0">
                          <c:v>AE</c:v>
                        </c:pt>
                        <c:pt idx="3">
                          <c:v>EV</c:v>
                        </c:pt>
                        <c:pt idx="6">
                          <c:v>NA</c:v>
                        </c:pt>
                        <c:pt idx="9">
                          <c:v>OT</c:v>
                        </c:pt>
                        <c:pt idx="12">
                          <c:v>AVG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PCA_ELR!$C$187:$C$201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 formatCode="0.00">
                        <c:v>0</c:v>
                      </c:pt>
                      <c:pt idx="13" formatCode="0.00">
                        <c:v>0</c:v>
                      </c:pt>
                      <c:pt idx="14" formatCode="0.00">
                        <c:v>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6FF3-46C5-A822-47B912988005}"/>
                  </c:ext>
                </c:extLst>
              </c15:ser>
            </c15:filteredBarSeries>
          </c:ext>
        </c:extLst>
      </c:barChart>
      <c:catAx>
        <c:axId val="201298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90208"/>
        <c:crosses val="autoZero"/>
        <c:auto val="1"/>
        <c:lblAlgn val="ctr"/>
        <c:lblOffset val="100"/>
        <c:noMultiLvlLbl val="0"/>
      </c:catAx>
      <c:valAx>
        <c:axId val="20129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'ELR Chart'!$B$2</c:f>
              <c:strCache>
                <c:ptCount val="1"/>
                <c:pt idx="0">
                  <c:v> IS_STRIKING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'ELR Chart'!$B$3:$B$74</c:f>
              <c:numCache>
                <c:formatCode>0.00</c:formatCode>
                <c:ptCount val="72"/>
                <c:pt idx="0">
                  <c:v>0.28125</c:v>
                </c:pt>
                <c:pt idx="1">
                  <c:v>0.28125</c:v>
                </c:pt>
                <c:pt idx="2">
                  <c:v>0.21875</c:v>
                </c:pt>
                <c:pt idx="3">
                  <c:v>0.59375</c:v>
                </c:pt>
                <c:pt idx="4">
                  <c:v>0.53125</c:v>
                </c:pt>
                <c:pt idx="5">
                  <c:v>0.40625</c:v>
                </c:pt>
                <c:pt idx="6">
                  <c:v>0.4375</c:v>
                </c:pt>
                <c:pt idx="7">
                  <c:v>0.53125</c:v>
                </c:pt>
                <c:pt idx="8">
                  <c:v>0.46875</c:v>
                </c:pt>
                <c:pt idx="9">
                  <c:v>0.5</c:v>
                </c:pt>
                <c:pt idx="10">
                  <c:v>0.5625</c:v>
                </c:pt>
                <c:pt idx="11">
                  <c:v>0.625</c:v>
                </c:pt>
                <c:pt idx="12">
                  <c:v>0.46875</c:v>
                </c:pt>
                <c:pt idx="13">
                  <c:v>0.25</c:v>
                </c:pt>
                <c:pt idx="14">
                  <c:v>0.40625</c:v>
                </c:pt>
                <c:pt idx="15">
                  <c:v>0.59375</c:v>
                </c:pt>
                <c:pt idx="16">
                  <c:v>0.53125</c:v>
                </c:pt>
                <c:pt idx="17">
                  <c:v>0.46875</c:v>
                </c:pt>
                <c:pt idx="18">
                  <c:v>0.71875</c:v>
                </c:pt>
                <c:pt idx="19">
                  <c:v>0.40625</c:v>
                </c:pt>
                <c:pt idx="20">
                  <c:v>0.40625</c:v>
                </c:pt>
                <c:pt idx="21">
                  <c:v>0.375</c:v>
                </c:pt>
                <c:pt idx="22">
                  <c:v>0.3125</c:v>
                </c:pt>
                <c:pt idx="23">
                  <c:v>0.40625</c:v>
                </c:pt>
                <c:pt idx="24">
                  <c:v>0.53125</c:v>
                </c:pt>
                <c:pt idx="25">
                  <c:v>0.375</c:v>
                </c:pt>
                <c:pt idx="26">
                  <c:v>0.4375</c:v>
                </c:pt>
                <c:pt idx="27">
                  <c:v>0.34375</c:v>
                </c:pt>
                <c:pt idx="28">
                  <c:v>0.375</c:v>
                </c:pt>
                <c:pt idx="29">
                  <c:v>0.5625</c:v>
                </c:pt>
                <c:pt idx="30">
                  <c:v>0.625</c:v>
                </c:pt>
                <c:pt idx="31">
                  <c:v>0.59375</c:v>
                </c:pt>
                <c:pt idx="32">
                  <c:v>0.1875</c:v>
                </c:pt>
                <c:pt idx="33">
                  <c:v>0.5</c:v>
                </c:pt>
                <c:pt idx="34">
                  <c:v>0.4375</c:v>
                </c:pt>
                <c:pt idx="35">
                  <c:v>0.375</c:v>
                </c:pt>
                <c:pt idx="36">
                  <c:v>0.375</c:v>
                </c:pt>
                <c:pt idx="37">
                  <c:v>0.28125</c:v>
                </c:pt>
                <c:pt idx="38">
                  <c:v>0.28125</c:v>
                </c:pt>
                <c:pt idx="39">
                  <c:v>0.71875</c:v>
                </c:pt>
                <c:pt idx="40">
                  <c:v>0.4375</c:v>
                </c:pt>
                <c:pt idx="41">
                  <c:v>0.3125</c:v>
                </c:pt>
                <c:pt idx="42">
                  <c:v>0.28125</c:v>
                </c:pt>
                <c:pt idx="43">
                  <c:v>0.40625</c:v>
                </c:pt>
                <c:pt idx="44">
                  <c:v>0.46875</c:v>
                </c:pt>
                <c:pt idx="45">
                  <c:v>0.46875</c:v>
                </c:pt>
                <c:pt idx="46">
                  <c:v>0.375</c:v>
                </c:pt>
                <c:pt idx="47">
                  <c:v>0.25</c:v>
                </c:pt>
                <c:pt idx="48">
                  <c:v>0.34375</c:v>
                </c:pt>
                <c:pt idx="49">
                  <c:v>0.3125</c:v>
                </c:pt>
                <c:pt idx="50">
                  <c:v>0.1875</c:v>
                </c:pt>
                <c:pt idx="51">
                  <c:v>0.65625</c:v>
                </c:pt>
                <c:pt idx="52">
                  <c:v>0.375</c:v>
                </c:pt>
                <c:pt idx="53">
                  <c:v>0.28125</c:v>
                </c:pt>
                <c:pt idx="54">
                  <c:v>0.5625</c:v>
                </c:pt>
                <c:pt idx="55">
                  <c:v>0.34375</c:v>
                </c:pt>
                <c:pt idx="56">
                  <c:v>0.46875</c:v>
                </c:pt>
                <c:pt idx="57">
                  <c:v>0.5</c:v>
                </c:pt>
                <c:pt idx="58">
                  <c:v>0.34375</c:v>
                </c:pt>
                <c:pt idx="59">
                  <c:v>0.40625</c:v>
                </c:pt>
                <c:pt idx="60">
                  <c:v>0.28125</c:v>
                </c:pt>
                <c:pt idx="61">
                  <c:v>0.5625</c:v>
                </c:pt>
                <c:pt idx="62">
                  <c:v>0.4375</c:v>
                </c:pt>
                <c:pt idx="63">
                  <c:v>0.21875</c:v>
                </c:pt>
                <c:pt idx="64">
                  <c:v>0.28125</c:v>
                </c:pt>
                <c:pt idx="65">
                  <c:v>0.71875</c:v>
                </c:pt>
                <c:pt idx="66">
                  <c:v>0.625</c:v>
                </c:pt>
                <c:pt idx="67">
                  <c:v>0.5625</c:v>
                </c:pt>
                <c:pt idx="68">
                  <c:v>0.5</c:v>
                </c:pt>
                <c:pt idx="69">
                  <c:v>0.65625</c:v>
                </c:pt>
                <c:pt idx="70">
                  <c:v>0.40625</c:v>
                </c:pt>
                <c:pt idx="71">
                  <c:v>0.5625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F4-42F7-A19A-473943CD5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303440"/>
        <c:axId val="1618296912"/>
      </c:lineChart>
      <c:catAx>
        <c:axId val="161830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96912"/>
        <c:crosses val="autoZero"/>
        <c:auto val="1"/>
        <c:lblAlgn val="ctr"/>
        <c:lblOffset val="100"/>
        <c:noMultiLvlLbl val="0"/>
      </c:catAx>
      <c:valAx>
        <c:axId val="16182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'ELR Chart'!$C$2</c:f>
              <c:strCache>
                <c:ptCount val="1"/>
                <c:pt idx="0">
                  <c:v> FROM_EVALUATIVE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'ELR Chart'!$C$3:$C$74</c:f>
              <c:numCache>
                <c:formatCode>0.00</c:formatCode>
                <c:ptCount val="72"/>
                <c:pt idx="0">
                  <c:v>0.3125</c:v>
                </c:pt>
                <c:pt idx="1">
                  <c:v>0.125</c:v>
                </c:pt>
                <c:pt idx="2">
                  <c:v>0.375</c:v>
                </c:pt>
                <c:pt idx="3">
                  <c:v>0.46875</c:v>
                </c:pt>
                <c:pt idx="4">
                  <c:v>0.375</c:v>
                </c:pt>
                <c:pt idx="5">
                  <c:v>0.375</c:v>
                </c:pt>
                <c:pt idx="6">
                  <c:v>0.3125</c:v>
                </c:pt>
                <c:pt idx="7">
                  <c:v>0.375</c:v>
                </c:pt>
                <c:pt idx="8">
                  <c:v>0.375</c:v>
                </c:pt>
                <c:pt idx="9">
                  <c:v>0.21875</c:v>
                </c:pt>
                <c:pt idx="10">
                  <c:v>0.40625</c:v>
                </c:pt>
                <c:pt idx="11">
                  <c:v>0.53125</c:v>
                </c:pt>
                <c:pt idx="12">
                  <c:v>0.34375</c:v>
                </c:pt>
                <c:pt idx="13">
                  <c:v>0.34375</c:v>
                </c:pt>
                <c:pt idx="14">
                  <c:v>0.40625</c:v>
                </c:pt>
                <c:pt idx="15">
                  <c:v>0.28125</c:v>
                </c:pt>
                <c:pt idx="16">
                  <c:v>0.53125</c:v>
                </c:pt>
                <c:pt idx="17">
                  <c:v>0.4375</c:v>
                </c:pt>
                <c:pt idx="18">
                  <c:v>0.34375</c:v>
                </c:pt>
                <c:pt idx="19">
                  <c:v>0.4375</c:v>
                </c:pt>
                <c:pt idx="20">
                  <c:v>0.40625</c:v>
                </c:pt>
                <c:pt idx="21">
                  <c:v>0.5</c:v>
                </c:pt>
                <c:pt idx="22">
                  <c:v>0.5</c:v>
                </c:pt>
                <c:pt idx="23">
                  <c:v>0.46875</c:v>
                </c:pt>
                <c:pt idx="24">
                  <c:v>0.5</c:v>
                </c:pt>
                <c:pt idx="25">
                  <c:v>0.40625</c:v>
                </c:pt>
                <c:pt idx="26">
                  <c:v>0.46875</c:v>
                </c:pt>
                <c:pt idx="27">
                  <c:v>0.40625</c:v>
                </c:pt>
                <c:pt idx="28">
                  <c:v>0.53125</c:v>
                </c:pt>
                <c:pt idx="29">
                  <c:v>0.5</c:v>
                </c:pt>
                <c:pt idx="30">
                  <c:v>0.53125</c:v>
                </c:pt>
                <c:pt idx="31">
                  <c:v>0.46875</c:v>
                </c:pt>
                <c:pt idx="32">
                  <c:v>0.375</c:v>
                </c:pt>
                <c:pt idx="33">
                  <c:v>0.5625</c:v>
                </c:pt>
                <c:pt idx="34">
                  <c:v>0.5625</c:v>
                </c:pt>
                <c:pt idx="35">
                  <c:v>0.4375</c:v>
                </c:pt>
                <c:pt idx="36">
                  <c:v>0.375</c:v>
                </c:pt>
                <c:pt idx="37">
                  <c:v>0.46875</c:v>
                </c:pt>
                <c:pt idx="38">
                  <c:v>0.4375</c:v>
                </c:pt>
                <c:pt idx="39">
                  <c:v>0.59375</c:v>
                </c:pt>
                <c:pt idx="40">
                  <c:v>0.5</c:v>
                </c:pt>
                <c:pt idx="41">
                  <c:v>0.40625</c:v>
                </c:pt>
                <c:pt idx="42">
                  <c:v>0.34375</c:v>
                </c:pt>
                <c:pt idx="43">
                  <c:v>0.34375</c:v>
                </c:pt>
                <c:pt idx="44">
                  <c:v>0.4375</c:v>
                </c:pt>
                <c:pt idx="45">
                  <c:v>0.34375</c:v>
                </c:pt>
                <c:pt idx="46">
                  <c:v>0.40625</c:v>
                </c:pt>
                <c:pt idx="47">
                  <c:v>0.40625</c:v>
                </c:pt>
                <c:pt idx="48">
                  <c:v>0.46875</c:v>
                </c:pt>
                <c:pt idx="49">
                  <c:v>0.59375</c:v>
                </c:pt>
                <c:pt idx="50">
                  <c:v>0.46875</c:v>
                </c:pt>
                <c:pt idx="51">
                  <c:v>0.5</c:v>
                </c:pt>
                <c:pt idx="52">
                  <c:v>0.40625</c:v>
                </c:pt>
                <c:pt idx="53">
                  <c:v>0.59375</c:v>
                </c:pt>
                <c:pt idx="54">
                  <c:v>0.59375</c:v>
                </c:pt>
                <c:pt idx="55">
                  <c:v>0.40625</c:v>
                </c:pt>
                <c:pt idx="56">
                  <c:v>0.53125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0.375</c:v>
                </c:pt>
                <c:pt idx="61">
                  <c:v>0.53125</c:v>
                </c:pt>
                <c:pt idx="62">
                  <c:v>0.53125</c:v>
                </c:pt>
                <c:pt idx="63">
                  <c:v>0.34375</c:v>
                </c:pt>
                <c:pt idx="64">
                  <c:v>0.4375</c:v>
                </c:pt>
                <c:pt idx="65">
                  <c:v>0.53125</c:v>
                </c:pt>
                <c:pt idx="66">
                  <c:v>0.5625</c:v>
                </c:pt>
                <c:pt idx="67">
                  <c:v>0.375</c:v>
                </c:pt>
                <c:pt idx="68">
                  <c:v>0.375</c:v>
                </c:pt>
                <c:pt idx="69">
                  <c:v>0.46875</c:v>
                </c:pt>
                <c:pt idx="70">
                  <c:v>0.3125</c:v>
                </c:pt>
                <c:pt idx="71">
                  <c:v>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6B-48DC-806E-5715C4E5D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298544"/>
        <c:axId val="1618295280"/>
      </c:lineChart>
      <c:catAx>
        <c:axId val="161829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95280"/>
        <c:crosses val="autoZero"/>
        <c:auto val="1"/>
        <c:lblAlgn val="ctr"/>
        <c:lblOffset val="100"/>
        <c:noMultiLvlLbl val="0"/>
      </c:catAx>
      <c:valAx>
        <c:axId val="16182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'ELR Chart'!$E$2</c:f>
              <c:strCache>
                <c:ptCount val="1"/>
                <c:pt idx="0">
                  <c:v> FROM_AESTHETIC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'ELR Chart'!$E$3:$E$74</c:f>
              <c:numCache>
                <c:formatCode>0.00</c:formatCode>
                <c:ptCount val="72"/>
                <c:pt idx="0">
                  <c:v>0.1875</c:v>
                </c:pt>
                <c:pt idx="1">
                  <c:v>0.5</c:v>
                </c:pt>
                <c:pt idx="2">
                  <c:v>0.25</c:v>
                </c:pt>
                <c:pt idx="3">
                  <c:v>0.25</c:v>
                </c:pt>
                <c:pt idx="4">
                  <c:v>9.375E-2</c:v>
                </c:pt>
                <c:pt idx="5">
                  <c:v>0.21875</c:v>
                </c:pt>
                <c:pt idx="6">
                  <c:v>0.125</c:v>
                </c:pt>
                <c:pt idx="7">
                  <c:v>0.25</c:v>
                </c:pt>
                <c:pt idx="8">
                  <c:v>0.34375</c:v>
                </c:pt>
                <c:pt idx="9">
                  <c:v>0.59375</c:v>
                </c:pt>
                <c:pt idx="10">
                  <c:v>6.25E-2</c:v>
                </c:pt>
                <c:pt idx="11">
                  <c:v>9.375E-2</c:v>
                </c:pt>
                <c:pt idx="12">
                  <c:v>0.21875</c:v>
                </c:pt>
                <c:pt idx="13">
                  <c:v>6.25E-2</c:v>
                </c:pt>
                <c:pt idx="14">
                  <c:v>9.375E-2</c:v>
                </c:pt>
                <c:pt idx="15">
                  <c:v>0.125</c:v>
                </c:pt>
                <c:pt idx="16">
                  <c:v>6.25E-2</c:v>
                </c:pt>
                <c:pt idx="17">
                  <c:v>6.25E-2</c:v>
                </c:pt>
                <c:pt idx="18">
                  <c:v>0.28125</c:v>
                </c:pt>
                <c:pt idx="19">
                  <c:v>0.21875</c:v>
                </c:pt>
                <c:pt idx="20">
                  <c:v>9.375E-2</c:v>
                </c:pt>
                <c:pt idx="21">
                  <c:v>0.375</c:v>
                </c:pt>
                <c:pt idx="22">
                  <c:v>0.125</c:v>
                </c:pt>
                <c:pt idx="23">
                  <c:v>0.1875</c:v>
                </c:pt>
                <c:pt idx="24">
                  <c:v>0.125</c:v>
                </c:pt>
                <c:pt idx="25">
                  <c:v>0.1875</c:v>
                </c:pt>
                <c:pt idx="26">
                  <c:v>0.15625</c:v>
                </c:pt>
                <c:pt idx="27">
                  <c:v>9.375E-2</c:v>
                </c:pt>
                <c:pt idx="28">
                  <c:v>6.25E-2</c:v>
                </c:pt>
                <c:pt idx="29">
                  <c:v>9.375E-2</c:v>
                </c:pt>
                <c:pt idx="30">
                  <c:v>0.1875</c:v>
                </c:pt>
                <c:pt idx="31">
                  <c:v>0.15625</c:v>
                </c:pt>
                <c:pt idx="32">
                  <c:v>0.125</c:v>
                </c:pt>
                <c:pt idx="33">
                  <c:v>0.15625</c:v>
                </c:pt>
                <c:pt idx="34">
                  <c:v>6.25E-2</c:v>
                </c:pt>
                <c:pt idx="35">
                  <c:v>0.15625</c:v>
                </c:pt>
                <c:pt idx="36">
                  <c:v>0.1875</c:v>
                </c:pt>
                <c:pt idx="37">
                  <c:v>0</c:v>
                </c:pt>
                <c:pt idx="38">
                  <c:v>9.375E-2</c:v>
                </c:pt>
                <c:pt idx="39">
                  <c:v>6.25E-2</c:v>
                </c:pt>
                <c:pt idx="40">
                  <c:v>3.125E-2</c:v>
                </c:pt>
                <c:pt idx="41">
                  <c:v>9.375E-2</c:v>
                </c:pt>
                <c:pt idx="42">
                  <c:v>3.125E-2</c:v>
                </c:pt>
                <c:pt idx="43">
                  <c:v>9.375E-2</c:v>
                </c:pt>
                <c:pt idx="44">
                  <c:v>3.125E-2</c:v>
                </c:pt>
                <c:pt idx="45">
                  <c:v>3.125E-2</c:v>
                </c:pt>
                <c:pt idx="46">
                  <c:v>0.15625</c:v>
                </c:pt>
                <c:pt idx="47">
                  <c:v>0.15625</c:v>
                </c:pt>
                <c:pt idx="48">
                  <c:v>9.375E-2</c:v>
                </c:pt>
                <c:pt idx="49">
                  <c:v>0.1875</c:v>
                </c:pt>
                <c:pt idx="50">
                  <c:v>0.15625</c:v>
                </c:pt>
                <c:pt idx="51">
                  <c:v>0.15625</c:v>
                </c:pt>
                <c:pt idx="52">
                  <c:v>3.125E-2</c:v>
                </c:pt>
                <c:pt idx="53">
                  <c:v>0.1875</c:v>
                </c:pt>
                <c:pt idx="54">
                  <c:v>0.125</c:v>
                </c:pt>
                <c:pt idx="55">
                  <c:v>0.15625</c:v>
                </c:pt>
                <c:pt idx="56">
                  <c:v>0.125</c:v>
                </c:pt>
                <c:pt idx="57">
                  <c:v>9.375E-2</c:v>
                </c:pt>
                <c:pt idx="58">
                  <c:v>0.125</c:v>
                </c:pt>
                <c:pt idx="59">
                  <c:v>6.25E-2</c:v>
                </c:pt>
                <c:pt idx="60">
                  <c:v>0.1875</c:v>
                </c:pt>
                <c:pt idx="61">
                  <c:v>0.125</c:v>
                </c:pt>
                <c:pt idx="62">
                  <c:v>0</c:v>
                </c:pt>
                <c:pt idx="63">
                  <c:v>9.375E-2</c:v>
                </c:pt>
                <c:pt idx="64">
                  <c:v>6.25E-2</c:v>
                </c:pt>
                <c:pt idx="65">
                  <c:v>9.375E-2</c:v>
                </c:pt>
                <c:pt idx="66">
                  <c:v>3.125E-2</c:v>
                </c:pt>
                <c:pt idx="67">
                  <c:v>0.15625</c:v>
                </c:pt>
                <c:pt idx="68">
                  <c:v>0.125</c:v>
                </c:pt>
                <c:pt idx="69">
                  <c:v>0.15625</c:v>
                </c:pt>
                <c:pt idx="70">
                  <c:v>0.125</c:v>
                </c:pt>
                <c:pt idx="71">
                  <c:v>0.1875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D7-4747-82C4-8B7E938CB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305616"/>
        <c:axId val="1618286576"/>
      </c:lineChart>
      <c:catAx>
        <c:axId val="161830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86576"/>
        <c:crosses val="autoZero"/>
        <c:auto val="1"/>
        <c:lblAlgn val="ctr"/>
        <c:lblOffset val="100"/>
        <c:noMultiLvlLbl val="0"/>
      </c:catAx>
      <c:valAx>
        <c:axId val="16182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0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'ELR Chart'!$F$2</c:f>
              <c:strCache>
                <c:ptCount val="1"/>
                <c:pt idx="0">
                  <c:v> FROM_OTHERS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'ELR Chart'!$F$3:$F$74</c:f>
              <c:numCache>
                <c:formatCode>0.00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0</c:v>
                </c:pt>
                <c:pt idx="4">
                  <c:v>0</c:v>
                </c:pt>
                <c:pt idx="5">
                  <c:v>6.25E-2</c:v>
                </c:pt>
                <c:pt idx="6">
                  <c:v>9.375E-2</c:v>
                </c:pt>
                <c:pt idx="7">
                  <c:v>6.25E-2</c:v>
                </c:pt>
                <c:pt idx="8">
                  <c:v>6.25E-2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3.125E-2</c:v>
                </c:pt>
                <c:pt idx="13">
                  <c:v>6.25E-2</c:v>
                </c:pt>
                <c:pt idx="14">
                  <c:v>3.125E-2</c:v>
                </c:pt>
                <c:pt idx="15">
                  <c:v>3.125E-2</c:v>
                </c:pt>
                <c:pt idx="16">
                  <c:v>6.25E-2</c:v>
                </c:pt>
                <c:pt idx="17">
                  <c:v>0</c:v>
                </c:pt>
                <c:pt idx="18">
                  <c:v>0</c:v>
                </c:pt>
                <c:pt idx="19">
                  <c:v>9.375E-2</c:v>
                </c:pt>
                <c:pt idx="20">
                  <c:v>3.125E-2</c:v>
                </c:pt>
                <c:pt idx="21">
                  <c:v>6.25E-2</c:v>
                </c:pt>
                <c:pt idx="22">
                  <c:v>3.125E-2</c:v>
                </c:pt>
                <c:pt idx="23">
                  <c:v>6.25E-2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6.25E-2</c:v>
                </c:pt>
                <c:pt idx="28">
                  <c:v>3.125E-2</c:v>
                </c:pt>
                <c:pt idx="29">
                  <c:v>3.125E-2</c:v>
                </c:pt>
                <c:pt idx="30">
                  <c:v>0</c:v>
                </c:pt>
                <c:pt idx="31">
                  <c:v>3.125E-2</c:v>
                </c:pt>
                <c:pt idx="32">
                  <c:v>3.125E-2</c:v>
                </c:pt>
                <c:pt idx="33">
                  <c:v>0</c:v>
                </c:pt>
                <c:pt idx="34">
                  <c:v>0</c:v>
                </c:pt>
                <c:pt idx="35">
                  <c:v>3.125E-2</c:v>
                </c:pt>
                <c:pt idx="36">
                  <c:v>3.125E-2</c:v>
                </c:pt>
                <c:pt idx="37">
                  <c:v>6.25E-2</c:v>
                </c:pt>
                <c:pt idx="38">
                  <c:v>3.125E-2</c:v>
                </c:pt>
                <c:pt idx="39">
                  <c:v>0</c:v>
                </c:pt>
                <c:pt idx="40">
                  <c:v>3.125E-2</c:v>
                </c:pt>
                <c:pt idx="41">
                  <c:v>6.25E-2</c:v>
                </c:pt>
                <c:pt idx="42">
                  <c:v>6.25E-2</c:v>
                </c:pt>
                <c:pt idx="43">
                  <c:v>6.25E-2</c:v>
                </c:pt>
                <c:pt idx="44">
                  <c:v>6.25E-2</c:v>
                </c:pt>
                <c:pt idx="45">
                  <c:v>3.125E-2</c:v>
                </c:pt>
                <c:pt idx="46">
                  <c:v>3.125E-2</c:v>
                </c:pt>
                <c:pt idx="47">
                  <c:v>3.125E-2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3.125E-2</c:v>
                </c:pt>
                <c:pt idx="53">
                  <c:v>3.125E-2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3.125E-2</c:v>
                </c:pt>
                <c:pt idx="62">
                  <c:v>0</c:v>
                </c:pt>
                <c:pt idx="63">
                  <c:v>3.125E-2</c:v>
                </c:pt>
                <c:pt idx="64">
                  <c:v>0</c:v>
                </c:pt>
                <c:pt idx="65">
                  <c:v>3.125E-2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6.25E-2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99-428D-BBB7-9BFDB4894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300720"/>
        <c:axId val="1618301264"/>
      </c:lineChart>
      <c:catAx>
        <c:axId val="161830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01264"/>
        <c:crosses val="autoZero"/>
        <c:auto val="1"/>
        <c:lblAlgn val="ctr"/>
        <c:lblOffset val="100"/>
        <c:noMultiLvlLbl val="0"/>
      </c:catAx>
      <c:valAx>
        <c:axId val="16183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'ELR Chart'!$D$2</c:f>
              <c:strCache>
                <c:ptCount val="1"/>
                <c:pt idx="0">
                  <c:v> FROM_NARRATIVE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'ELR Chart'!$D$3:$D$74</c:f>
              <c:numCache>
                <c:formatCode>0.00</c:formatCode>
                <c:ptCount val="72"/>
                <c:pt idx="0">
                  <c:v>0.65625</c:v>
                </c:pt>
                <c:pt idx="1">
                  <c:v>0.5</c:v>
                </c:pt>
                <c:pt idx="2">
                  <c:v>0.40625</c:v>
                </c:pt>
                <c:pt idx="3">
                  <c:v>0.4375</c:v>
                </c:pt>
                <c:pt idx="4">
                  <c:v>0.59375</c:v>
                </c:pt>
                <c:pt idx="5">
                  <c:v>0.5</c:v>
                </c:pt>
                <c:pt idx="6">
                  <c:v>0.59375</c:v>
                </c:pt>
                <c:pt idx="7">
                  <c:v>0.5</c:v>
                </c:pt>
                <c:pt idx="8">
                  <c:v>0.46875</c:v>
                </c:pt>
                <c:pt idx="9">
                  <c:v>0.3125</c:v>
                </c:pt>
                <c:pt idx="10">
                  <c:v>0.6875</c:v>
                </c:pt>
                <c:pt idx="11">
                  <c:v>0.59375</c:v>
                </c:pt>
                <c:pt idx="12">
                  <c:v>0.5625</c:v>
                </c:pt>
                <c:pt idx="13">
                  <c:v>0.53125</c:v>
                </c:pt>
                <c:pt idx="14">
                  <c:v>0.65625</c:v>
                </c:pt>
                <c:pt idx="15">
                  <c:v>0.6875</c:v>
                </c:pt>
                <c:pt idx="16">
                  <c:v>0.5625</c:v>
                </c:pt>
                <c:pt idx="17">
                  <c:v>0.65625</c:v>
                </c:pt>
                <c:pt idx="18">
                  <c:v>0.625</c:v>
                </c:pt>
                <c:pt idx="19">
                  <c:v>0.53125</c:v>
                </c:pt>
                <c:pt idx="20">
                  <c:v>0.5625</c:v>
                </c:pt>
                <c:pt idx="21">
                  <c:v>0.375</c:v>
                </c:pt>
                <c:pt idx="22">
                  <c:v>0.4375</c:v>
                </c:pt>
                <c:pt idx="23">
                  <c:v>0.5625</c:v>
                </c:pt>
                <c:pt idx="24">
                  <c:v>0.5625</c:v>
                </c:pt>
                <c:pt idx="25">
                  <c:v>0.625</c:v>
                </c:pt>
                <c:pt idx="26">
                  <c:v>0.46875</c:v>
                </c:pt>
                <c:pt idx="27">
                  <c:v>0.59375</c:v>
                </c:pt>
                <c:pt idx="28">
                  <c:v>0.5</c:v>
                </c:pt>
                <c:pt idx="29">
                  <c:v>0.65625</c:v>
                </c:pt>
                <c:pt idx="30">
                  <c:v>0.53125</c:v>
                </c:pt>
                <c:pt idx="31">
                  <c:v>0.5625</c:v>
                </c:pt>
                <c:pt idx="32">
                  <c:v>0.4375</c:v>
                </c:pt>
                <c:pt idx="33">
                  <c:v>0.59375</c:v>
                </c:pt>
                <c:pt idx="34">
                  <c:v>0.53125</c:v>
                </c:pt>
                <c:pt idx="35">
                  <c:v>0.5</c:v>
                </c:pt>
                <c:pt idx="36">
                  <c:v>0.5625</c:v>
                </c:pt>
                <c:pt idx="37">
                  <c:v>0.59375</c:v>
                </c:pt>
                <c:pt idx="38">
                  <c:v>0.53125</c:v>
                </c:pt>
                <c:pt idx="39">
                  <c:v>0.6875</c:v>
                </c:pt>
                <c:pt idx="40">
                  <c:v>0.5625</c:v>
                </c:pt>
                <c:pt idx="41">
                  <c:v>0.5625</c:v>
                </c:pt>
                <c:pt idx="42">
                  <c:v>0.59375</c:v>
                </c:pt>
                <c:pt idx="43">
                  <c:v>0.59375</c:v>
                </c:pt>
                <c:pt idx="44">
                  <c:v>0.59375</c:v>
                </c:pt>
                <c:pt idx="45">
                  <c:v>0.75</c:v>
                </c:pt>
                <c:pt idx="46">
                  <c:v>0.5625</c:v>
                </c:pt>
                <c:pt idx="47">
                  <c:v>0.625</c:v>
                </c:pt>
                <c:pt idx="48">
                  <c:v>0.59375</c:v>
                </c:pt>
                <c:pt idx="49">
                  <c:v>0.5625</c:v>
                </c:pt>
                <c:pt idx="50">
                  <c:v>0.46875</c:v>
                </c:pt>
                <c:pt idx="51">
                  <c:v>0.625</c:v>
                </c:pt>
                <c:pt idx="52">
                  <c:v>0.65625</c:v>
                </c:pt>
                <c:pt idx="53">
                  <c:v>0.40625</c:v>
                </c:pt>
                <c:pt idx="54">
                  <c:v>0.625</c:v>
                </c:pt>
                <c:pt idx="55">
                  <c:v>0.59375</c:v>
                </c:pt>
                <c:pt idx="56">
                  <c:v>0.65625</c:v>
                </c:pt>
                <c:pt idx="57">
                  <c:v>0.58064516129032262</c:v>
                </c:pt>
                <c:pt idx="58">
                  <c:v>0.64516129032258063</c:v>
                </c:pt>
                <c:pt idx="59">
                  <c:v>0.67741935483870963</c:v>
                </c:pt>
                <c:pt idx="60">
                  <c:v>0.54838709677419351</c:v>
                </c:pt>
                <c:pt idx="61">
                  <c:v>0.54838709677419351</c:v>
                </c:pt>
                <c:pt idx="62">
                  <c:v>0.70967741935483875</c:v>
                </c:pt>
                <c:pt idx="63">
                  <c:v>0.54838709677419351</c:v>
                </c:pt>
                <c:pt idx="64">
                  <c:v>0.54838709677419351</c:v>
                </c:pt>
                <c:pt idx="65">
                  <c:v>0.54838709677419351</c:v>
                </c:pt>
                <c:pt idx="66">
                  <c:v>0.67741935483870963</c:v>
                </c:pt>
                <c:pt idx="67">
                  <c:v>0.64516129032258063</c:v>
                </c:pt>
                <c:pt idx="68">
                  <c:v>0.67741935483870963</c:v>
                </c:pt>
                <c:pt idx="69">
                  <c:v>0.70967741935483875</c:v>
                </c:pt>
                <c:pt idx="70">
                  <c:v>0.70967741935483875</c:v>
                </c:pt>
                <c:pt idx="71">
                  <c:v>0.61290322580645162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F2-4EB6-8AAD-B7840B43B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282224"/>
        <c:axId val="1618303984"/>
      </c:lineChart>
      <c:catAx>
        <c:axId val="161828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03984"/>
        <c:crosses val="autoZero"/>
        <c:auto val="1"/>
        <c:lblAlgn val="ctr"/>
        <c:lblOffset val="100"/>
        <c:noMultiLvlLbl val="0"/>
      </c:catAx>
      <c:valAx>
        <c:axId val="16183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8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'ELR Chart (5-Act)'!$C$2</c:f>
              <c:strCache>
                <c:ptCount val="1"/>
                <c:pt idx="0">
                  <c:v> FROM_EVALUATIVE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'ELR Chart (5-Act)'!$A$3:$A$19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'ELR Chart (5-Act)'!$C$3:$C$19</c:f>
              <c:numCache>
                <c:formatCode>0.00</c:formatCode>
                <c:ptCount val="17"/>
                <c:pt idx="0">
                  <c:v>0.3125</c:v>
                </c:pt>
                <c:pt idx="1">
                  <c:v>0.125</c:v>
                </c:pt>
                <c:pt idx="2">
                  <c:v>0.375</c:v>
                </c:pt>
                <c:pt idx="3">
                  <c:v>0.46875</c:v>
                </c:pt>
                <c:pt idx="4">
                  <c:v>0.375</c:v>
                </c:pt>
                <c:pt idx="5">
                  <c:v>0.375</c:v>
                </c:pt>
                <c:pt idx="6">
                  <c:v>0.3125</c:v>
                </c:pt>
                <c:pt idx="7">
                  <c:v>0.375</c:v>
                </c:pt>
                <c:pt idx="8">
                  <c:v>0.375</c:v>
                </c:pt>
                <c:pt idx="9">
                  <c:v>0.21875</c:v>
                </c:pt>
                <c:pt idx="10">
                  <c:v>0.40625</c:v>
                </c:pt>
                <c:pt idx="11">
                  <c:v>0.53125</c:v>
                </c:pt>
                <c:pt idx="12">
                  <c:v>0.34375</c:v>
                </c:pt>
                <c:pt idx="13">
                  <c:v>0.34375</c:v>
                </c:pt>
                <c:pt idx="14">
                  <c:v>0.40625</c:v>
                </c:pt>
                <c:pt idx="15">
                  <c:v>0.28125</c:v>
                </c:pt>
                <c:pt idx="16">
                  <c:v>0.53125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5A-4D5B-B42A-196037500EFF}"/>
            </c:ext>
          </c:extLst>
        </c:ser>
        <c:ser>
          <c:idx val="2"/>
          <c:order val="1"/>
          <c:tx>
            <c:strRef>
              <c:f>'ELR Chart (5-Act)'!$D$2</c:f>
              <c:strCache>
                <c:ptCount val="1"/>
                <c:pt idx="0">
                  <c:v> FROM_NARRATIVE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'ELR Chart (5-Act)'!$A$3:$A$19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'ELR Chart (5-Act)'!$D$3:$D$19</c:f>
              <c:numCache>
                <c:formatCode>0.00</c:formatCode>
                <c:ptCount val="17"/>
                <c:pt idx="0">
                  <c:v>0.65625</c:v>
                </c:pt>
                <c:pt idx="1">
                  <c:v>0.5</c:v>
                </c:pt>
                <c:pt idx="2">
                  <c:v>0.40625</c:v>
                </c:pt>
                <c:pt idx="3">
                  <c:v>0.4375</c:v>
                </c:pt>
                <c:pt idx="4">
                  <c:v>0.59375</c:v>
                </c:pt>
                <c:pt idx="5">
                  <c:v>0.5</c:v>
                </c:pt>
                <c:pt idx="6">
                  <c:v>0.59375</c:v>
                </c:pt>
                <c:pt idx="7">
                  <c:v>0.5</c:v>
                </c:pt>
                <c:pt idx="8">
                  <c:v>0.46875</c:v>
                </c:pt>
                <c:pt idx="9">
                  <c:v>0.3125</c:v>
                </c:pt>
                <c:pt idx="10">
                  <c:v>0.6875</c:v>
                </c:pt>
                <c:pt idx="11">
                  <c:v>0.59375</c:v>
                </c:pt>
                <c:pt idx="12">
                  <c:v>0.5625</c:v>
                </c:pt>
                <c:pt idx="13">
                  <c:v>0.53125</c:v>
                </c:pt>
                <c:pt idx="14">
                  <c:v>0.65625</c:v>
                </c:pt>
                <c:pt idx="15">
                  <c:v>0.6875</c:v>
                </c:pt>
                <c:pt idx="16">
                  <c:v>0.5625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5A-4D5B-B42A-196037500EFF}"/>
            </c:ext>
          </c:extLst>
        </c:ser>
        <c:ser>
          <c:idx val="3"/>
          <c:order val="2"/>
          <c:tx>
            <c:strRef>
              <c:f>'ELR Chart (5-Act)'!$E$2</c:f>
              <c:strCache>
                <c:ptCount val="1"/>
                <c:pt idx="0">
                  <c:v> FROM_AESTHETIC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'ELR Chart (5-Act)'!$A$3:$A$19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'ELR Chart (5-Act)'!$E$3:$E$19</c:f>
              <c:numCache>
                <c:formatCode>0.00</c:formatCode>
                <c:ptCount val="17"/>
                <c:pt idx="0">
                  <c:v>0.1875</c:v>
                </c:pt>
                <c:pt idx="1">
                  <c:v>0.5</c:v>
                </c:pt>
                <c:pt idx="2">
                  <c:v>0.25</c:v>
                </c:pt>
                <c:pt idx="3">
                  <c:v>0.25</c:v>
                </c:pt>
                <c:pt idx="4">
                  <c:v>9.375E-2</c:v>
                </c:pt>
                <c:pt idx="5">
                  <c:v>0.21875</c:v>
                </c:pt>
                <c:pt idx="6">
                  <c:v>0.125</c:v>
                </c:pt>
                <c:pt idx="7">
                  <c:v>0.25</c:v>
                </c:pt>
                <c:pt idx="8">
                  <c:v>0.34375</c:v>
                </c:pt>
                <c:pt idx="9">
                  <c:v>0.59375</c:v>
                </c:pt>
                <c:pt idx="10">
                  <c:v>6.25E-2</c:v>
                </c:pt>
                <c:pt idx="11">
                  <c:v>9.375E-2</c:v>
                </c:pt>
                <c:pt idx="12">
                  <c:v>0.21875</c:v>
                </c:pt>
                <c:pt idx="13">
                  <c:v>6.25E-2</c:v>
                </c:pt>
                <c:pt idx="14">
                  <c:v>9.375E-2</c:v>
                </c:pt>
                <c:pt idx="15">
                  <c:v>0.125</c:v>
                </c:pt>
                <c:pt idx="16">
                  <c:v>6.25E-2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35A-4D5B-B42A-196037500EFF}"/>
            </c:ext>
          </c:extLst>
        </c:ser>
        <c:ser>
          <c:idx val="4"/>
          <c:order val="3"/>
          <c:tx>
            <c:strRef>
              <c:f>'ELR Chart (5-Act)'!$F$2</c:f>
              <c:strCache>
                <c:ptCount val="1"/>
                <c:pt idx="0">
                  <c:v> FROM_OTHERS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'ELR Chart (5-Act)'!$A$3:$A$19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'ELR Chart (5-Act)'!$F$3:$F$19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0</c:v>
                </c:pt>
                <c:pt idx="4">
                  <c:v>0</c:v>
                </c:pt>
                <c:pt idx="5">
                  <c:v>6.25E-2</c:v>
                </c:pt>
                <c:pt idx="6">
                  <c:v>9.375E-2</c:v>
                </c:pt>
                <c:pt idx="7">
                  <c:v>6.25E-2</c:v>
                </c:pt>
                <c:pt idx="8">
                  <c:v>6.25E-2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3.125E-2</c:v>
                </c:pt>
                <c:pt idx="13">
                  <c:v>6.25E-2</c:v>
                </c:pt>
                <c:pt idx="14">
                  <c:v>3.125E-2</c:v>
                </c:pt>
                <c:pt idx="15">
                  <c:v>3.125E-2</c:v>
                </c:pt>
                <c:pt idx="16">
                  <c:v>6.25E-2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35A-4D5B-B42A-196037500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309968"/>
        <c:axId val="1618280592"/>
      </c:lineChart>
      <c:catAx>
        <c:axId val="16183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80592"/>
        <c:crosses val="autoZero"/>
        <c:auto val="1"/>
        <c:lblAlgn val="ctr"/>
        <c:lblOffset val="100"/>
        <c:noMultiLvlLbl val="0"/>
      </c:catAx>
      <c:valAx>
        <c:axId val="16182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'ELR Chart (5-Act)'!$B$2</c:f>
              <c:strCache>
                <c:ptCount val="1"/>
                <c:pt idx="0">
                  <c:v> IS_STRIKING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'ELR Chart (5-Act)'!$A$3:$A$19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'ELR Chart (5-Act)'!$B$3:$B$19</c:f>
              <c:numCache>
                <c:formatCode>0.00</c:formatCode>
                <c:ptCount val="17"/>
                <c:pt idx="0">
                  <c:v>0.28125</c:v>
                </c:pt>
                <c:pt idx="1">
                  <c:v>0.28125</c:v>
                </c:pt>
                <c:pt idx="2">
                  <c:v>0.21875</c:v>
                </c:pt>
                <c:pt idx="3">
                  <c:v>0.59375</c:v>
                </c:pt>
                <c:pt idx="4">
                  <c:v>0.53125</c:v>
                </c:pt>
                <c:pt idx="5">
                  <c:v>0.40625</c:v>
                </c:pt>
                <c:pt idx="6">
                  <c:v>0.4375</c:v>
                </c:pt>
                <c:pt idx="7">
                  <c:v>0.53125</c:v>
                </c:pt>
                <c:pt idx="8">
                  <c:v>0.46875</c:v>
                </c:pt>
                <c:pt idx="9">
                  <c:v>0.5</c:v>
                </c:pt>
                <c:pt idx="10">
                  <c:v>0.5625</c:v>
                </c:pt>
                <c:pt idx="11">
                  <c:v>0.625</c:v>
                </c:pt>
                <c:pt idx="12">
                  <c:v>0.46875</c:v>
                </c:pt>
                <c:pt idx="13">
                  <c:v>0.25</c:v>
                </c:pt>
                <c:pt idx="14">
                  <c:v>0.40625</c:v>
                </c:pt>
                <c:pt idx="15">
                  <c:v>0.59375</c:v>
                </c:pt>
                <c:pt idx="16">
                  <c:v>0.53125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30-4B52-A0BB-2ED84B03B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306160"/>
        <c:axId val="1618283856"/>
      </c:lineChart>
      <c:catAx>
        <c:axId val="161830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83856"/>
        <c:crosses val="autoZero"/>
        <c:auto val="1"/>
        <c:lblAlgn val="ctr"/>
        <c:lblOffset val="100"/>
        <c:noMultiLvlLbl val="0"/>
      </c:catAx>
      <c:valAx>
        <c:axId val="16182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0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'ELR Chart (5-Act)'!$C$2</c:f>
              <c:strCache>
                <c:ptCount val="1"/>
                <c:pt idx="0">
                  <c:v> FROM_EVALUATIVE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'ELR Chart (5-Act)'!$A$3:$A$19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'ELR Chart (5-Act)'!$C$3:$C$19</c:f>
              <c:numCache>
                <c:formatCode>0.00</c:formatCode>
                <c:ptCount val="17"/>
                <c:pt idx="0">
                  <c:v>0.3125</c:v>
                </c:pt>
                <c:pt idx="1">
                  <c:v>0.125</c:v>
                </c:pt>
                <c:pt idx="2">
                  <c:v>0.375</c:v>
                </c:pt>
                <c:pt idx="3">
                  <c:v>0.46875</c:v>
                </c:pt>
                <c:pt idx="4">
                  <c:v>0.375</c:v>
                </c:pt>
                <c:pt idx="5">
                  <c:v>0.375</c:v>
                </c:pt>
                <c:pt idx="6">
                  <c:v>0.3125</c:v>
                </c:pt>
                <c:pt idx="7">
                  <c:v>0.375</c:v>
                </c:pt>
                <c:pt idx="8">
                  <c:v>0.375</c:v>
                </c:pt>
                <c:pt idx="9">
                  <c:v>0.21875</c:v>
                </c:pt>
                <c:pt idx="10">
                  <c:v>0.40625</c:v>
                </c:pt>
                <c:pt idx="11">
                  <c:v>0.53125</c:v>
                </c:pt>
                <c:pt idx="12">
                  <c:v>0.34375</c:v>
                </c:pt>
                <c:pt idx="13">
                  <c:v>0.34375</c:v>
                </c:pt>
                <c:pt idx="14">
                  <c:v>0.40625</c:v>
                </c:pt>
                <c:pt idx="15">
                  <c:v>0.28125</c:v>
                </c:pt>
                <c:pt idx="16">
                  <c:v>0.53125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C8-4D3E-A463-65254A2E9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311600"/>
        <c:axId val="1618284400"/>
      </c:lineChart>
      <c:catAx>
        <c:axId val="16183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84400"/>
        <c:crosses val="autoZero"/>
        <c:auto val="1"/>
        <c:lblAlgn val="ctr"/>
        <c:lblOffset val="100"/>
        <c:noMultiLvlLbl val="0"/>
      </c:catAx>
      <c:valAx>
        <c:axId val="16182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'ELR Chart (5-Act)'!$E$2</c:f>
              <c:strCache>
                <c:ptCount val="1"/>
                <c:pt idx="0">
                  <c:v> FROM_AESTHETIC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'ELR Chart (5-Act)'!$A$3:$A$19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'ELR Chart (5-Act)'!$E$3:$E$19</c:f>
              <c:numCache>
                <c:formatCode>0.00</c:formatCode>
                <c:ptCount val="17"/>
                <c:pt idx="0">
                  <c:v>0.1875</c:v>
                </c:pt>
                <c:pt idx="1">
                  <c:v>0.5</c:v>
                </c:pt>
                <c:pt idx="2">
                  <c:v>0.25</c:v>
                </c:pt>
                <c:pt idx="3">
                  <c:v>0.25</c:v>
                </c:pt>
                <c:pt idx="4">
                  <c:v>9.375E-2</c:v>
                </c:pt>
                <c:pt idx="5">
                  <c:v>0.21875</c:v>
                </c:pt>
                <c:pt idx="6">
                  <c:v>0.125</c:v>
                </c:pt>
                <c:pt idx="7">
                  <c:v>0.25</c:v>
                </c:pt>
                <c:pt idx="8">
                  <c:v>0.34375</c:v>
                </c:pt>
                <c:pt idx="9">
                  <c:v>0.59375</c:v>
                </c:pt>
                <c:pt idx="10">
                  <c:v>6.25E-2</c:v>
                </c:pt>
                <c:pt idx="11">
                  <c:v>9.375E-2</c:v>
                </c:pt>
                <c:pt idx="12">
                  <c:v>0.21875</c:v>
                </c:pt>
                <c:pt idx="13">
                  <c:v>6.25E-2</c:v>
                </c:pt>
                <c:pt idx="14">
                  <c:v>9.375E-2</c:v>
                </c:pt>
                <c:pt idx="15">
                  <c:v>0.125</c:v>
                </c:pt>
                <c:pt idx="16">
                  <c:v>6.25E-2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29-4739-963A-0FB507B76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622816"/>
        <c:axId val="1515611392"/>
      </c:lineChart>
      <c:catAx>
        <c:axId val="151562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11392"/>
        <c:crosses val="autoZero"/>
        <c:auto val="1"/>
        <c:lblAlgn val="ctr"/>
        <c:lblOffset val="100"/>
        <c:noMultiLvlLbl val="0"/>
      </c:catAx>
      <c:valAx>
        <c:axId val="15156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2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'ELR Chart (5-Act)'!$F$2</c:f>
              <c:strCache>
                <c:ptCount val="1"/>
                <c:pt idx="0">
                  <c:v> FROM_OTHERS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'ELR Chart (5-Act)'!$A$3:$A$19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'ELR Chart (5-Act)'!$F$3:$F$19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0</c:v>
                </c:pt>
                <c:pt idx="4">
                  <c:v>0</c:v>
                </c:pt>
                <c:pt idx="5">
                  <c:v>6.25E-2</c:v>
                </c:pt>
                <c:pt idx="6">
                  <c:v>9.375E-2</c:v>
                </c:pt>
                <c:pt idx="7">
                  <c:v>6.25E-2</c:v>
                </c:pt>
                <c:pt idx="8">
                  <c:v>6.25E-2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3.125E-2</c:v>
                </c:pt>
                <c:pt idx="13">
                  <c:v>6.25E-2</c:v>
                </c:pt>
                <c:pt idx="14">
                  <c:v>3.125E-2</c:v>
                </c:pt>
                <c:pt idx="15">
                  <c:v>3.125E-2</c:v>
                </c:pt>
                <c:pt idx="16">
                  <c:v>6.25E-2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3C-4356-9C31-D56C75857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619552"/>
        <c:axId val="1515625536"/>
      </c:lineChart>
      <c:catAx>
        <c:axId val="151561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25536"/>
        <c:crosses val="autoZero"/>
        <c:auto val="1"/>
        <c:lblAlgn val="ctr"/>
        <c:lblOffset val="100"/>
        <c:noMultiLvlLbl val="0"/>
      </c:catAx>
      <c:valAx>
        <c:axId val="15156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1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PCA_ELR!$K$186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PCA_ELR!$H$187:$I$211</c:f>
              <c:multiLvlStrCache>
                <c:ptCount val="25"/>
                <c:lvl>
                  <c:pt idx="0">
                    <c:v>ALL</c:v>
                  </c:pt>
                  <c:pt idx="1">
                    <c:v>RP1</c:v>
                  </c:pt>
                  <c:pt idx="2">
                    <c:v>RP2</c:v>
                  </c:pt>
                  <c:pt idx="3">
                    <c:v>RP3</c:v>
                  </c:pt>
                  <c:pt idx="4">
                    <c:v>RP4</c:v>
                  </c:pt>
                  <c:pt idx="5">
                    <c:v>ALL</c:v>
                  </c:pt>
                  <c:pt idx="6">
                    <c:v>RP1</c:v>
                  </c:pt>
                  <c:pt idx="7">
                    <c:v>RP2</c:v>
                  </c:pt>
                  <c:pt idx="8">
                    <c:v>RP3</c:v>
                  </c:pt>
                  <c:pt idx="9">
                    <c:v>RP4</c:v>
                  </c:pt>
                  <c:pt idx="10">
                    <c:v>ALL</c:v>
                  </c:pt>
                  <c:pt idx="11">
                    <c:v>RP1</c:v>
                  </c:pt>
                  <c:pt idx="12">
                    <c:v>RP2</c:v>
                  </c:pt>
                  <c:pt idx="13">
                    <c:v>RP3</c:v>
                  </c:pt>
                  <c:pt idx="14">
                    <c:v>RP4</c:v>
                  </c:pt>
                  <c:pt idx="15">
                    <c:v>ALL</c:v>
                  </c:pt>
                  <c:pt idx="16">
                    <c:v>RP1</c:v>
                  </c:pt>
                  <c:pt idx="17">
                    <c:v>RP2</c:v>
                  </c:pt>
                  <c:pt idx="18">
                    <c:v>RP3</c:v>
                  </c:pt>
                  <c:pt idx="19">
                    <c:v>RP4</c:v>
                  </c:pt>
                  <c:pt idx="20">
                    <c:v>ALL</c:v>
                  </c:pt>
                  <c:pt idx="21">
                    <c:v>RP1</c:v>
                  </c:pt>
                  <c:pt idx="22">
                    <c:v>RP2</c:v>
                  </c:pt>
                  <c:pt idx="23">
                    <c:v>RP3</c:v>
                  </c:pt>
                  <c:pt idx="24">
                    <c:v>RP4</c:v>
                  </c:pt>
                </c:lvl>
                <c:lvl>
                  <c:pt idx="0">
                    <c:v>AP</c:v>
                  </c:pt>
                  <c:pt idx="5">
                    <c:v>AT</c:v>
                  </c:pt>
                  <c:pt idx="10">
                    <c:v>PL</c:v>
                  </c:pt>
                  <c:pt idx="15">
                    <c:v>SE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PCA_ELR!$K$187:$K$211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90-4EA9-8C19-51C7E5CBF39C}"/>
            </c:ext>
          </c:extLst>
        </c:ser>
        <c:ser>
          <c:idx val="2"/>
          <c:order val="2"/>
          <c:tx>
            <c:strRef>
              <c:f>PCA_ELR!$L$186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PCA_ELR!$H$187:$I$211</c:f>
              <c:multiLvlStrCache>
                <c:ptCount val="25"/>
                <c:lvl>
                  <c:pt idx="0">
                    <c:v>ALL</c:v>
                  </c:pt>
                  <c:pt idx="1">
                    <c:v>RP1</c:v>
                  </c:pt>
                  <c:pt idx="2">
                    <c:v>RP2</c:v>
                  </c:pt>
                  <c:pt idx="3">
                    <c:v>RP3</c:v>
                  </c:pt>
                  <c:pt idx="4">
                    <c:v>RP4</c:v>
                  </c:pt>
                  <c:pt idx="5">
                    <c:v>ALL</c:v>
                  </c:pt>
                  <c:pt idx="6">
                    <c:v>RP1</c:v>
                  </c:pt>
                  <c:pt idx="7">
                    <c:v>RP2</c:v>
                  </c:pt>
                  <c:pt idx="8">
                    <c:v>RP3</c:v>
                  </c:pt>
                  <c:pt idx="9">
                    <c:v>RP4</c:v>
                  </c:pt>
                  <c:pt idx="10">
                    <c:v>ALL</c:v>
                  </c:pt>
                  <c:pt idx="11">
                    <c:v>RP1</c:v>
                  </c:pt>
                  <c:pt idx="12">
                    <c:v>RP2</c:v>
                  </c:pt>
                  <c:pt idx="13">
                    <c:v>RP3</c:v>
                  </c:pt>
                  <c:pt idx="14">
                    <c:v>RP4</c:v>
                  </c:pt>
                  <c:pt idx="15">
                    <c:v>ALL</c:v>
                  </c:pt>
                  <c:pt idx="16">
                    <c:v>RP1</c:v>
                  </c:pt>
                  <c:pt idx="17">
                    <c:v>RP2</c:v>
                  </c:pt>
                  <c:pt idx="18">
                    <c:v>RP3</c:v>
                  </c:pt>
                  <c:pt idx="19">
                    <c:v>RP4</c:v>
                  </c:pt>
                  <c:pt idx="20">
                    <c:v>ALL</c:v>
                  </c:pt>
                  <c:pt idx="21">
                    <c:v>RP1</c:v>
                  </c:pt>
                  <c:pt idx="22">
                    <c:v>RP2</c:v>
                  </c:pt>
                  <c:pt idx="23">
                    <c:v>RP3</c:v>
                  </c:pt>
                  <c:pt idx="24">
                    <c:v>RP4</c:v>
                  </c:pt>
                </c:lvl>
                <c:lvl>
                  <c:pt idx="0">
                    <c:v>AP</c:v>
                  </c:pt>
                  <c:pt idx="5">
                    <c:v>AT</c:v>
                  </c:pt>
                  <c:pt idx="10">
                    <c:v>PL</c:v>
                  </c:pt>
                  <c:pt idx="15">
                    <c:v>SE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PCA_ELR!$L$187:$L$211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E90-4EA9-8C19-51C7E5CBF39C}"/>
            </c:ext>
          </c:extLst>
        </c:ser>
        <c:ser>
          <c:idx val="3"/>
          <c:order val="3"/>
          <c:tx>
            <c:strRef>
              <c:f>PCA_ELR!$M$186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PCA_ELR!$H$187:$I$211</c:f>
              <c:multiLvlStrCache>
                <c:ptCount val="25"/>
                <c:lvl>
                  <c:pt idx="0">
                    <c:v>ALL</c:v>
                  </c:pt>
                  <c:pt idx="1">
                    <c:v>RP1</c:v>
                  </c:pt>
                  <c:pt idx="2">
                    <c:v>RP2</c:v>
                  </c:pt>
                  <c:pt idx="3">
                    <c:v>RP3</c:v>
                  </c:pt>
                  <c:pt idx="4">
                    <c:v>RP4</c:v>
                  </c:pt>
                  <c:pt idx="5">
                    <c:v>ALL</c:v>
                  </c:pt>
                  <c:pt idx="6">
                    <c:v>RP1</c:v>
                  </c:pt>
                  <c:pt idx="7">
                    <c:v>RP2</c:v>
                  </c:pt>
                  <c:pt idx="8">
                    <c:v>RP3</c:v>
                  </c:pt>
                  <c:pt idx="9">
                    <c:v>RP4</c:v>
                  </c:pt>
                  <c:pt idx="10">
                    <c:v>ALL</c:v>
                  </c:pt>
                  <c:pt idx="11">
                    <c:v>RP1</c:v>
                  </c:pt>
                  <c:pt idx="12">
                    <c:v>RP2</c:v>
                  </c:pt>
                  <c:pt idx="13">
                    <c:v>RP3</c:v>
                  </c:pt>
                  <c:pt idx="14">
                    <c:v>RP4</c:v>
                  </c:pt>
                  <c:pt idx="15">
                    <c:v>ALL</c:v>
                  </c:pt>
                  <c:pt idx="16">
                    <c:v>RP1</c:v>
                  </c:pt>
                  <c:pt idx="17">
                    <c:v>RP2</c:v>
                  </c:pt>
                  <c:pt idx="18">
                    <c:v>RP3</c:v>
                  </c:pt>
                  <c:pt idx="19">
                    <c:v>RP4</c:v>
                  </c:pt>
                  <c:pt idx="20">
                    <c:v>ALL</c:v>
                  </c:pt>
                  <c:pt idx="21">
                    <c:v>RP1</c:v>
                  </c:pt>
                  <c:pt idx="22">
                    <c:v>RP2</c:v>
                  </c:pt>
                  <c:pt idx="23">
                    <c:v>RP3</c:v>
                  </c:pt>
                  <c:pt idx="24">
                    <c:v>RP4</c:v>
                  </c:pt>
                </c:lvl>
                <c:lvl>
                  <c:pt idx="0">
                    <c:v>AP</c:v>
                  </c:pt>
                  <c:pt idx="5">
                    <c:v>AT</c:v>
                  </c:pt>
                  <c:pt idx="10">
                    <c:v>PL</c:v>
                  </c:pt>
                  <c:pt idx="15">
                    <c:v>SE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PCA_ELR!$M$187:$M$211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E90-4EA9-8C19-51C7E5CBF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991296"/>
        <c:axId val="201299238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PCA_ELR!$J$186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PCA_ELR!$H$187:$I$211</c15:sqref>
                        </c15:formulaRef>
                      </c:ext>
                    </c:extLst>
                    <c:multiLvlStrCache>
                      <c:ptCount val="25"/>
                      <c:lvl>
                        <c:pt idx="0">
                          <c:v>ALL</c:v>
                        </c:pt>
                        <c:pt idx="1">
                          <c:v>RP1</c:v>
                        </c:pt>
                        <c:pt idx="2">
                          <c:v>RP2</c:v>
                        </c:pt>
                        <c:pt idx="3">
                          <c:v>RP3</c:v>
                        </c:pt>
                        <c:pt idx="4">
                          <c:v>RP4</c:v>
                        </c:pt>
                        <c:pt idx="5">
                          <c:v>ALL</c:v>
                        </c:pt>
                        <c:pt idx="6">
                          <c:v>RP1</c:v>
                        </c:pt>
                        <c:pt idx="7">
                          <c:v>RP2</c:v>
                        </c:pt>
                        <c:pt idx="8">
                          <c:v>RP3</c:v>
                        </c:pt>
                        <c:pt idx="9">
                          <c:v>RP4</c:v>
                        </c:pt>
                        <c:pt idx="10">
                          <c:v>ALL</c:v>
                        </c:pt>
                        <c:pt idx="11">
                          <c:v>RP1</c:v>
                        </c:pt>
                        <c:pt idx="12">
                          <c:v>RP2</c:v>
                        </c:pt>
                        <c:pt idx="13">
                          <c:v>RP3</c:v>
                        </c:pt>
                        <c:pt idx="14">
                          <c:v>RP4</c:v>
                        </c:pt>
                        <c:pt idx="15">
                          <c:v>ALL</c:v>
                        </c:pt>
                        <c:pt idx="16">
                          <c:v>RP1</c:v>
                        </c:pt>
                        <c:pt idx="17">
                          <c:v>RP2</c:v>
                        </c:pt>
                        <c:pt idx="18">
                          <c:v>RP3</c:v>
                        </c:pt>
                        <c:pt idx="19">
                          <c:v>RP4</c:v>
                        </c:pt>
                        <c:pt idx="20">
                          <c:v>ALL</c:v>
                        </c:pt>
                        <c:pt idx="21">
                          <c:v>RP1</c:v>
                        </c:pt>
                        <c:pt idx="22">
                          <c:v>RP2</c:v>
                        </c:pt>
                        <c:pt idx="23">
                          <c:v>RP3</c:v>
                        </c:pt>
                        <c:pt idx="24">
                          <c:v>RP4</c:v>
                        </c:pt>
                      </c:lvl>
                      <c:lvl>
                        <c:pt idx="0">
                          <c:v>AP</c:v>
                        </c:pt>
                        <c:pt idx="5">
                          <c:v>AT</c:v>
                        </c:pt>
                        <c:pt idx="10">
                          <c:v>PL</c:v>
                        </c:pt>
                        <c:pt idx="15">
                          <c:v>SE</c:v>
                        </c:pt>
                        <c:pt idx="20">
                          <c:v>AVG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PCA_ELR!$J$187:$J$211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 formatCode="0.00">
                        <c:v>0</c:v>
                      </c:pt>
                      <c:pt idx="21" formatCode="0.00">
                        <c:v>0</c:v>
                      </c:pt>
                      <c:pt idx="22" formatCode="0.00">
                        <c:v>0</c:v>
                      </c:pt>
                      <c:pt idx="23" formatCode="0.00">
                        <c:v>0</c:v>
                      </c:pt>
                      <c:pt idx="24" formatCode="0.00">
                        <c:v>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0E90-4EA9-8C19-51C7E5CBF39C}"/>
                  </c:ext>
                </c:extLst>
              </c15:ser>
            </c15:filteredBarSeries>
          </c:ext>
        </c:extLst>
      </c:barChart>
      <c:catAx>
        <c:axId val="201299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92384"/>
        <c:crosses val="autoZero"/>
        <c:auto val="1"/>
        <c:lblAlgn val="ctr"/>
        <c:lblOffset val="100"/>
        <c:noMultiLvlLbl val="0"/>
      </c:catAx>
      <c:valAx>
        <c:axId val="20129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9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'ELR Chart (5-Act)'!$D$2</c:f>
              <c:strCache>
                <c:ptCount val="1"/>
                <c:pt idx="0">
                  <c:v> FROM_NARRATIVE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'ELR Chart (5-Act)'!$A$3:$A$19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'ELR Chart (5-Act)'!$D$3:$D$19</c:f>
              <c:numCache>
                <c:formatCode>0.00</c:formatCode>
                <c:ptCount val="17"/>
                <c:pt idx="0">
                  <c:v>0.65625</c:v>
                </c:pt>
                <c:pt idx="1">
                  <c:v>0.5</c:v>
                </c:pt>
                <c:pt idx="2">
                  <c:v>0.40625</c:v>
                </c:pt>
                <c:pt idx="3">
                  <c:v>0.4375</c:v>
                </c:pt>
                <c:pt idx="4">
                  <c:v>0.59375</c:v>
                </c:pt>
                <c:pt idx="5">
                  <c:v>0.5</c:v>
                </c:pt>
                <c:pt idx="6">
                  <c:v>0.59375</c:v>
                </c:pt>
                <c:pt idx="7">
                  <c:v>0.5</c:v>
                </c:pt>
                <c:pt idx="8">
                  <c:v>0.46875</c:v>
                </c:pt>
                <c:pt idx="9">
                  <c:v>0.3125</c:v>
                </c:pt>
                <c:pt idx="10">
                  <c:v>0.6875</c:v>
                </c:pt>
                <c:pt idx="11">
                  <c:v>0.59375</c:v>
                </c:pt>
                <c:pt idx="12">
                  <c:v>0.5625</c:v>
                </c:pt>
                <c:pt idx="13">
                  <c:v>0.53125</c:v>
                </c:pt>
                <c:pt idx="14">
                  <c:v>0.65625</c:v>
                </c:pt>
                <c:pt idx="15">
                  <c:v>0.6875</c:v>
                </c:pt>
                <c:pt idx="16">
                  <c:v>0.5625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8F-4783-85C2-EDC7C0E93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628256"/>
        <c:axId val="1515623904"/>
      </c:lineChart>
      <c:catAx>
        <c:axId val="151562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23904"/>
        <c:crosses val="autoZero"/>
        <c:auto val="1"/>
        <c:lblAlgn val="ctr"/>
        <c:lblOffset val="100"/>
        <c:noMultiLvlLbl val="0"/>
      </c:catAx>
      <c:valAx>
        <c:axId val="15156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2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'ELR Chart (5-Act)'!$C$2</c:f>
              <c:strCache>
                <c:ptCount val="1"/>
                <c:pt idx="0">
                  <c:v> FROM_EVALUATIVE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'ELR Chart (5-Act)'!$A$20:$A$48</c:f>
              <c:numCache>
                <c:formatCode>General</c:formatCode>
                <c:ptCount val="2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</c:numCache>
            </c:numRef>
          </c:cat>
          <c:val>
            <c:numRef>
              <c:f>'ELR Chart (5-Act)'!$C$20:$C$48</c:f>
              <c:numCache>
                <c:formatCode>0.00</c:formatCode>
                <c:ptCount val="29"/>
                <c:pt idx="0">
                  <c:v>0.4375</c:v>
                </c:pt>
                <c:pt idx="1">
                  <c:v>0.34375</c:v>
                </c:pt>
                <c:pt idx="2">
                  <c:v>0.4375</c:v>
                </c:pt>
                <c:pt idx="3">
                  <c:v>0.40625</c:v>
                </c:pt>
                <c:pt idx="4">
                  <c:v>0.5</c:v>
                </c:pt>
                <c:pt idx="5">
                  <c:v>0.5</c:v>
                </c:pt>
                <c:pt idx="6">
                  <c:v>0.46875</c:v>
                </c:pt>
                <c:pt idx="7">
                  <c:v>0.5</c:v>
                </c:pt>
                <c:pt idx="8">
                  <c:v>0.40625</c:v>
                </c:pt>
                <c:pt idx="9">
                  <c:v>0.46875</c:v>
                </c:pt>
                <c:pt idx="10">
                  <c:v>0.40625</c:v>
                </c:pt>
                <c:pt idx="11">
                  <c:v>0.53125</c:v>
                </c:pt>
                <c:pt idx="12">
                  <c:v>0.5</c:v>
                </c:pt>
                <c:pt idx="13">
                  <c:v>0.53125</c:v>
                </c:pt>
                <c:pt idx="14">
                  <c:v>0.46875</c:v>
                </c:pt>
                <c:pt idx="15">
                  <c:v>0.375</c:v>
                </c:pt>
                <c:pt idx="16">
                  <c:v>0.5625</c:v>
                </c:pt>
                <c:pt idx="17">
                  <c:v>0.5625</c:v>
                </c:pt>
                <c:pt idx="18">
                  <c:v>0.4375</c:v>
                </c:pt>
                <c:pt idx="19">
                  <c:v>0.375</c:v>
                </c:pt>
                <c:pt idx="20">
                  <c:v>0.46875</c:v>
                </c:pt>
                <c:pt idx="21">
                  <c:v>0.4375</c:v>
                </c:pt>
                <c:pt idx="22">
                  <c:v>0.59375</c:v>
                </c:pt>
                <c:pt idx="23">
                  <c:v>0.5</c:v>
                </c:pt>
                <c:pt idx="24">
                  <c:v>0.40625</c:v>
                </c:pt>
                <c:pt idx="25">
                  <c:v>0.34375</c:v>
                </c:pt>
                <c:pt idx="26">
                  <c:v>0.34375</c:v>
                </c:pt>
                <c:pt idx="27">
                  <c:v>0.4375</c:v>
                </c:pt>
                <c:pt idx="28">
                  <c:v>0.34375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27-4031-A3F2-9C17F6F350EE}"/>
            </c:ext>
          </c:extLst>
        </c:ser>
        <c:ser>
          <c:idx val="2"/>
          <c:order val="1"/>
          <c:tx>
            <c:strRef>
              <c:f>'ELR Chart (5-Act)'!$D$2</c:f>
              <c:strCache>
                <c:ptCount val="1"/>
                <c:pt idx="0">
                  <c:v> FROM_NARRATIVE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'ELR Chart (5-Act)'!$A$20:$A$48</c:f>
              <c:numCache>
                <c:formatCode>General</c:formatCode>
                <c:ptCount val="2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</c:numCache>
            </c:numRef>
          </c:cat>
          <c:val>
            <c:numRef>
              <c:f>'ELR Chart (5-Act)'!$D$20:$D$48</c:f>
              <c:numCache>
                <c:formatCode>0.00</c:formatCode>
                <c:ptCount val="29"/>
                <c:pt idx="0">
                  <c:v>0.65625</c:v>
                </c:pt>
                <c:pt idx="1">
                  <c:v>0.625</c:v>
                </c:pt>
                <c:pt idx="2">
                  <c:v>0.53125</c:v>
                </c:pt>
                <c:pt idx="3">
                  <c:v>0.5625</c:v>
                </c:pt>
                <c:pt idx="4">
                  <c:v>0.375</c:v>
                </c:pt>
                <c:pt idx="5">
                  <c:v>0.4375</c:v>
                </c:pt>
                <c:pt idx="6">
                  <c:v>0.5625</c:v>
                </c:pt>
                <c:pt idx="7">
                  <c:v>0.5625</c:v>
                </c:pt>
                <c:pt idx="8">
                  <c:v>0.625</c:v>
                </c:pt>
                <c:pt idx="9">
                  <c:v>0.46875</c:v>
                </c:pt>
                <c:pt idx="10">
                  <c:v>0.59375</c:v>
                </c:pt>
                <c:pt idx="11">
                  <c:v>0.5</c:v>
                </c:pt>
                <c:pt idx="12">
                  <c:v>0.65625</c:v>
                </c:pt>
                <c:pt idx="13">
                  <c:v>0.53125</c:v>
                </c:pt>
                <c:pt idx="14">
                  <c:v>0.5625</c:v>
                </c:pt>
                <c:pt idx="15">
                  <c:v>0.4375</c:v>
                </c:pt>
                <c:pt idx="16">
                  <c:v>0.59375</c:v>
                </c:pt>
                <c:pt idx="17">
                  <c:v>0.53125</c:v>
                </c:pt>
                <c:pt idx="18">
                  <c:v>0.5</c:v>
                </c:pt>
                <c:pt idx="19">
                  <c:v>0.5625</c:v>
                </c:pt>
                <c:pt idx="20">
                  <c:v>0.59375</c:v>
                </c:pt>
                <c:pt idx="21">
                  <c:v>0.53125</c:v>
                </c:pt>
                <c:pt idx="22">
                  <c:v>0.6875</c:v>
                </c:pt>
                <c:pt idx="23">
                  <c:v>0.5625</c:v>
                </c:pt>
                <c:pt idx="24">
                  <c:v>0.5625</c:v>
                </c:pt>
                <c:pt idx="25">
                  <c:v>0.59375</c:v>
                </c:pt>
                <c:pt idx="26">
                  <c:v>0.59375</c:v>
                </c:pt>
                <c:pt idx="27">
                  <c:v>0.59375</c:v>
                </c:pt>
                <c:pt idx="28">
                  <c:v>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27-4031-A3F2-9C17F6F350EE}"/>
            </c:ext>
          </c:extLst>
        </c:ser>
        <c:ser>
          <c:idx val="3"/>
          <c:order val="2"/>
          <c:tx>
            <c:strRef>
              <c:f>'ELR Chart (5-Act)'!$E$2</c:f>
              <c:strCache>
                <c:ptCount val="1"/>
                <c:pt idx="0">
                  <c:v> FROM_AESTHETIC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'ELR Chart (5-Act)'!$A$20:$A$48</c:f>
              <c:numCache>
                <c:formatCode>General</c:formatCode>
                <c:ptCount val="2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</c:numCache>
            </c:numRef>
          </c:cat>
          <c:val>
            <c:numRef>
              <c:f>'ELR Chart (5-Act)'!$E$20:$E$48</c:f>
              <c:numCache>
                <c:formatCode>0.00</c:formatCode>
                <c:ptCount val="29"/>
                <c:pt idx="0">
                  <c:v>6.25E-2</c:v>
                </c:pt>
                <c:pt idx="1">
                  <c:v>0.28125</c:v>
                </c:pt>
                <c:pt idx="2">
                  <c:v>0.21875</c:v>
                </c:pt>
                <c:pt idx="3">
                  <c:v>9.375E-2</c:v>
                </c:pt>
                <c:pt idx="4">
                  <c:v>0.375</c:v>
                </c:pt>
                <c:pt idx="5">
                  <c:v>0.125</c:v>
                </c:pt>
                <c:pt idx="6">
                  <c:v>0.1875</c:v>
                </c:pt>
                <c:pt idx="7">
                  <c:v>0.125</c:v>
                </c:pt>
                <c:pt idx="8">
                  <c:v>0.1875</c:v>
                </c:pt>
                <c:pt idx="9">
                  <c:v>0.15625</c:v>
                </c:pt>
                <c:pt idx="10">
                  <c:v>9.375E-2</c:v>
                </c:pt>
                <c:pt idx="11">
                  <c:v>6.25E-2</c:v>
                </c:pt>
                <c:pt idx="12">
                  <c:v>9.375E-2</c:v>
                </c:pt>
                <c:pt idx="13">
                  <c:v>0.1875</c:v>
                </c:pt>
                <c:pt idx="14">
                  <c:v>0.15625</c:v>
                </c:pt>
                <c:pt idx="15">
                  <c:v>0.125</c:v>
                </c:pt>
                <c:pt idx="16">
                  <c:v>0.15625</c:v>
                </c:pt>
                <c:pt idx="17">
                  <c:v>6.25E-2</c:v>
                </c:pt>
                <c:pt idx="18">
                  <c:v>0.15625</c:v>
                </c:pt>
                <c:pt idx="19">
                  <c:v>0.1875</c:v>
                </c:pt>
                <c:pt idx="20">
                  <c:v>0</c:v>
                </c:pt>
                <c:pt idx="21">
                  <c:v>9.375E-2</c:v>
                </c:pt>
                <c:pt idx="22">
                  <c:v>6.25E-2</c:v>
                </c:pt>
                <c:pt idx="23">
                  <c:v>3.125E-2</c:v>
                </c:pt>
                <c:pt idx="24">
                  <c:v>9.375E-2</c:v>
                </c:pt>
                <c:pt idx="25">
                  <c:v>3.125E-2</c:v>
                </c:pt>
                <c:pt idx="26">
                  <c:v>9.375E-2</c:v>
                </c:pt>
                <c:pt idx="27">
                  <c:v>3.125E-2</c:v>
                </c:pt>
                <c:pt idx="28">
                  <c:v>3.125E-2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F27-4031-A3F2-9C17F6F350EE}"/>
            </c:ext>
          </c:extLst>
        </c:ser>
        <c:ser>
          <c:idx val="4"/>
          <c:order val="3"/>
          <c:tx>
            <c:strRef>
              <c:f>'ELR Chart (5-Act)'!$F$2</c:f>
              <c:strCache>
                <c:ptCount val="1"/>
                <c:pt idx="0">
                  <c:v> FROM_OTHERS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'ELR Chart (5-Act)'!$A$20:$A$48</c:f>
              <c:numCache>
                <c:formatCode>General</c:formatCode>
                <c:ptCount val="2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</c:numCache>
            </c:numRef>
          </c:cat>
          <c:val>
            <c:numRef>
              <c:f>'ELR Chart (5-Act)'!$F$20:$F$48</c:f>
              <c:numCache>
                <c:formatCode>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9.375E-2</c:v>
                </c:pt>
                <c:pt idx="3">
                  <c:v>3.125E-2</c:v>
                </c:pt>
                <c:pt idx="4">
                  <c:v>6.25E-2</c:v>
                </c:pt>
                <c:pt idx="5">
                  <c:v>3.125E-2</c:v>
                </c:pt>
                <c:pt idx="6">
                  <c:v>6.25E-2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6.25E-2</c:v>
                </c:pt>
                <c:pt idx="11">
                  <c:v>3.125E-2</c:v>
                </c:pt>
                <c:pt idx="12">
                  <c:v>3.125E-2</c:v>
                </c:pt>
                <c:pt idx="13">
                  <c:v>0</c:v>
                </c:pt>
                <c:pt idx="14">
                  <c:v>3.125E-2</c:v>
                </c:pt>
                <c:pt idx="15">
                  <c:v>3.125E-2</c:v>
                </c:pt>
                <c:pt idx="16">
                  <c:v>0</c:v>
                </c:pt>
                <c:pt idx="17">
                  <c:v>0</c:v>
                </c:pt>
                <c:pt idx="18">
                  <c:v>3.125E-2</c:v>
                </c:pt>
                <c:pt idx="19">
                  <c:v>3.125E-2</c:v>
                </c:pt>
                <c:pt idx="20">
                  <c:v>6.25E-2</c:v>
                </c:pt>
                <c:pt idx="21">
                  <c:v>3.125E-2</c:v>
                </c:pt>
                <c:pt idx="22">
                  <c:v>0</c:v>
                </c:pt>
                <c:pt idx="23">
                  <c:v>3.125E-2</c:v>
                </c:pt>
                <c:pt idx="24">
                  <c:v>6.25E-2</c:v>
                </c:pt>
                <c:pt idx="25">
                  <c:v>6.25E-2</c:v>
                </c:pt>
                <c:pt idx="26">
                  <c:v>6.25E-2</c:v>
                </c:pt>
                <c:pt idx="27">
                  <c:v>6.25E-2</c:v>
                </c:pt>
                <c:pt idx="28">
                  <c:v>3.125E-2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F27-4031-A3F2-9C17F6F35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624992"/>
        <c:axId val="1515610304"/>
      </c:lineChart>
      <c:catAx>
        <c:axId val="15156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10304"/>
        <c:crosses val="autoZero"/>
        <c:auto val="1"/>
        <c:lblAlgn val="ctr"/>
        <c:lblOffset val="100"/>
        <c:noMultiLvlLbl val="0"/>
      </c:catAx>
      <c:valAx>
        <c:axId val="15156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'ELR Chart (5-Act)'!$B$2</c:f>
              <c:strCache>
                <c:ptCount val="1"/>
                <c:pt idx="0">
                  <c:v> IS_STRIKING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'ELR Chart (5-Act)'!$A$20:$A$48</c:f>
              <c:numCache>
                <c:formatCode>General</c:formatCode>
                <c:ptCount val="2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</c:numCache>
            </c:numRef>
          </c:cat>
          <c:val>
            <c:numRef>
              <c:f>'ELR Chart (5-Act)'!$B$20:$B$48</c:f>
              <c:numCache>
                <c:formatCode>0.00</c:formatCode>
                <c:ptCount val="29"/>
                <c:pt idx="0">
                  <c:v>0.46875</c:v>
                </c:pt>
                <c:pt idx="1">
                  <c:v>0.71875</c:v>
                </c:pt>
                <c:pt idx="2">
                  <c:v>0.40625</c:v>
                </c:pt>
                <c:pt idx="3">
                  <c:v>0.40625</c:v>
                </c:pt>
                <c:pt idx="4">
                  <c:v>0.375</c:v>
                </c:pt>
                <c:pt idx="5">
                  <c:v>0.3125</c:v>
                </c:pt>
                <c:pt idx="6">
                  <c:v>0.40625</c:v>
                </c:pt>
                <c:pt idx="7">
                  <c:v>0.53125</c:v>
                </c:pt>
                <c:pt idx="8">
                  <c:v>0.375</c:v>
                </c:pt>
                <c:pt idx="9">
                  <c:v>0.4375</c:v>
                </c:pt>
                <c:pt idx="10">
                  <c:v>0.34375</c:v>
                </c:pt>
                <c:pt idx="11">
                  <c:v>0.375</c:v>
                </c:pt>
                <c:pt idx="12">
                  <c:v>0.5625</c:v>
                </c:pt>
                <c:pt idx="13">
                  <c:v>0.625</c:v>
                </c:pt>
                <c:pt idx="14">
                  <c:v>0.59375</c:v>
                </c:pt>
                <c:pt idx="15">
                  <c:v>0.1875</c:v>
                </c:pt>
                <c:pt idx="16">
                  <c:v>0.5</c:v>
                </c:pt>
                <c:pt idx="17">
                  <c:v>0.4375</c:v>
                </c:pt>
                <c:pt idx="18">
                  <c:v>0.375</c:v>
                </c:pt>
                <c:pt idx="19">
                  <c:v>0.375</c:v>
                </c:pt>
                <c:pt idx="20">
                  <c:v>0.28125</c:v>
                </c:pt>
                <c:pt idx="21">
                  <c:v>0.28125</c:v>
                </c:pt>
                <c:pt idx="22">
                  <c:v>0.71875</c:v>
                </c:pt>
                <c:pt idx="23">
                  <c:v>0.4375</c:v>
                </c:pt>
                <c:pt idx="24">
                  <c:v>0.3125</c:v>
                </c:pt>
                <c:pt idx="25">
                  <c:v>0.28125</c:v>
                </c:pt>
                <c:pt idx="26">
                  <c:v>0.40625</c:v>
                </c:pt>
                <c:pt idx="27">
                  <c:v>0.46875</c:v>
                </c:pt>
                <c:pt idx="28">
                  <c:v>0.46875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90-44F3-A49F-59FF1136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616288"/>
        <c:axId val="1515606496"/>
      </c:lineChart>
      <c:catAx>
        <c:axId val="15156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06496"/>
        <c:crosses val="autoZero"/>
        <c:auto val="1"/>
        <c:lblAlgn val="ctr"/>
        <c:lblOffset val="100"/>
        <c:noMultiLvlLbl val="0"/>
      </c:catAx>
      <c:valAx>
        <c:axId val="15156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'ELR Chart (5-Act)'!$C$2</c:f>
              <c:strCache>
                <c:ptCount val="1"/>
                <c:pt idx="0">
                  <c:v> FROM_EVALUATIVE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'ELR Chart (5-Act)'!$A$20:$A$48</c:f>
              <c:numCache>
                <c:formatCode>General</c:formatCode>
                <c:ptCount val="2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</c:numCache>
            </c:numRef>
          </c:cat>
          <c:val>
            <c:numRef>
              <c:f>'ELR Chart (5-Act)'!$C$20:$C$48</c:f>
              <c:numCache>
                <c:formatCode>0.00</c:formatCode>
                <c:ptCount val="29"/>
                <c:pt idx="0">
                  <c:v>0.4375</c:v>
                </c:pt>
                <c:pt idx="1">
                  <c:v>0.34375</c:v>
                </c:pt>
                <c:pt idx="2">
                  <c:v>0.4375</c:v>
                </c:pt>
                <c:pt idx="3">
                  <c:v>0.40625</c:v>
                </c:pt>
                <c:pt idx="4">
                  <c:v>0.5</c:v>
                </c:pt>
                <c:pt idx="5">
                  <c:v>0.5</c:v>
                </c:pt>
                <c:pt idx="6">
                  <c:v>0.46875</c:v>
                </c:pt>
                <c:pt idx="7">
                  <c:v>0.5</c:v>
                </c:pt>
                <c:pt idx="8">
                  <c:v>0.40625</c:v>
                </c:pt>
                <c:pt idx="9">
                  <c:v>0.46875</c:v>
                </c:pt>
                <c:pt idx="10">
                  <c:v>0.40625</c:v>
                </c:pt>
                <c:pt idx="11">
                  <c:v>0.53125</c:v>
                </c:pt>
                <c:pt idx="12">
                  <c:v>0.5</c:v>
                </c:pt>
                <c:pt idx="13">
                  <c:v>0.53125</c:v>
                </c:pt>
                <c:pt idx="14">
                  <c:v>0.46875</c:v>
                </c:pt>
                <c:pt idx="15">
                  <c:v>0.375</c:v>
                </c:pt>
                <c:pt idx="16">
                  <c:v>0.5625</c:v>
                </c:pt>
                <c:pt idx="17">
                  <c:v>0.5625</c:v>
                </c:pt>
                <c:pt idx="18">
                  <c:v>0.4375</c:v>
                </c:pt>
                <c:pt idx="19">
                  <c:v>0.375</c:v>
                </c:pt>
                <c:pt idx="20">
                  <c:v>0.46875</c:v>
                </c:pt>
                <c:pt idx="21">
                  <c:v>0.4375</c:v>
                </c:pt>
                <c:pt idx="22">
                  <c:v>0.59375</c:v>
                </c:pt>
                <c:pt idx="23">
                  <c:v>0.5</c:v>
                </c:pt>
                <c:pt idx="24">
                  <c:v>0.40625</c:v>
                </c:pt>
                <c:pt idx="25">
                  <c:v>0.34375</c:v>
                </c:pt>
                <c:pt idx="26">
                  <c:v>0.34375</c:v>
                </c:pt>
                <c:pt idx="27">
                  <c:v>0.4375</c:v>
                </c:pt>
                <c:pt idx="28">
                  <c:v>0.34375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BD6-4D58-8650-EDF15C259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630432"/>
        <c:axId val="1515615744"/>
      </c:lineChart>
      <c:catAx>
        <c:axId val="151563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15744"/>
        <c:crosses val="autoZero"/>
        <c:auto val="1"/>
        <c:lblAlgn val="ctr"/>
        <c:lblOffset val="100"/>
        <c:noMultiLvlLbl val="0"/>
      </c:catAx>
      <c:valAx>
        <c:axId val="15156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3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'ELR Chart (5-Act)'!$E$2</c:f>
              <c:strCache>
                <c:ptCount val="1"/>
                <c:pt idx="0">
                  <c:v> FROM_AESTHETIC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'ELR Chart (5-Act)'!$A$20:$A$48</c:f>
              <c:numCache>
                <c:formatCode>General</c:formatCode>
                <c:ptCount val="2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</c:numCache>
            </c:numRef>
          </c:cat>
          <c:val>
            <c:numRef>
              <c:f>'ELR Chart (5-Act)'!$E$20:$E$48</c:f>
              <c:numCache>
                <c:formatCode>0.00</c:formatCode>
                <c:ptCount val="29"/>
                <c:pt idx="0">
                  <c:v>6.25E-2</c:v>
                </c:pt>
                <c:pt idx="1">
                  <c:v>0.28125</c:v>
                </c:pt>
                <c:pt idx="2">
                  <c:v>0.21875</c:v>
                </c:pt>
                <c:pt idx="3">
                  <c:v>9.375E-2</c:v>
                </c:pt>
                <c:pt idx="4">
                  <c:v>0.375</c:v>
                </c:pt>
                <c:pt idx="5">
                  <c:v>0.125</c:v>
                </c:pt>
                <c:pt idx="6">
                  <c:v>0.1875</c:v>
                </c:pt>
                <c:pt idx="7">
                  <c:v>0.125</c:v>
                </c:pt>
                <c:pt idx="8">
                  <c:v>0.1875</c:v>
                </c:pt>
                <c:pt idx="9">
                  <c:v>0.15625</c:v>
                </c:pt>
                <c:pt idx="10">
                  <c:v>9.375E-2</c:v>
                </c:pt>
                <c:pt idx="11">
                  <c:v>6.25E-2</c:v>
                </c:pt>
                <c:pt idx="12">
                  <c:v>9.375E-2</c:v>
                </c:pt>
                <c:pt idx="13">
                  <c:v>0.1875</c:v>
                </c:pt>
                <c:pt idx="14">
                  <c:v>0.15625</c:v>
                </c:pt>
                <c:pt idx="15">
                  <c:v>0.125</c:v>
                </c:pt>
                <c:pt idx="16">
                  <c:v>0.15625</c:v>
                </c:pt>
                <c:pt idx="17">
                  <c:v>6.25E-2</c:v>
                </c:pt>
                <c:pt idx="18">
                  <c:v>0.15625</c:v>
                </c:pt>
                <c:pt idx="19">
                  <c:v>0.1875</c:v>
                </c:pt>
                <c:pt idx="20">
                  <c:v>0</c:v>
                </c:pt>
                <c:pt idx="21">
                  <c:v>9.375E-2</c:v>
                </c:pt>
                <c:pt idx="22">
                  <c:v>6.25E-2</c:v>
                </c:pt>
                <c:pt idx="23">
                  <c:v>3.125E-2</c:v>
                </c:pt>
                <c:pt idx="24">
                  <c:v>9.375E-2</c:v>
                </c:pt>
                <c:pt idx="25">
                  <c:v>3.125E-2</c:v>
                </c:pt>
                <c:pt idx="26">
                  <c:v>9.375E-2</c:v>
                </c:pt>
                <c:pt idx="27">
                  <c:v>3.125E-2</c:v>
                </c:pt>
                <c:pt idx="28">
                  <c:v>3.125E-2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ED-494F-8DA2-EF26EACE3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614112"/>
        <c:axId val="1515629344"/>
      </c:lineChart>
      <c:catAx>
        <c:axId val="15156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29344"/>
        <c:crosses val="autoZero"/>
        <c:auto val="1"/>
        <c:lblAlgn val="ctr"/>
        <c:lblOffset val="100"/>
        <c:noMultiLvlLbl val="0"/>
      </c:catAx>
      <c:valAx>
        <c:axId val="15156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'ELR Chart (5-Act)'!$F$2</c:f>
              <c:strCache>
                <c:ptCount val="1"/>
                <c:pt idx="0">
                  <c:v> FROM_OTHERS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'ELR Chart (5-Act)'!$A$20:$A$48</c:f>
              <c:numCache>
                <c:formatCode>General</c:formatCode>
                <c:ptCount val="2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</c:numCache>
            </c:numRef>
          </c:cat>
          <c:val>
            <c:numRef>
              <c:f>'ELR Chart (5-Act)'!$F$20:$F$48</c:f>
              <c:numCache>
                <c:formatCode>0.00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9.375E-2</c:v>
                </c:pt>
                <c:pt idx="3">
                  <c:v>3.125E-2</c:v>
                </c:pt>
                <c:pt idx="4">
                  <c:v>6.25E-2</c:v>
                </c:pt>
                <c:pt idx="5">
                  <c:v>3.125E-2</c:v>
                </c:pt>
                <c:pt idx="6">
                  <c:v>6.25E-2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6.25E-2</c:v>
                </c:pt>
                <c:pt idx="11">
                  <c:v>3.125E-2</c:v>
                </c:pt>
                <c:pt idx="12">
                  <c:v>3.125E-2</c:v>
                </c:pt>
                <c:pt idx="13">
                  <c:v>0</c:v>
                </c:pt>
                <c:pt idx="14">
                  <c:v>3.125E-2</c:v>
                </c:pt>
                <c:pt idx="15">
                  <c:v>3.125E-2</c:v>
                </c:pt>
                <c:pt idx="16">
                  <c:v>0</c:v>
                </c:pt>
                <c:pt idx="17">
                  <c:v>0</c:v>
                </c:pt>
                <c:pt idx="18">
                  <c:v>3.125E-2</c:v>
                </c:pt>
                <c:pt idx="19">
                  <c:v>3.125E-2</c:v>
                </c:pt>
                <c:pt idx="20">
                  <c:v>6.25E-2</c:v>
                </c:pt>
                <c:pt idx="21">
                  <c:v>3.125E-2</c:v>
                </c:pt>
                <c:pt idx="22">
                  <c:v>0</c:v>
                </c:pt>
                <c:pt idx="23">
                  <c:v>3.125E-2</c:v>
                </c:pt>
                <c:pt idx="24">
                  <c:v>6.25E-2</c:v>
                </c:pt>
                <c:pt idx="25">
                  <c:v>6.25E-2</c:v>
                </c:pt>
                <c:pt idx="26">
                  <c:v>6.25E-2</c:v>
                </c:pt>
                <c:pt idx="27">
                  <c:v>6.25E-2</c:v>
                </c:pt>
                <c:pt idx="28">
                  <c:v>3.125E-2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08-47D7-8A82-794912771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616832"/>
        <c:axId val="1515621728"/>
      </c:lineChart>
      <c:catAx>
        <c:axId val="15156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21728"/>
        <c:crosses val="autoZero"/>
        <c:auto val="1"/>
        <c:lblAlgn val="ctr"/>
        <c:lblOffset val="100"/>
        <c:noMultiLvlLbl val="0"/>
      </c:catAx>
      <c:valAx>
        <c:axId val="15156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'ELR Chart (5-Act)'!$D$2</c:f>
              <c:strCache>
                <c:ptCount val="1"/>
                <c:pt idx="0">
                  <c:v> FROM_NARRATIVE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'ELR Chart (5-Act)'!$A$20:$A$48</c:f>
              <c:numCache>
                <c:formatCode>General</c:formatCode>
                <c:ptCount val="2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</c:numCache>
            </c:numRef>
          </c:cat>
          <c:val>
            <c:numRef>
              <c:f>'ELR Chart (5-Act)'!$D$20:$D$48</c:f>
              <c:numCache>
                <c:formatCode>0.00</c:formatCode>
                <c:ptCount val="29"/>
                <c:pt idx="0">
                  <c:v>0.65625</c:v>
                </c:pt>
                <c:pt idx="1">
                  <c:v>0.625</c:v>
                </c:pt>
                <c:pt idx="2">
                  <c:v>0.53125</c:v>
                </c:pt>
                <c:pt idx="3">
                  <c:v>0.5625</c:v>
                </c:pt>
                <c:pt idx="4">
                  <c:v>0.375</c:v>
                </c:pt>
                <c:pt idx="5">
                  <c:v>0.4375</c:v>
                </c:pt>
                <c:pt idx="6">
                  <c:v>0.5625</c:v>
                </c:pt>
                <c:pt idx="7">
                  <c:v>0.5625</c:v>
                </c:pt>
                <c:pt idx="8">
                  <c:v>0.625</c:v>
                </c:pt>
                <c:pt idx="9">
                  <c:v>0.46875</c:v>
                </c:pt>
                <c:pt idx="10">
                  <c:v>0.59375</c:v>
                </c:pt>
                <c:pt idx="11">
                  <c:v>0.5</c:v>
                </c:pt>
                <c:pt idx="12">
                  <c:v>0.65625</c:v>
                </c:pt>
                <c:pt idx="13">
                  <c:v>0.53125</c:v>
                </c:pt>
                <c:pt idx="14">
                  <c:v>0.5625</c:v>
                </c:pt>
                <c:pt idx="15">
                  <c:v>0.4375</c:v>
                </c:pt>
                <c:pt idx="16">
                  <c:v>0.59375</c:v>
                </c:pt>
                <c:pt idx="17">
                  <c:v>0.53125</c:v>
                </c:pt>
                <c:pt idx="18">
                  <c:v>0.5</c:v>
                </c:pt>
                <c:pt idx="19">
                  <c:v>0.5625</c:v>
                </c:pt>
                <c:pt idx="20">
                  <c:v>0.59375</c:v>
                </c:pt>
                <c:pt idx="21">
                  <c:v>0.53125</c:v>
                </c:pt>
                <c:pt idx="22">
                  <c:v>0.6875</c:v>
                </c:pt>
                <c:pt idx="23">
                  <c:v>0.5625</c:v>
                </c:pt>
                <c:pt idx="24">
                  <c:v>0.5625</c:v>
                </c:pt>
                <c:pt idx="25">
                  <c:v>0.59375</c:v>
                </c:pt>
                <c:pt idx="26">
                  <c:v>0.59375</c:v>
                </c:pt>
                <c:pt idx="27">
                  <c:v>0.59375</c:v>
                </c:pt>
                <c:pt idx="28">
                  <c:v>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EA-466F-9F2F-299A6C250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630976"/>
        <c:axId val="1515608128"/>
      </c:lineChart>
      <c:catAx>
        <c:axId val="15156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08128"/>
        <c:crosses val="autoZero"/>
        <c:auto val="1"/>
        <c:lblAlgn val="ctr"/>
        <c:lblOffset val="100"/>
        <c:noMultiLvlLbl val="0"/>
      </c:catAx>
      <c:valAx>
        <c:axId val="15156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'ELR Chart (5-Act)'!$C$2</c:f>
              <c:strCache>
                <c:ptCount val="1"/>
                <c:pt idx="0">
                  <c:v> FROM_EVALUATIVE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'ELR Chart (5-Act)'!$A$49:$A$60</c:f>
              <c:numCache>
                <c:formatCode>General</c:formatCode>
                <c:ptCount val="12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</c:numCache>
            </c:numRef>
          </c:cat>
          <c:val>
            <c:numRef>
              <c:f>'ELR Chart (5-Act)'!$C$49:$C$60</c:f>
              <c:numCache>
                <c:formatCode>0.00</c:formatCode>
                <c:ptCount val="12"/>
                <c:pt idx="0">
                  <c:v>0.40625</c:v>
                </c:pt>
                <c:pt idx="1">
                  <c:v>0.40625</c:v>
                </c:pt>
                <c:pt idx="2">
                  <c:v>0.46875</c:v>
                </c:pt>
                <c:pt idx="3">
                  <c:v>0.59375</c:v>
                </c:pt>
                <c:pt idx="4">
                  <c:v>0.46875</c:v>
                </c:pt>
                <c:pt idx="5">
                  <c:v>0.5</c:v>
                </c:pt>
                <c:pt idx="6">
                  <c:v>0.40625</c:v>
                </c:pt>
                <c:pt idx="7">
                  <c:v>0.59375</c:v>
                </c:pt>
                <c:pt idx="8">
                  <c:v>0.59375</c:v>
                </c:pt>
                <c:pt idx="9">
                  <c:v>0.40625</c:v>
                </c:pt>
                <c:pt idx="10">
                  <c:v>0.53125</c:v>
                </c:pt>
                <c:pt idx="11">
                  <c:v>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2A9-4963-8626-B11AB5B8CF88}"/>
            </c:ext>
          </c:extLst>
        </c:ser>
        <c:ser>
          <c:idx val="2"/>
          <c:order val="2"/>
          <c:tx>
            <c:strRef>
              <c:f>'ELR Chart (5-Act)'!$D$2</c:f>
              <c:strCache>
                <c:ptCount val="1"/>
                <c:pt idx="0">
                  <c:v> FROM_NARRATIVE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'ELR Chart (5-Act)'!$A$49:$A$60</c:f>
              <c:numCache>
                <c:formatCode>General</c:formatCode>
                <c:ptCount val="12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</c:numCache>
            </c:numRef>
          </c:cat>
          <c:val>
            <c:numRef>
              <c:f>'ELR Chart (5-Act)'!$D$49:$D$60</c:f>
              <c:numCache>
                <c:formatCode>0.00</c:formatCode>
                <c:ptCount val="12"/>
                <c:pt idx="0">
                  <c:v>0.5625</c:v>
                </c:pt>
                <c:pt idx="1">
                  <c:v>0.625</c:v>
                </c:pt>
                <c:pt idx="2">
                  <c:v>0.59375</c:v>
                </c:pt>
                <c:pt idx="3">
                  <c:v>0.5625</c:v>
                </c:pt>
                <c:pt idx="4">
                  <c:v>0.46875</c:v>
                </c:pt>
                <c:pt idx="5">
                  <c:v>0.625</c:v>
                </c:pt>
                <c:pt idx="6">
                  <c:v>0.65625</c:v>
                </c:pt>
                <c:pt idx="7">
                  <c:v>0.40625</c:v>
                </c:pt>
                <c:pt idx="8">
                  <c:v>0.625</c:v>
                </c:pt>
                <c:pt idx="9">
                  <c:v>0.59375</c:v>
                </c:pt>
                <c:pt idx="10">
                  <c:v>0.65625</c:v>
                </c:pt>
                <c:pt idx="11">
                  <c:v>0.58064516129032262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2A9-4963-8626-B11AB5B8CF88}"/>
            </c:ext>
          </c:extLst>
        </c:ser>
        <c:ser>
          <c:idx val="3"/>
          <c:order val="3"/>
          <c:tx>
            <c:strRef>
              <c:f>'ELR Chart (5-Act)'!$E$2</c:f>
              <c:strCache>
                <c:ptCount val="1"/>
                <c:pt idx="0">
                  <c:v> FROM_AESTHETIC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'ELR Chart (5-Act)'!$A$49:$A$60</c:f>
              <c:numCache>
                <c:formatCode>General</c:formatCode>
                <c:ptCount val="12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</c:numCache>
            </c:numRef>
          </c:cat>
          <c:val>
            <c:numRef>
              <c:f>'ELR Chart (5-Act)'!$E$49:$E$60</c:f>
              <c:numCache>
                <c:formatCode>0.00</c:formatCode>
                <c:ptCount val="12"/>
                <c:pt idx="0">
                  <c:v>0.15625</c:v>
                </c:pt>
                <c:pt idx="1">
                  <c:v>0.15625</c:v>
                </c:pt>
                <c:pt idx="2">
                  <c:v>9.375E-2</c:v>
                </c:pt>
                <c:pt idx="3">
                  <c:v>0.1875</c:v>
                </c:pt>
                <c:pt idx="4">
                  <c:v>0.15625</c:v>
                </c:pt>
                <c:pt idx="5">
                  <c:v>0.15625</c:v>
                </c:pt>
                <c:pt idx="6">
                  <c:v>3.125E-2</c:v>
                </c:pt>
                <c:pt idx="7">
                  <c:v>0.1875</c:v>
                </c:pt>
                <c:pt idx="8">
                  <c:v>0.125</c:v>
                </c:pt>
                <c:pt idx="9">
                  <c:v>0.15625</c:v>
                </c:pt>
                <c:pt idx="10">
                  <c:v>0.125</c:v>
                </c:pt>
                <c:pt idx="11">
                  <c:v>9.375E-2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2A9-4963-8626-B11AB5B8CF88}"/>
            </c:ext>
          </c:extLst>
        </c:ser>
        <c:ser>
          <c:idx val="4"/>
          <c:order val="4"/>
          <c:tx>
            <c:strRef>
              <c:f>'ELR Chart (5-Act)'!$F$2</c:f>
              <c:strCache>
                <c:ptCount val="1"/>
                <c:pt idx="0">
                  <c:v> FROM_OTHERS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'ELR Chart (5-Act)'!$A$49:$A$60</c:f>
              <c:numCache>
                <c:formatCode>General</c:formatCode>
                <c:ptCount val="12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</c:numCache>
            </c:numRef>
          </c:cat>
          <c:val>
            <c:numRef>
              <c:f>'ELR Chart (5-Act)'!$F$49:$F$60</c:f>
              <c:numCache>
                <c:formatCode>0.00</c:formatCode>
                <c:ptCount val="12"/>
                <c:pt idx="0">
                  <c:v>3.125E-2</c:v>
                </c:pt>
                <c:pt idx="1">
                  <c:v>3.125E-2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3.125E-2</c:v>
                </c:pt>
                <c:pt idx="7">
                  <c:v>3.125E-2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2A9-4963-8626-B11AB5B8C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619008"/>
        <c:axId val="151560921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'ELR Chart (5-Act)'!$B$2</c15:sqref>
                        </c15:formulaRef>
                      </c:ext>
                    </c:extLst>
                    <c:strCache>
                      <c:ptCount val="1"/>
                      <c:pt idx="0">
                        <c:v> IS_STRIKING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'ELR Chart (5-Act)'!$A$49:$A$60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47</c:v>
                      </c:pt>
                      <c:pt idx="1">
                        <c:v>48</c:v>
                      </c:pt>
                      <c:pt idx="2">
                        <c:v>49</c:v>
                      </c:pt>
                      <c:pt idx="3">
                        <c:v>50</c:v>
                      </c:pt>
                      <c:pt idx="4">
                        <c:v>51</c:v>
                      </c:pt>
                      <c:pt idx="5">
                        <c:v>52</c:v>
                      </c:pt>
                      <c:pt idx="6">
                        <c:v>53</c:v>
                      </c:pt>
                      <c:pt idx="7">
                        <c:v>54</c:v>
                      </c:pt>
                      <c:pt idx="8">
                        <c:v>55</c:v>
                      </c:pt>
                      <c:pt idx="9">
                        <c:v>56</c:v>
                      </c:pt>
                      <c:pt idx="10">
                        <c:v>57</c:v>
                      </c:pt>
                      <c:pt idx="11">
                        <c:v>58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'ELR Chart (5-Act)'!$B$49:$B$60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0.375</c:v>
                      </c:pt>
                      <c:pt idx="1">
                        <c:v>0.25</c:v>
                      </c:pt>
                      <c:pt idx="2">
                        <c:v>0.34375</c:v>
                      </c:pt>
                      <c:pt idx="3">
                        <c:v>0.3125</c:v>
                      </c:pt>
                      <c:pt idx="4">
                        <c:v>0.1875</c:v>
                      </c:pt>
                      <c:pt idx="5">
                        <c:v>0.65625</c:v>
                      </c:pt>
                      <c:pt idx="6">
                        <c:v>0.375</c:v>
                      </c:pt>
                      <c:pt idx="7">
                        <c:v>0.28125</c:v>
                      </c:pt>
                      <c:pt idx="8">
                        <c:v>0.5625</c:v>
                      </c:pt>
                      <c:pt idx="9">
                        <c:v>0.34375</c:v>
                      </c:pt>
                      <c:pt idx="10">
                        <c:v>0.46875</c:v>
                      </c:pt>
                      <c:pt idx="11">
                        <c:v>0.5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82A9-4963-8626-B11AB5B8CF88}"/>
                  </c:ext>
                </c:extLst>
              </c15:ser>
            </c15:filteredLineSeries>
          </c:ext>
        </c:extLst>
      </c:lineChart>
      <c:catAx>
        <c:axId val="15156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09216"/>
        <c:crosses val="autoZero"/>
        <c:auto val="1"/>
        <c:lblAlgn val="ctr"/>
        <c:lblOffset val="100"/>
        <c:noMultiLvlLbl val="0"/>
      </c:catAx>
      <c:valAx>
        <c:axId val="15156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'ELR Chart (5-Act)'!$B$2</c:f>
              <c:strCache>
                <c:ptCount val="1"/>
                <c:pt idx="0">
                  <c:v> IS_STRIKING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'ELR Chart (5-Act)'!$A$49:$A$60</c:f>
              <c:numCache>
                <c:formatCode>General</c:formatCode>
                <c:ptCount val="12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</c:numCache>
            </c:numRef>
          </c:cat>
          <c:val>
            <c:numRef>
              <c:f>'ELR Chart (5-Act)'!$B$49:$B$60</c:f>
              <c:numCache>
                <c:formatCode>0.00</c:formatCode>
                <c:ptCount val="12"/>
                <c:pt idx="0">
                  <c:v>0.375</c:v>
                </c:pt>
                <c:pt idx="1">
                  <c:v>0.25</c:v>
                </c:pt>
                <c:pt idx="2">
                  <c:v>0.34375</c:v>
                </c:pt>
                <c:pt idx="3">
                  <c:v>0.3125</c:v>
                </c:pt>
                <c:pt idx="4">
                  <c:v>0.1875</c:v>
                </c:pt>
                <c:pt idx="5">
                  <c:v>0.65625</c:v>
                </c:pt>
                <c:pt idx="6">
                  <c:v>0.375</c:v>
                </c:pt>
                <c:pt idx="7">
                  <c:v>0.28125</c:v>
                </c:pt>
                <c:pt idx="8">
                  <c:v>0.5625</c:v>
                </c:pt>
                <c:pt idx="9">
                  <c:v>0.34375</c:v>
                </c:pt>
                <c:pt idx="10">
                  <c:v>0.46875</c:v>
                </c:pt>
                <c:pt idx="11">
                  <c:v>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46-4D2B-A4BA-BAB2F2C82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601600"/>
        <c:axId val="1515602144"/>
      </c:lineChart>
      <c:catAx>
        <c:axId val="151560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02144"/>
        <c:crosses val="autoZero"/>
        <c:auto val="1"/>
        <c:lblAlgn val="ctr"/>
        <c:lblOffset val="100"/>
        <c:noMultiLvlLbl val="0"/>
      </c:catAx>
      <c:valAx>
        <c:axId val="1515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'ELR Chart (5-Act)'!$C$2</c:f>
              <c:strCache>
                <c:ptCount val="1"/>
                <c:pt idx="0">
                  <c:v> FROM_EVALUATIVE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'ELR Chart (5-Act)'!$A$49:$A$60</c:f>
              <c:numCache>
                <c:formatCode>General</c:formatCode>
                <c:ptCount val="12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</c:numCache>
            </c:numRef>
          </c:cat>
          <c:val>
            <c:numRef>
              <c:f>'ELR Chart (5-Act)'!$C$49:$C$60</c:f>
              <c:numCache>
                <c:formatCode>0.00</c:formatCode>
                <c:ptCount val="12"/>
                <c:pt idx="0">
                  <c:v>0.40625</c:v>
                </c:pt>
                <c:pt idx="1">
                  <c:v>0.40625</c:v>
                </c:pt>
                <c:pt idx="2">
                  <c:v>0.46875</c:v>
                </c:pt>
                <c:pt idx="3">
                  <c:v>0.59375</c:v>
                </c:pt>
                <c:pt idx="4">
                  <c:v>0.46875</c:v>
                </c:pt>
                <c:pt idx="5">
                  <c:v>0.5</c:v>
                </c:pt>
                <c:pt idx="6">
                  <c:v>0.40625</c:v>
                </c:pt>
                <c:pt idx="7">
                  <c:v>0.59375</c:v>
                </c:pt>
                <c:pt idx="8">
                  <c:v>0.59375</c:v>
                </c:pt>
                <c:pt idx="9">
                  <c:v>0.40625</c:v>
                </c:pt>
                <c:pt idx="10">
                  <c:v>0.53125</c:v>
                </c:pt>
                <c:pt idx="11">
                  <c:v>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73-456A-8BF6-CA388106C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611936"/>
        <c:axId val="1515618464"/>
      </c:lineChart>
      <c:catAx>
        <c:axId val="15156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18464"/>
        <c:crosses val="autoZero"/>
        <c:auto val="1"/>
        <c:lblAlgn val="ctr"/>
        <c:lblOffset val="100"/>
        <c:noMultiLvlLbl val="0"/>
      </c:catAx>
      <c:valAx>
        <c:axId val="15156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PCA_ELR!$R$186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PCA_ELR!$O$187:$P$211</c:f>
              <c:multiLvlStrCache>
                <c:ptCount val="25"/>
                <c:lvl>
                  <c:pt idx="0">
                    <c:v>ALL</c:v>
                  </c:pt>
                  <c:pt idx="1">
                    <c:v>RF1</c:v>
                  </c:pt>
                  <c:pt idx="2">
                    <c:v>RF2</c:v>
                  </c:pt>
                  <c:pt idx="3">
                    <c:v>RF3</c:v>
                  </c:pt>
                  <c:pt idx="4">
                    <c:v>RF4</c:v>
                  </c:pt>
                  <c:pt idx="5">
                    <c:v>ALL</c:v>
                  </c:pt>
                  <c:pt idx="6">
                    <c:v>RF1</c:v>
                  </c:pt>
                  <c:pt idx="7">
                    <c:v>RF2</c:v>
                  </c:pt>
                  <c:pt idx="8">
                    <c:v>RF3</c:v>
                  </c:pt>
                  <c:pt idx="9">
                    <c:v>RF4</c:v>
                  </c:pt>
                  <c:pt idx="10">
                    <c:v>ALL</c:v>
                  </c:pt>
                  <c:pt idx="11">
                    <c:v>RF1</c:v>
                  </c:pt>
                  <c:pt idx="12">
                    <c:v>RF2</c:v>
                  </c:pt>
                  <c:pt idx="13">
                    <c:v>RF3</c:v>
                  </c:pt>
                  <c:pt idx="14">
                    <c:v>RF4</c:v>
                  </c:pt>
                  <c:pt idx="15">
                    <c:v>ALL</c:v>
                  </c:pt>
                  <c:pt idx="16">
                    <c:v>RF1</c:v>
                  </c:pt>
                  <c:pt idx="17">
                    <c:v>RF2</c:v>
                  </c:pt>
                  <c:pt idx="18">
                    <c:v>RF3</c:v>
                  </c:pt>
                  <c:pt idx="19">
                    <c:v>RF4</c:v>
                  </c:pt>
                  <c:pt idx="20">
                    <c:v>ALL</c:v>
                  </c:pt>
                  <c:pt idx="21">
                    <c:v>RF1</c:v>
                  </c:pt>
                  <c:pt idx="22">
                    <c:v>RF2</c:v>
                  </c:pt>
                  <c:pt idx="23">
                    <c:v>RF3</c:v>
                  </c:pt>
                  <c:pt idx="24">
                    <c:v>RF4</c:v>
                  </c:pt>
                </c:lvl>
                <c:lvl>
                  <c:pt idx="0">
                    <c:v>AP</c:v>
                  </c:pt>
                  <c:pt idx="5">
                    <c:v>AT</c:v>
                  </c:pt>
                  <c:pt idx="10">
                    <c:v>PL</c:v>
                  </c:pt>
                  <c:pt idx="15">
                    <c:v>SE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PCA_ELR!$R$187:$R$211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E8-4671-B23D-564A558CC625}"/>
            </c:ext>
          </c:extLst>
        </c:ser>
        <c:ser>
          <c:idx val="2"/>
          <c:order val="2"/>
          <c:tx>
            <c:strRef>
              <c:f>PCA_ELR!$S$186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PCA_ELR!$O$187:$P$211</c:f>
              <c:multiLvlStrCache>
                <c:ptCount val="25"/>
                <c:lvl>
                  <c:pt idx="0">
                    <c:v>ALL</c:v>
                  </c:pt>
                  <c:pt idx="1">
                    <c:v>RF1</c:v>
                  </c:pt>
                  <c:pt idx="2">
                    <c:v>RF2</c:v>
                  </c:pt>
                  <c:pt idx="3">
                    <c:v>RF3</c:v>
                  </c:pt>
                  <c:pt idx="4">
                    <c:v>RF4</c:v>
                  </c:pt>
                  <c:pt idx="5">
                    <c:v>ALL</c:v>
                  </c:pt>
                  <c:pt idx="6">
                    <c:v>RF1</c:v>
                  </c:pt>
                  <c:pt idx="7">
                    <c:v>RF2</c:v>
                  </c:pt>
                  <c:pt idx="8">
                    <c:v>RF3</c:v>
                  </c:pt>
                  <c:pt idx="9">
                    <c:v>RF4</c:v>
                  </c:pt>
                  <c:pt idx="10">
                    <c:v>ALL</c:v>
                  </c:pt>
                  <c:pt idx="11">
                    <c:v>RF1</c:v>
                  </c:pt>
                  <c:pt idx="12">
                    <c:v>RF2</c:v>
                  </c:pt>
                  <c:pt idx="13">
                    <c:v>RF3</c:v>
                  </c:pt>
                  <c:pt idx="14">
                    <c:v>RF4</c:v>
                  </c:pt>
                  <c:pt idx="15">
                    <c:v>ALL</c:v>
                  </c:pt>
                  <c:pt idx="16">
                    <c:v>RF1</c:v>
                  </c:pt>
                  <c:pt idx="17">
                    <c:v>RF2</c:v>
                  </c:pt>
                  <c:pt idx="18">
                    <c:v>RF3</c:v>
                  </c:pt>
                  <c:pt idx="19">
                    <c:v>RF4</c:v>
                  </c:pt>
                  <c:pt idx="20">
                    <c:v>ALL</c:v>
                  </c:pt>
                  <c:pt idx="21">
                    <c:v>RF1</c:v>
                  </c:pt>
                  <c:pt idx="22">
                    <c:v>RF2</c:v>
                  </c:pt>
                  <c:pt idx="23">
                    <c:v>RF3</c:v>
                  </c:pt>
                  <c:pt idx="24">
                    <c:v>RF4</c:v>
                  </c:pt>
                </c:lvl>
                <c:lvl>
                  <c:pt idx="0">
                    <c:v>AP</c:v>
                  </c:pt>
                  <c:pt idx="5">
                    <c:v>AT</c:v>
                  </c:pt>
                  <c:pt idx="10">
                    <c:v>PL</c:v>
                  </c:pt>
                  <c:pt idx="15">
                    <c:v>SE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PCA_ELR!$S$187:$S$211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E8-4671-B23D-564A558CC625}"/>
            </c:ext>
          </c:extLst>
        </c:ser>
        <c:ser>
          <c:idx val="3"/>
          <c:order val="3"/>
          <c:tx>
            <c:strRef>
              <c:f>PCA_ELR!$T$186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PCA_ELR!$O$187:$P$211</c:f>
              <c:multiLvlStrCache>
                <c:ptCount val="25"/>
                <c:lvl>
                  <c:pt idx="0">
                    <c:v>ALL</c:v>
                  </c:pt>
                  <c:pt idx="1">
                    <c:v>RF1</c:v>
                  </c:pt>
                  <c:pt idx="2">
                    <c:v>RF2</c:v>
                  </c:pt>
                  <c:pt idx="3">
                    <c:v>RF3</c:v>
                  </c:pt>
                  <c:pt idx="4">
                    <c:v>RF4</c:v>
                  </c:pt>
                  <c:pt idx="5">
                    <c:v>ALL</c:v>
                  </c:pt>
                  <c:pt idx="6">
                    <c:v>RF1</c:v>
                  </c:pt>
                  <c:pt idx="7">
                    <c:v>RF2</c:v>
                  </c:pt>
                  <c:pt idx="8">
                    <c:v>RF3</c:v>
                  </c:pt>
                  <c:pt idx="9">
                    <c:v>RF4</c:v>
                  </c:pt>
                  <c:pt idx="10">
                    <c:v>ALL</c:v>
                  </c:pt>
                  <c:pt idx="11">
                    <c:v>RF1</c:v>
                  </c:pt>
                  <c:pt idx="12">
                    <c:v>RF2</c:v>
                  </c:pt>
                  <c:pt idx="13">
                    <c:v>RF3</c:v>
                  </c:pt>
                  <c:pt idx="14">
                    <c:v>RF4</c:v>
                  </c:pt>
                  <c:pt idx="15">
                    <c:v>ALL</c:v>
                  </c:pt>
                  <c:pt idx="16">
                    <c:v>RF1</c:v>
                  </c:pt>
                  <c:pt idx="17">
                    <c:v>RF2</c:v>
                  </c:pt>
                  <c:pt idx="18">
                    <c:v>RF3</c:v>
                  </c:pt>
                  <c:pt idx="19">
                    <c:v>RF4</c:v>
                  </c:pt>
                  <c:pt idx="20">
                    <c:v>ALL</c:v>
                  </c:pt>
                  <c:pt idx="21">
                    <c:v>RF1</c:v>
                  </c:pt>
                  <c:pt idx="22">
                    <c:v>RF2</c:v>
                  </c:pt>
                  <c:pt idx="23">
                    <c:v>RF3</c:v>
                  </c:pt>
                  <c:pt idx="24">
                    <c:v>RF4</c:v>
                  </c:pt>
                </c:lvl>
                <c:lvl>
                  <c:pt idx="0">
                    <c:v>AP</c:v>
                  </c:pt>
                  <c:pt idx="5">
                    <c:v>AT</c:v>
                  </c:pt>
                  <c:pt idx="10">
                    <c:v>PL</c:v>
                  </c:pt>
                  <c:pt idx="15">
                    <c:v>SE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PCA_ELR!$T$187:$T$211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E8-4671-B23D-564A558CC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987488"/>
        <c:axId val="201299456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PCA_ELR!$Q$186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PCA_ELR!$O$187:$P$211</c15:sqref>
                        </c15:formulaRef>
                      </c:ext>
                    </c:extLst>
                    <c:multiLvlStrCache>
                      <c:ptCount val="25"/>
                      <c:lvl>
                        <c:pt idx="0">
                          <c:v>ALL</c:v>
                        </c:pt>
                        <c:pt idx="1">
                          <c:v>RF1</c:v>
                        </c:pt>
                        <c:pt idx="2">
                          <c:v>RF2</c:v>
                        </c:pt>
                        <c:pt idx="3">
                          <c:v>RF3</c:v>
                        </c:pt>
                        <c:pt idx="4">
                          <c:v>RF4</c:v>
                        </c:pt>
                        <c:pt idx="5">
                          <c:v>ALL</c:v>
                        </c:pt>
                        <c:pt idx="6">
                          <c:v>RF1</c:v>
                        </c:pt>
                        <c:pt idx="7">
                          <c:v>RF2</c:v>
                        </c:pt>
                        <c:pt idx="8">
                          <c:v>RF3</c:v>
                        </c:pt>
                        <c:pt idx="9">
                          <c:v>RF4</c:v>
                        </c:pt>
                        <c:pt idx="10">
                          <c:v>ALL</c:v>
                        </c:pt>
                        <c:pt idx="11">
                          <c:v>RF1</c:v>
                        </c:pt>
                        <c:pt idx="12">
                          <c:v>RF2</c:v>
                        </c:pt>
                        <c:pt idx="13">
                          <c:v>RF3</c:v>
                        </c:pt>
                        <c:pt idx="14">
                          <c:v>RF4</c:v>
                        </c:pt>
                        <c:pt idx="15">
                          <c:v>ALL</c:v>
                        </c:pt>
                        <c:pt idx="16">
                          <c:v>RF1</c:v>
                        </c:pt>
                        <c:pt idx="17">
                          <c:v>RF2</c:v>
                        </c:pt>
                        <c:pt idx="18">
                          <c:v>RF3</c:v>
                        </c:pt>
                        <c:pt idx="19">
                          <c:v>RF4</c:v>
                        </c:pt>
                        <c:pt idx="20">
                          <c:v>ALL</c:v>
                        </c:pt>
                        <c:pt idx="21">
                          <c:v>RF1</c:v>
                        </c:pt>
                        <c:pt idx="22">
                          <c:v>RF2</c:v>
                        </c:pt>
                        <c:pt idx="23">
                          <c:v>RF3</c:v>
                        </c:pt>
                        <c:pt idx="24">
                          <c:v>RF4</c:v>
                        </c:pt>
                      </c:lvl>
                      <c:lvl>
                        <c:pt idx="0">
                          <c:v>AP</c:v>
                        </c:pt>
                        <c:pt idx="5">
                          <c:v>AT</c:v>
                        </c:pt>
                        <c:pt idx="10">
                          <c:v>PL</c:v>
                        </c:pt>
                        <c:pt idx="15">
                          <c:v>SE</c:v>
                        </c:pt>
                        <c:pt idx="20">
                          <c:v>AVG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PCA_ELR!$Q$187:$Q$211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 formatCode="0.00">
                        <c:v>0</c:v>
                      </c:pt>
                      <c:pt idx="21" formatCode="0.00">
                        <c:v>0</c:v>
                      </c:pt>
                      <c:pt idx="22" formatCode="0.00">
                        <c:v>0</c:v>
                      </c:pt>
                      <c:pt idx="23" formatCode="0.00">
                        <c:v>0</c:v>
                      </c:pt>
                      <c:pt idx="24" formatCode="0.00">
                        <c:v>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B3E8-4671-B23D-564A558CC625}"/>
                  </c:ext>
                </c:extLst>
              </c15:ser>
            </c15:filteredBarSeries>
          </c:ext>
        </c:extLst>
      </c:barChart>
      <c:catAx>
        <c:axId val="201298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94560"/>
        <c:crosses val="autoZero"/>
        <c:auto val="1"/>
        <c:lblAlgn val="ctr"/>
        <c:lblOffset val="100"/>
        <c:noMultiLvlLbl val="0"/>
      </c:catAx>
      <c:valAx>
        <c:axId val="20129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8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'ELR Chart (5-Act)'!$E$2</c:f>
              <c:strCache>
                <c:ptCount val="1"/>
                <c:pt idx="0">
                  <c:v> FROM_AESTHETIC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'ELR Chart (5-Act)'!$A$49:$A$60</c:f>
              <c:numCache>
                <c:formatCode>General</c:formatCode>
                <c:ptCount val="12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</c:numCache>
            </c:numRef>
          </c:cat>
          <c:val>
            <c:numRef>
              <c:f>'ELR Chart (5-Act)'!$E$49:$E$60</c:f>
              <c:numCache>
                <c:formatCode>0.00</c:formatCode>
                <c:ptCount val="12"/>
                <c:pt idx="0">
                  <c:v>0.15625</c:v>
                </c:pt>
                <c:pt idx="1">
                  <c:v>0.15625</c:v>
                </c:pt>
                <c:pt idx="2">
                  <c:v>9.375E-2</c:v>
                </c:pt>
                <c:pt idx="3">
                  <c:v>0.1875</c:v>
                </c:pt>
                <c:pt idx="4">
                  <c:v>0.15625</c:v>
                </c:pt>
                <c:pt idx="5">
                  <c:v>0.15625</c:v>
                </c:pt>
                <c:pt idx="6">
                  <c:v>3.125E-2</c:v>
                </c:pt>
                <c:pt idx="7">
                  <c:v>0.1875</c:v>
                </c:pt>
                <c:pt idx="8">
                  <c:v>0.125</c:v>
                </c:pt>
                <c:pt idx="9">
                  <c:v>0.15625</c:v>
                </c:pt>
                <c:pt idx="10">
                  <c:v>0.125</c:v>
                </c:pt>
                <c:pt idx="11">
                  <c:v>9.375E-2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BE-46ED-A1D7-39412865B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604320"/>
        <c:axId val="1515615200"/>
      </c:lineChart>
      <c:catAx>
        <c:axId val="15156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15200"/>
        <c:crosses val="autoZero"/>
        <c:auto val="1"/>
        <c:lblAlgn val="ctr"/>
        <c:lblOffset val="100"/>
        <c:noMultiLvlLbl val="0"/>
      </c:catAx>
      <c:valAx>
        <c:axId val="15156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0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'ELR Chart (5-Act)'!$F$2</c:f>
              <c:strCache>
                <c:ptCount val="1"/>
                <c:pt idx="0">
                  <c:v> FROM_OTHERS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'ELR Chart (5-Act)'!$A$49:$A$60</c:f>
              <c:numCache>
                <c:formatCode>General</c:formatCode>
                <c:ptCount val="12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</c:numCache>
            </c:numRef>
          </c:cat>
          <c:val>
            <c:numRef>
              <c:f>'ELR Chart (5-Act)'!$F$49:$F$60</c:f>
              <c:numCache>
                <c:formatCode>0.00</c:formatCode>
                <c:ptCount val="12"/>
                <c:pt idx="0">
                  <c:v>3.125E-2</c:v>
                </c:pt>
                <c:pt idx="1">
                  <c:v>3.125E-2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3.125E-2</c:v>
                </c:pt>
                <c:pt idx="7">
                  <c:v>3.125E-2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0A-442B-884A-412D24CD0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612480"/>
        <c:axId val="1515610848"/>
      </c:lineChart>
      <c:catAx>
        <c:axId val="15156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10848"/>
        <c:crosses val="autoZero"/>
        <c:auto val="1"/>
        <c:lblAlgn val="ctr"/>
        <c:lblOffset val="100"/>
        <c:noMultiLvlLbl val="0"/>
      </c:catAx>
      <c:valAx>
        <c:axId val="15156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1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'ELR Chart (5-Act)'!$D$2</c:f>
              <c:strCache>
                <c:ptCount val="1"/>
                <c:pt idx="0">
                  <c:v> FROM_NARRATIVE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'ELR Chart (5-Act)'!$A$49:$A$60</c:f>
              <c:numCache>
                <c:formatCode>General</c:formatCode>
                <c:ptCount val="12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</c:numCache>
            </c:numRef>
          </c:cat>
          <c:val>
            <c:numRef>
              <c:f>'ELR Chart (5-Act)'!$D$49:$D$60</c:f>
              <c:numCache>
                <c:formatCode>0.00</c:formatCode>
                <c:ptCount val="12"/>
                <c:pt idx="0">
                  <c:v>0.5625</c:v>
                </c:pt>
                <c:pt idx="1">
                  <c:v>0.625</c:v>
                </c:pt>
                <c:pt idx="2">
                  <c:v>0.59375</c:v>
                </c:pt>
                <c:pt idx="3">
                  <c:v>0.5625</c:v>
                </c:pt>
                <c:pt idx="4">
                  <c:v>0.46875</c:v>
                </c:pt>
                <c:pt idx="5">
                  <c:v>0.625</c:v>
                </c:pt>
                <c:pt idx="6">
                  <c:v>0.65625</c:v>
                </c:pt>
                <c:pt idx="7">
                  <c:v>0.40625</c:v>
                </c:pt>
                <c:pt idx="8">
                  <c:v>0.625</c:v>
                </c:pt>
                <c:pt idx="9">
                  <c:v>0.59375</c:v>
                </c:pt>
                <c:pt idx="10">
                  <c:v>0.65625</c:v>
                </c:pt>
                <c:pt idx="11">
                  <c:v>0.58064516129032262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56-4B84-9603-4211F4345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617920"/>
        <c:axId val="1515621184"/>
      </c:lineChart>
      <c:catAx>
        <c:axId val="15156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21184"/>
        <c:crosses val="autoZero"/>
        <c:auto val="1"/>
        <c:lblAlgn val="ctr"/>
        <c:lblOffset val="100"/>
        <c:noMultiLvlLbl val="0"/>
      </c:catAx>
      <c:valAx>
        <c:axId val="15156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'ELR Chart (5-Act)'!$C$2</c:f>
              <c:strCache>
                <c:ptCount val="1"/>
                <c:pt idx="0">
                  <c:v> FROM_EVALUATIVE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'ELR Chart (5-Act)'!$A$61:$A$74</c:f>
              <c:numCache>
                <c:formatCode>General</c:formatCode>
                <c:ptCount val="14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</c:numCache>
            </c:numRef>
          </c:cat>
          <c:val>
            <c:numRef>
              <c:f>'ELR Chart (5-Act)'!$C$61:$C$74</c:f>
              <c:numCache>
                <c:formatCode>0.00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0.375</c:v>
                </c:pt>
                <c:pt idx="3">
                  <c:v>0.53125</c:v>
                </c:pt>
                <c:pt idx="4">
                  <c:v>0.53125</c:v>
                </c:pt>
                <c:pt idx="5">
                  <c:v>0.34375</c:v>
                </c:pt>
                <c:pt idx="6">
                  <c:v>0.4375</c:v>
                </c:pt>
                <c:pt idx="7">
                  <c:v>0.53125</c:v>
                </c:pt>
                <c:pt idx="8">
                  <c:v>0.5625</c:v>
                </c:pt>
                <c:pt idx="9">
                  <c:v>0.375</c:v>
                </c:pt>
                <c:pt idx="10">
                  <c:v>0.375</c:v>
                </c:pt>
                <c:pt idx="11">
                  <c:v>0.46875</c:v>
                </c:pt>
                <c:pt idx="12">
                  <c:v>0.3125</c:v>
                </c:pt>
                <c:pt idx="13">
                  <c:v>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63-40FA-89AB-C49C041FA71D}"/>
            </c:ext>
          </c:extLst>
        </c:ser>
        <c:ser>
          <c:idx val="2"/>
          <c:order val="1"/>
          <c:tx>
            <c:strRef>
              <c:f>'ELR Chart (5-Act)'!$D$2</c:f>
              <c:strCache>
                <c:ptCount val="1"/>
                <c:pt idx="0">
                  <c:v> FROM_NARRATIVE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'ELR Chart (5-Act)'!$A$61:$A$74</c:f>
              <c:numCache>
                <c:formatCode>General</c:formatCode>
                <c:ptCount val="14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</c:numCache>
            </c:numRef>
          </c:cat>
          <c:val>
            <c:numRef>
              <c:f>'ELR Chart (5-Act)'!$D$61:$D$74</c:f>
              <c:numCache>
                <c:formatCode>0.00</c:formatCode>
                <c:ptCount val="14"/>
                <c:pt idx="0">
                  <c:v>0.64516129032258063</c:v>
                </c:pt>
                <c:pt idx="1">
                  <c:v>0.67741935483870963</c:v>
                </c:pt>
                <c:pt idx="2">
                  <c:v>0.54838709677419351</c:v>
                </c:pt>
                <c:pt idx="3">
                  <c:v>0.54838709677419351</c:v>
                </c:pt>
                <c:pt idx="4">
                  <c:v>0.70967741935483875</c:v>
                </c:pt>
                <c:pt idx="5">
                  <c:v>0.54838709677419351</c:v>
                </c:pt>
                <c:pt idx="6">
                  <c:v>0.54838709677419351</c:v>
                </c:pt>
                <c:pt idx="7">
                  <c:v>0.54838709677419351</c:v>
                </c:pt>
                <c:pt idx="8">
                  <c:v>0.67741935483870963</c:v>
                </c:pt>
                <c:pt idx="9">
                  <c:v>0.64516129032258063</c:v>
                </c:pt>
                <c:pt idx="10">
                  <c:v>0.67741935483870963</c:v>
                </c:pt>
                <c:pt idx="11">
                  <c:v>0.70967741935483875</c:v>
                </c:pt>
                <c:pt idx="12">
                  <c:v>0.70967741935483875</c:v>
                </c:pt>
                <c:pt idx="13">
                  <c:v>0.61290322580645162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63-40FA-89AB-C49C041FA71D}"/>
            </c:ext>
          </c:extLst>
        </c:ser>
        <c:ser>
          <c:idx val="3"/>
          <c:order val="2"/>
          <c:tx>
            <c:strRef>
              <c:f>'ELR Chart (5-Act)'!$E$2</c:f>
              <c:strCache>
                <c:ptCount val="1"/>
                <c:pt idx="0">
                  <c:v> FROM_AESTHETIC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'ELR Chart (5-Act)'!$A$61:$A$74</c:f>
              <c:numCache>
                <c:formatCode>General</c:formatCode>
                <c:ptCount val="14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</c:numCache>
            </c:numRef>
          </c:cat>
          <c:val>
            <c:numRef>
              <c:f>'ELR Chart (5-Act)'!$E$61:$E$74</c:f>
              <c:numCache>
                <c:formatCode>0.00</c:formatCode>
                <c:ptCount val="14"/>
                <c:pt idx="0">
                  <c:v>0.125</c:v>
                </c:pt>
                <c:pt idx="1">
                  <c:v>6.25E-2</c:v>
                </c:pt>
                <c:pt idx="2">
                  <c:v>0.1875</c:v>
                </c:pt>
                <c:pt idx="3">
                  <c:v>0.125</c:v>
                </c:pt>
                <c:pt idx="4">
                  <c:v>0</c:v>
                </c:pt>
                <c:pt idx="5">
                  <c:v>9.375E-2</c:v>
                </c:pt>
                <c:pt idx="6">
                  <c:v>6.25E-2</c:v>
                </c:pt>
                <c:pt idx="7">
                  <c:v>9.375E-2</c:v>
                </c:pt>
                <c:pt idx="8">
                  <c:v>3.125E-2</c:v>
                </c:pt>
                <c:pt idx="9">
                  <c:v>0.15625</c:v>
                </c:pt>
                <c:pt idx="10">
                  <c:v>0.125</c:v>
                </c:pt>
                <c:pt idx="11">
                  <c:v>0.15625</c:v>
                </c:pt>
                <c:pt idx="12">
                  <c:v>0.125</c:v>
                </c:pt>
                <c:pt idx="13">
                  <c:v>0.1875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363-40FA-89AB-C49C041FA71D}"/>
            </c:ext>
          </c:extLst>
        </c:ser>
        <c:ser>
          <c:idx val="4"/>
          <c:order val="3"/>
          <c:tx>
            <c:strRef>
              <c:f>'ELR Chart (5-Act)'!$F$2</c:f>
              <c:strCache>
                <c:ptCount val="1"/>
                <c:pt idx="0">
                  <c:v> FROM_OTHERS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'ELR Chart (5-Act)'!$A$61:$A$74</c:f>
              <c:numCache>
                <c:formatCode>General</c:formatCode>
                <c:ptCount val="14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</c:numCache>
            </c:numRef>
          </c:cat>
          <c:val>
            <c:numRef>
              <c:f>'ELR Chart (5-Act)'!$F$61:$F$74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3.125E-2</c:v>
                </c:pt>
                <c:pt idx="4">
                  <c:v>0</c:v>
                </c:pt>
                <c:pt idx="5">
                  <c:v>3.125E-2</c:v>
                </c:pt>
                <c:pt idx="6">
                  <c:v>0</c:v>
                </c:pt>
                <c:pt idx="7">
                  <c:v>3.125E-2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6.25E-2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363-40FA-89AB-C49C041FA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074384"/>
        <c:axId val="1533061872"/>
      </c:lineChart>
      <c:catAx>
        <c:axId val="153307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61872"/>
        <c:crosses val="autoZero"/>
        <c:auto val="1"/>
        <c:lblAlgn val="ctr"/>
        <c:lblOffset val="100"/>
        <c:noMultiLvlLbl val="0"/>
      </c:catAx>
      <c:valAx>
        <c:axId val="15330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7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'ELR Chart (5-Act)'!$B$2</c:f>
              <c:strCache>
                <c:ptCount val="1"/>
                <c:pt idx="0">
                  <c:v> IS_STRIKING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'ELR Chart (5-Act)'!$A$61:$A$74</c:f>
              <c:numCache>
                <c:formatCode>General</c:formatCode>
                <c:ptCount val="14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</c:numCache>
            </c:numRef>
          </c:cat>
          <c:val>
            <c:numRef>
              <c:f>'ELR Chart (5-Act)'!$B$61:$B$74</c:f>
              <c:numCache>
                <c:formatCode>0.00</c:formatCode>
                <c:ptCount val="14"/>
                <c:pt idx="0">
                  <c:v>0.34375</c:v>
                </c:pt>
                <c:pt idx="1">
                  <c:v>0.40625</c:v>
                </c:pt>
                <c:pt idx="2">
                  <c:v>0.28125</c:v>
                </c:pt>
                <c:pt idx="3">
                  <c:v>0.5625</c:v>
                </c:pt>
                <c:pt idx="4">
                  <c:v>0.4375</c:v>
                </c:pt>
                <c:pt idx="5">
                  <c:v>0.21875</c:v>
                </c:pt>
                <c:pt idx="6">
                  <c:v>0.28125</c:v>
                </c:pt>
                <c:pt idx="7">
                  <c:v>0.71875</c:v>
                </c:pt>
                <c:pt idx="8">
                  <c:v>0.625</c:v>
                </c:pt>
                <c:pt idx="9">
                  <c:v>0.5625</c:v>
                </c:pt>
                <c:pt idx="10">
                  <c:v>0.5</c:v>
                </c:pt>
                <c:pt idx="11">
                  <c:v>0.65625</c:v>
                </c:pt>
                <c:pt idx="12">
                  <c:v>0.40625</c:v>
                </c:pt>
                <c:pt idx="13">
                  <c:v>0.5625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F6-4229-9C25-35E40C419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083088"/>
        <c:axId val="1533076016"/>
      </c:lineChart>
      <c:catAx>
        <c:axId val="15330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76016"/>
        <c:crosses val="autoZero"/>
        <c:auto val="1"/>
        <c:lblAlgn val="ctr"/>
        <c:lblOffset val="100"/>
        <c:noMultiLvlLbl val="0"/>
      </c:catAx>
      <c:valAx>
        <c:axId val="15330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8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'ELR Chart (5-Act)'!$C$2</c:f>
              <c:strCache>
                <c:ptCount val="1"/>
                <c:pt idx="0">
                  <c:v> FROM_EVALUATIVE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'ELR Chart (5-Act)'!$A$61:$A$74</c:f>
              <c:numCache>
                <c:formatCode>General</c:formatCode>
                <c:ptCount val="14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</c:numCache>
            </c:numRef>
          </c:cat>
          <c:val>
            <c:numRef>
              <c:f>'ELR Chart (5-Act)'!$C$61:$C$74</c:f>
              <c:numCache>
                <c:formatCode>0.00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0.375</c:v>
                </c:pt>
                <c:pt idx="3">
                  <c:v>0.53125</c:v>
                </c:pt>
                <c:pt idx="4">
                  <c:v>0.53125</c:v>
                </c:pt>
                <c:pt idx="5">
                  <c:v>0.34375</c:v>
                </c:pt>
                <c:pt idx="6">
                  <c:v>0.4375</c:v>
                </c:pt>
                <c:pt idx="7">
                  <c:v>0.53125</c:v>
                </c:pt>
                <c:pt idx="8">
                  <c:v>0.5625</c:v>
                </c:pt>
                <c:pt idx="9">
                  <c:v>0.375</c:v>
                </c:pt>
                <c:pt idx="10">
                  <c:v>0.375</c:v>
                </c:pt>
                <c:pt idx="11">
                  <c:v>0.46875</c:v>
                </c:pt>
                <c:pt idx="12">
                  <c:v>0.3125</c:v>
                </c:pt>
                <c:pt idx="13">
                  <c:v>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95-4D4D-A351-07C4B0F0A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062416"/>
        <c:axId val="1533064592"/>
      </c:lineChart>
      <c:catAx>
        <c:axId val="153306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64592"/>
        <c:crosses val="autoZero"/>
        <c:auto val="1"/>
        <c:lblAlgn val="ctr"/>
        <c:lblOffset val="100"/>
        <c:noMultiLvlLbl val="0"/>
      </c:catAx>
      <c:valAx>
        <c:axId val="15330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6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'ELR Chart (5-Act)'!$E$2</c:f>
              <c:strCache>
                <c:ptCount val="1"/>
                <c:pt idx="0">
                  <c:v> FROM_AESTHETIC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'ELR Chart (5-Act)'!$A$61:$A$74</c:f>
              <c:numCache>
                <c:formatCode>General</c:formatCode>
                <c:ptCount val="14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</c:numCache>
            </c:numRef>
          </c:cat>
          <c:val>
            <c:numRef>
              <c:f>'ELR Chart (5-Act)'!$E$61:$E$74</c:f>
              <c:numCache>
                <c:formatCode>0.00</c:formatCode>
                <c:ptCount val="14"/>
                <c:pt idx="0">
                  <c:v>0.125</c:v>
                </c:pt>
                <c:pt idx="1">
                  <c:v>6.25E-2</c:v>
                </c:pt>
                <c:pt idx="2">
                  <c:v>0.1875</c:v>
                </c:pt>
                <c:pt idx="3">
                  <c:v>0.125</c:v>
                </c:pt>
                <c:pt idx="4">
                  <c:v>0</c:v>
                </c:pt>
                <c:pt idx="5">
                  <c:v>9.375E-2</c:v>
                </c:pt>
                <c:pt idx="6">
                  <c:v>6.25E-2</c:v>
                </c:pt>
                <c:pt idx="7">
                  <c:v>9.375E-2</c:v>
                </c:pt>
                <c:pt idx="8">
                  <c:v>3.125E-2</c:v>
                </c:pt>
                <c:pt idx="9">
                  <c:v>0.15625</c:v>
                </c:pt>
                <c:pt idx="10">
                  <c:v>0.125</c:v>
                </c:pt>
                <c:pt idx="11">
                  <c:v>0.15625</c:v>
                </c:pt>
                <c:pt idx="12">
                  <c:v>0.125</c:v>
                </c:pt>
                <c:pt idx="13">
                  <c:v>0.1875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2B-40BB-8FBA-9B296F3E7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056432"/>
        <c:axId val="1533064048"/>
      </c:lineChart>
      <c:catAx>
        <c:axId val="15330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64048"/>
        <c:crosses val="autoZero"/>
        <c:auto val="1"/>
        <c:lblAlgn val="ctr"/>
        <c:lblOffset val="100"/>
        <c:noMultiLvlLbl val="0"/>
      </c:catAx>
      <c:valAx>
        <c:axId val="15330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'ELR Chart (5-Act)'!$F$2</c:f>
              <c:strCache>
                <c:ptCount val="1"/>
                <c:pt idx="0">
                  <c:v> FROM_OTHERS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'ELR Chart (5-Act)'!$A$61:$A$74</c:f>
              <c:numCache>
                <c:formatCode>General</c:formatCode>
                <c:ptCount val="14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</c:numCache>
            </c:numRef>
          </c:cat>
          <c:val>
            <c:numRef>
              <c:f>'ELR Chart (5-Act)'!$F$61:$F$74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3.125E-2</c:v>
                </c:pt>
                <c:pt idx="4">
                  <c:v>0</c:v>
                </c:pt>
                <c:pt idx="5">
                  <c:v>3.125E-2</c:v>
                </c:pt>
                <c:pt idx="6">
                  <c:v>0</c:v>
                </c:pt>
                <c:pt idx="7">
                  <c:v>3.125E-2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6.25E-2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74-4BFD-8F2D-D653BA29F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067856"/>
        <c:axId val="1533054256"/>
      </c:lineChart>
      <c:catAx>
        <c:axId val="153306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54256"/>
        <c:crosses val="autoZero"/>
        <c:auto val="1"/>
        <c:lblAlgn val="ctr"/>
        <c:lblOffset val="100"/>
        <c:noMultiLvlLbl val="0"/>
      </c:catAx>
      <c:valAx>
        <c:axId val="15330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6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'ELR Chart (5-Act)'!$D$2</c:f>
              <c:strCache>
                <c:ptCount val="1"/>
                <c:pt idx="0">
                  <c:v> FROM_NARRATIVE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'ELR Chart (5-Act)'!$A$61:$A$74</c:f>
              <c:numCache>
                <c:formatCode>General</c:formatCode>
                <c:ptCount val="14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</c:numCache>
            </c:numRef>
          </c:cat>
          <c:val>
            <c:numRef>
              <c:f>'ELR Chart (5-Act)'!$D$61:$D$74</c:f>
              <c:numCache>
                <c:formatCode>0.00</c:formatCode>
                <c:ptCount val="14"/>
                <c:pt idx="0">
                  <c:v>0.64516129032258063</c:v>
                </c:pt>
                <c:pt idx="1">
                  <c:v>0.67741935483870963</c:v>
                </c:pt>
                <c:pt idx="2">
                  <c:v>0.54838709677419351</c:v>
                </c:pt>
                <c:pt idx="3">
                  <c:v>0.54838709677419351</c:v>
                </c:pt>
                <c:pt idx="4">
                  <c:v>0.70967741935483875</c:v>
                </c:pt>
                <c:pt idx="5">
                  <c:v>0.54838709677419351</c:v>
                </c:pt>
                <c:pt idx="6">
                  <c:v>0.54838709677419351</c:v>
                </c:pt>
                <c:pt idx="7">
                  <c:v>0.54838709677419351</c:v>
                </c:pt>
                <c:pt idx="8">
                  <c:v>0.67741935483870963</c:v>
                </c:pt>
                <c:pt idx="9">
                  <c:v>0.64516129032258063</c:v>
                </c:pt>
                <c:pt idx="10">
                  <c:v>0.67741935483870963</c:v>
                </c:pt>
                <c:pt idx="11">
                  <c:v>0.70967741935483875</c:v>
                </c:pt>
                <c:pt idx="12">
                  <c:v>0.70967741935483875</c:v>
                </c:pt>
                <c:pt idx="13">
                  <c:v>0.61290322580645162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98-4A41-8AA1-2E52EE92C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080912"/>
        <c:axId val="1533071120"/>
      </c:lineChart>
      <c:catAx>
        <c:axId val="153308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71120"/>
        <c:crosses val="autoZero"/>
        <c:auto val="1"/>
        <c:lblAlgn val="ctr"/>
        <c:lblOffset val="100"/>
        <c:noMultiLvlLbl val="0"/>
      </c:catAx>
      <c:valAx>
        <c:axId val="15330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8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TEMPLATE!$D$186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TEMPLATE!$A$187:$B$201</c:f>
              <c:multiLvlStrCache>
                <c:ptCount val="15"/>
                <c:lvl>
                  <c:pt idx="0">
                    <c:v>ALL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ALL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ALL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ALL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ALL</c:v>
                  </c:pt>
                  <c:pt idx="13">
                    <c:v>FEMALE</c:v>
                  </c:pt>
                  <c:pt idx="14">
                    <c:v>MALE</c:v>
                  </c:pt>
                </c:lvl>
                <c:lvl>
                  <c:pt idx="0">
                    <c:v>AP</c:v>
                  </c:pt>
                  <c:pt idx="3">
                    <c:v>AT</c:v>
                  </c:pt>
                  <c:pt idx="6">
                    <c:v>PL</c:v>
                  </c:pt>
                  <c:pt idx="9">
                    <c:v>SE</c:v>
                  </c:pt>
                  <c:pt idx="12">
                    <c:v>AVG</c:v>
                  </c:pt>
                </c:lvl>
              </c:multiLvlStrCache>
            </c:multiLvlStrRef>
          </c:cat>
          <c:val>
            <c:numRef>
              <c:f>TEMPLATE!$D$187:$D$201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2D-4E35-80A3-A1DE92AE4958}"/>
            </c:ext>
          </c:extLst>
        </c:ser>
        <c:ser>
          <c:idx val="2"/>
          <c:order val="2"/>
          <c:tx>
            <c:strRef>
              <c:f>TEMPLATE!$E$186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TEMPLATE!$A$187:$B$201</c:f>
              <c:multiLvlStrCache>
                <c:ptCount val="15"/>
                <c:lvl>
                  <c:pt idx="0">
                    <c:v>ALL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ALL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ALL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ALL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ALL</c:v>
                  </c:pt>
                  <c:pt idx="13">
                    <c:v>FEMALE</c:v>
                  </c:pt>
                  <c:pt idx="14">
                    <c:v>MALE</c:v>
                  </c:pt>
                </c:lvl>
                <c:lvl>
                  <c:pt idx="0">
                    <c:v>AP</c:v>
                  </c:pt>
                  <c:pt idx="3">
                    <c:v>AT</c:v>
                  </c:pt>
                  <c:pt idx="6">
                    <c:v>PL</c:v>
                  </c:pt>
                  <c:pt idx="9">
                    <c:v>SE</c:v>
                  </c:pt>
                  <c:pt idx="12">
                    <c:v>AVG</c:v>
                  </c:pt>
                </c:lvl>
              </c:multiLvlStrCache>
            </c:multiLvlStrRef>
          </c:cat>
          <c:val>
            <c:numRef>
              <c:f>TEMPLATE!$E$187:$E$201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2D-4E35-80A3-A1DE92AE4958}"/>
            </c:ext>
          </c:extLst>
        </c:ser>
        <c:ser>
          <c:idx val="3"/>
          <c:order val="3"/>
          <c:tx>
            <c:strRef>
              <c:f>TEMPLATE!$F$186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TEMPLATE!$A$187:$B$201</c:f>
              <c:multiLvlStrCache>
                <c:ptCount val="15"/>
                <c:lvl>
                  <c:pt idx="0">
                    <c:v>ALL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ALL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ALL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ALL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ALL</c:v>
                  </c:pt>
                  <c:pt idx="13">
                    <c:v>FEMALE</c:v>
                  </c:pt>
                  <c:pt idx="14">
                    <c:v>MALE</c:v>
                  </c:pt>
                </c:lvl>
                <c:lvl>
                  <c:pt idx="0">
                    <c:v>AP</c:v>
                  </c:pt>
                  <c:pt idx="3">
                    <c:v>AT</c:v>
                  </c:pt>
                  <c:pt idx="6">
                    <c:v>PL</c:v>
                  </c:pt>
                  <c:pt idx="9">
                    <c:v>SE</c:v>
                  </c:pt>
                  <c:pt idx="12">
                    <c:v>AVG</c:v>
                  </c:pt>
                </c:lvl>
              </c:multiLvlStrCache>
            </c:multiLvlStrRef>
          </c:cat>
          <c:val>
            <c:numRef>
              <c:f>TEMPLATE!$F$187:$F$201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92D-4E35-80A3-A1DE92AE4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080368"/>
        <c:axId val="136408091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TEMPLATE!$C$186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TEMPLATE!$A$187:$B$201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ALL</c:v>
                        </c:pt>
                        <c:pt idx="1">
                          <c:v>FEMALE</c:v>
                        </c:pt>
                        <c:pt idx="2">
                          <c:v>MALE</c:v>
                        </c:pt>
                        <c:pt idx="3">
                          <c:v>ALL</c:v>
                        </c:pt>
                        <c:pt idx="4">
                          <c:v>FEMALE</c:v>
                        </c:pt>
                        <c:pt idx="5">
                          <c:v>MALE</c:v>
                        </c:pt>
                        <c:pt idx="6">
                          <c:v>ALL</c:v>
                        </c:pt>
                        <c:pt idx="7">
                          <c:v>FEMALE</c:v>
                        </c:pt>
                        <c:pt idx="8">
                          <c:v>MALE</c:v>
                        </c:pt>
                        <c:pt idx="9">
                          <c:v>ALL</c:v>
                        </c:pt>
                        <c:pt idx="10">
                          <c:v>FEMALE</c:v>
                        </c:pt>
                        <c:pt idx="11">
                          <c:v>MALE</c:v>
                        </c:pt>
                        <c:pt idx="12">
                          <c:v>ALL</c:v>
                        </c:pt>
                        <c:pt idx="13">
                          <c:v>FEMALE</c:v>
                        </c:pt>
                        <c:pt idx="14">
                          <c:v>MALE</c:v>
                        </c:pt>
                      </c:lvl>
                      <c:lvl>
                        <c:pt idx="0">
                          <c:v>AP</c:v>
                        </c:pt>
                        <c:pt idx="3">
                          <c:v>AT</c:v>
                        </c:pt>
                        <c:pt idx="6">
                          <c:v>PL</c:v>
                        </c:pt>
                        <c:pt idx="9">
                          <c:v>SE</c:v>
                        </c:pt>
                        <c:pt idx="12">
                          <c:v>AVG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TEMPLATE!$C$187:$C$201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 formatCode="0.00">
                        <c:v>0</c:v>
                      </c:pt>
                      <c:pt idx="13" formatCode="0.00">
                        <c:v>0</c:v>
                      </c:pt>
                      <c:pt idx="14" formatCode="0.00">
                        <c:v>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392D-4E35-80A3-A1DE92AE4958}"/>
                  </c:ext>
                </c:extLst>
              </c15:ser>
            </c15:filteredBarSeries>
          </c:ext>
        </c:extLst>
      </c:barChart>
      <c:catAx>
        <c:axId val="13640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80912"/>
        <c:crosses val="autoZero"/>
        <c:auto val="1"/>
        <c:lblAlgn val="ctr"/>
        <c:lblOffset val="100"/>
        <c:noMultiLvlLbl val="0"/>
      </c:catAx>
      <c:valAx>
        <c:axId val="13640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8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TEMPLATE!$K$186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TEMPLATE!$H$187:$I$211</c:f>
              <c:multiLvlStrCache>
                <c:ptCount val="25"/>
                <c:lvl>
                  <c:pt idx="0">
                    <c:v>ALL</c:v>
                  </c:pt>
                  <c:pt idx="1">
                    <c:v>RP1</c:v>
                  </c:pt>
                  <c:pt idx="2">
                    <c:v>RP2</c:v>
                  </c:pt>
                  <c:pt idx="3">
                    <c:v>RP3</c:v>
                  </c:pt>
                  <c:pt idx="4">
                    <c:v>RP4</c:v>
                  </c:pt>
                  <c:pt idx="5">
                    <c:v>ALL</c:v>
                  </c:pt>
                  <c:pt idx="6">
                    <c:v>RP1</c:v>
                  </c:pt>
                  <c:pt idx="7">
                    <c:v>RP2</c:v>
                  </c:pt>
                  <c:pt idx="8">
                    <c:v>RP3</c:v>
                  </c:pt>
                  <c:pt idx="9">
                    <c:v>RP4</c:v>
                  </c:pt>
                  <c:pt idx="10">
                    <c:v>ALL</c:v>
                  </c:pt>
                  <c:pt idx="11">
                    <c:v>RP1</c:v>
                  </c:pt>
                  <c:pt idx="12">
                    <c:v>RP2</c:v>
                  </c:pt>
                  <c:pt idx="13">
                    <c:v>RP3</c:v>
                  </c:pt>
                  <c:pt idx="14">
                    <c:v>RP4</c:v>
                  </c:pt>
                  <c:pt idx="15">
                    <c:v>ALL</c:v>
                  </c:pt>
                  <c:pt idx="16">
                    <c:v>RP1</c:v>
                  </c:pt>
                  <c:pt idx="17">
                    <c:v>RP2</c:v>
                  </c:pt>
                  <c:pt idx="18">
                    <c:v>RP3</c:v>
                  </c:pt>
                  <c:pt idx="19">
                    <c:v>RP4</c:v>
                  </c:pt>
                  <c:pt idx="20">
                    <c:v>ALL</c:v>
                  </c:pt>
                  <c:pt idx="21">
                    <c:v>RP1</c:v>
                  </c:pt>
                  <c:pt idx="22">
                    <c:v>RP2</c:v>
                  </c:pt>
                  <c:pt idx="23">
                    <c:v>RP3</c:v>
                  </c:pt>
                  <c:pt idx="24">
                    <c:v>RP4</c:v>
                  </c:pt>
                </c:lvl>
                <c:lvl>
                  <c:pt idx="0">
                    <c:v>AP</c:v>
                  </c:pt>
                  <c:pt idx="5">
                    <c:v>AT</c:v>
                  </c:pt>
                  <c:pt idx="10">
                    <c:v>PL</c:v>
                  </c:pt>
                  <c:pt idx="15">
                    <c:v>SE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TEMPLATE!$K$187:$K$211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76-43E6-9722-2A4DC7ACA7A1}"/>
            </c:ext>
          </c:extLst>
        </c:ser>
        <c:ser>
          <c:idx val="2"/>
          <c:order val="2"/>
          <c:tx>
            <c:strRef>
              <c:f>TEMPLATE!$L$186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TEMPLATE!$H$187:$I$211</c:f>
              <c:multiLvlStrCache>
                <c:ptCount val="25"/>
                <c:lvl>
                  <c:pt idx="0">
                    <c:v>ALL</c:v>
                  </c:pt>
                  <c:pt idx="1">
                    <c:v>RP1</c:v>
                  </c:pt>
                  <c:pt idx="2">
                    <c:v>RP2</c:v>
                  </c:pt>
                  <c:pt idx="3">
                    <c:v>RP3</c:v>
                  </c:pt>
                  <c:pt idx="4">
                    <c:v>RP4</c:v>
                  </c:pt>
                  <c:pt idx="5">
                    <c:v>ALL</c:v>
                  </c:pt>
                  <c:pt idx="6">
                    <c:v>RP1</c:v>
                  </c:pt>
                  <c:pt idx="7">
                    <c:v>RP2</c:v>
                  </c:pt>
                  <c:pt idx="8">
                    <c:v>RP3</c:v>
                  </c:pt>
                  <c:pt idx="9">
                    <c:v>RP4</c:v>
                  </c:pt>
                  <c:pt idx="10">
                    <c:v>ALL</c:v>
                  </c:pt>
                  <c:pt idx="11">
                    <c:v>RP1</c:v>
                  </c:pt>
                  <c:pt idx="12">
                    <c:v>RP2</c:v>
                  </c:pt>
                  <c:pt idx="13">
                    <c:v>RP3</c:v>
                  </c:pt>
                  <c:pt idx="14">
                    <c:v>RP4</c:v>
                  </c:pt>
                  <c:pt idx="15">
                    <c:v>ALL</c:v>
                  </c:pt>
                  <c:pt idx="16">
                    <c:v>RP1</c:v>
                  </c:pt>
                  <c:pt idx="17">
                    <c:v>RP2</c:v>
                  </c:pt>
                  <c:pt idx="18">
                    <c:v>RP3</c:v>
                  </c:pt>
                  <c:pt idx="19">
                    <c:v>RP4</c:v>
                  </c:pt>
                  <c:pt idx="20">
                    <c:v>ALL</c:v>
                  </c:pt>
                  <c:pt idx="21">
                    <c:v>RP1</c:v>
                  </c:pt>
                  <c:pt idx="22">
                    <c:v>RP2</c:v>
                  </c:pt>
                  <c:pt idx="23">
                    <c:v>RP3</c:v>
                  </c:pt>
                  <c:pt idx="24">
                    <c:v>RP4</c:v>
                  </c:pt>
                </c:lvl>
                <c:lvl>
                  <c:pt idx="0">
                    <c:v>AP</c:v>
                  </c:pt>
                  <c:pt idx="5">
                    <c:v>AT</c:v>
                  </c:pt>
                  <c:pt idx="10">
                    <c:v>PL</c:v>
                  </c:pt>
                  <c:pt idx="15">
                    <c:v>SE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TEMPLATE!$L$187:$L$211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76-43E6-9722-2A4DC7ACA7A1}"/>
            </c:ext>
          </c:extLst>
        </c:ser>
        <c:ser>
          <c:idx val="3"/>
          <c:order val="3"/>
          <c:tx>
            <c:strRef>
              <c:f>TEMPLATE!$M$186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TEMPLATE!$H$187:$I$211</c:f>
              <c:multiLvlStrCache>
                <c:ptCount val="25"/>
                <c:lvl>
                  <c:pt idx="0">
                    <c:v>ALL</c:v>
                  </c:pt>
                  <c:pt idx="1">
                    <c:v>RP1</c:v>
                  </c:pt>
                  <c:pt idx="2">
                    <c:v>RP2</c:v>
                  </c:pt>
                  <c:pt idx="3">
                    <c:v>RP3</c:v>
                  </c:pt>
                  <c:pt idx="4">
                    <c:v>RP4</c:v>
                  </c:pt>
                  <c:pt idx="5">
                    <c:v>ALL</c:v>
                  </c:pt>
                  <c:pt idx="6">
                    <c:v>RP1</c:v>
                  </c:pt>
                  <c:pt idx="7">
                    <c:v>RP2</c:v>
                  </c:pt>
                  <c:pt idx="8">
                    <c:v>RP3</c:v>
                  </c:pt>
                  <c:pt idx="9">
                    <c:v>RP4</c:v>
                  </c:pt>
                  <c:pt idx="10">
                    <c:v>ALL</c:v>
                  </c:pt>
                  <c:pt idx="11">
                    <c:v>RP1</c:v>
                  </c:pt>
                  <c:pt idx="12">
                    <c:v>RP2</c:v>
                  </c:pt>
                  <c:pt idx="13">
                    <c:v>RP3</c:v>
                  </c:pt>
                  <c:pt idx="14">
                    <c:v>RP4</c:v>
                  </c:pt>
                  <c:pt idx="15">
                    <c:v>ALL</c:v>
                  </c:pt>
                  <c:pt idx="16">
                    <c:v>RP1</c:v>
                  </c:pt>
                  <c:pt idx="17">
                    <c:v>RP2</c:v>
                  </c:pt>
                  <c:pt idx="18">
                    <c:v>RP3</c:v>
                  </c:pt>
                  <c:pt idx="19">
                    <c:v>RP4</c:v>
                  </c:pt>
                  <c:pt idx="20">
                    <c:v>ALL</c:v>
                  </c:pt>
                  <c:pt idx="21">
                    <c:v>RP1</c:v>
                  </c:pt>
                  <c:pt idx="22">
                    <c:v>RP2</c:v>
                  </c:pt>
                  <c:pt idx="23">
                    <c:v>RP3</c:v>
                  </c:pt>
                  <c:pt idx="24">
                    <c:v>RP4</c:v>
                  </c:pt>
                </c:lvl>
                <c:lvl>
                  <c:pt idx="0">
                    <c:v>AP</c:v>
                  </c:pt>
                  <c:pt idx="5">
                    <c:v>AT</c:v>
                  </c:pt>
                  <c:pt idx="10">
                    <c:v>PL</c:v>
                  </c:pt>
                  <c:pt idx="15">
                    <c:v>SE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TEMPLATE!$M$187:$M$211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176-43E6-9722-2A4DC7ACA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076560"/>
        <c:axId val="136407819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TEMPLATE!$J$186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TEMPLATE!$H$187:$I$211</c15:sqref>
                        </c15:formulaRef>
                      </c:ext>
                    </c:extLst>
                    <c:multiLvlStrCache>
                      <c:ptCount val="25"/>
                      <c:lvl>
                        <c:pt idx="0">
                          <c:v>ALL</c:v>
                        </c:pt>
                        <c:pt idx="1">
                          <c:v>RP1</c:v>
                        </c:pt>
                        <c:pt idx="2">
                          <c:v>RP2</c:v>
                        </c:pt>
                        <c:pt idx="3">
                          <c:v>RP3</c:v>
                        </c:pt>
                        <c:pt idx="4">
                          <c:v>RP4</c:v>
                        </c:pt>
                        <c:pt idx="5">
                          <c:v>ALL</c:v>
                        </c:pt>
                        <c:pt idx="6">
                          <c:v>RP1</c:v>
                        </c:pt>
                        <c:pt idx="7">
                          <c:v>RP2</c:v>
                        </c:pt>
                        <c:pt idx="8">
                          <c:v>RP3</c:v>
                        </c:pt>
                        <c:pt idx="9">
                          <c:v>RP4</c:v>
                        </c:pt>
                        <c:pt idx="10">
                          <c:v>ALL</c:v>
                        </c:pt>
                        <c:pt idx="11">
                          <c:v>RP1</c:v>
                        </c:pt>
                        <c:pt idx="12">
                          <c:v>RP2</c:v>
                        </c:pt>
                        <c:pt idx="13">
                          <c:v>RP3</c:v>
                        </c:pt>
                        <c:pt idx="14">
                          <c:v>RP4</c:v>
                        </c:pt>
                        <c:pt idx="15">
                          <c:v>ALL</c:v>
                        </c:pt>
                        <c:pt idx="16">
                          <c:v>RP1</c:v>
                        </c:pt>
                        <c:pt idx="17">
                          <c:v>RP2</c:v>
                        </c:pt>
                        <c:pt idx="18">
                          <c:v>RP3</c:v>
                        </c:pt>
                        <c:pt idx="19">
                          <c:v>RP4</c:v>
                        </c:pt>
                        <c:pt idx="20">
                          <c:v>ALL</c:v>
                        </c:pt>
                        <c:pt idx="21">
                          <c:v>RP1</c:v>
                        </c:pt>
                        <c:pt idx="22">
                          <c:v>RP2</c:v>
                        </c:pt>
                        <c:pt idx="23">
                          <c:v>RP3</c:v>
                        </c:pt>
                        <c:pt idx="24">
                          <c:v>RP4</c:v>
                        </c:pt>
                      </c:lvl>
                      <c:lvl>
                        <c:pt idx="0">
                          <c:v>AP</c:v>
                        </c:pt>
                        <c:pt idx="5">
                          <c:v>AT</c:v>
                        </c:pt>
                        <c:pt idx="10">
                          <c:v>PL</c:v>
                        </c:pt>
                        <c:pt idx="15">
                          <c:v>SE</c:v>
                        </c:pt>
                        <c:pt idx="20">
                          <c:v>AVG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TEMPLATE!$J$187:$J$211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 formatCode="0.00">
                        <c:v>0</c:v>
                      </c:pt>
                      <c:pt idx="21" formatCode="0.00">
                        <c:v>0</c:v>
                      </c:pt>
                      <c:pt idx="22" formatCode="0.00">
                        <c:v>0</c:v>
                      </c:pt>
                      <c:pt idx="23" formatCode="0.00">
                        <c:v>0</c:v>
                      </c:pt>
                      <c:pt idx="24" formatCode="0.00">
                        <c:v>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3176-43E6-9722-2A4DC7ACA7A1}"/>
                  </c:ext>
                </c:extLst>
              </c15:ser>
            </c15:filteredBarSeries>
          </c:ext>
        </c:extLst>
      </c:barChart>
      <c:catAx>
        <c:axId val="136407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78192"/>
        <c:crosses val="autoZero"/>
        <c:auto val="1"/>
        <c:lblAlgn val="ctr"/>
        <c:lblOffset val="100"/>
        <c:noMultiLvlLbl val="0"/>
      </c:catAx>
      <c:valAx>
        <c:axId val="13640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7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TEMPLATE!$R$186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TEMPLATE!$O$187:$P$211</c:f>
              <c:multiLvlStrCache>
                <c:ptCount val="25"/>
                <c:lvl>
                  <c:pt idx="0">
                    <c:v>ALL</c:v>
                  </c:pt>
                  <c:pt idx="1">
                    <c:v>RF1</c:v>
                  </c:pt>
                  <c:pt idx="2">
                    <c:v>RF2</c:v>
                  </c:pt>
                  <c:pt idx="3">
                    <c:v>RF3</c:v>
                  </c:pt>
                  <c:pt idx="4">
                    <c:v>RF4</c:v>
                  </c:pt>
                  <c:pt idx="5">
                    <c:v>ALL</c:v>
                  </c:pt>
                  <c:pt idx="6">
                    <c:v>RF1</c:v>
                  </c:pt>
                  <c:pt idx="7">
                    <c:v>RF2</c:v>
                  </c:pt>
                  <c:pt idx="8">
                    <c:v>RF3</c:v>
                  </c:pt>
                  <c:pt idx="9">
                    <c:v>RF4</c:v>
                  </c:pt>
                  <c:pt idx="10">
                    <c:v>ALL</c:v>
                  </c:pt>
                  <c:pt idx="11">
                    <c:v>RF1</c:v>
                  </c:pt>
                  <c:pt idx="12">
                    <c:v>RF2</c:v>
                  </c:pt>
                  <c:pt idx="13">
                    <c:v>RF3</c:v>
                  </c:pt>
                  <c:pt idx="14">
                    <c:v>RF4</c:v>
                  </c:pt>
                  <c:pt idx="15">
                    <c:v>ALL</c:v>
                  </c:pt>
                  <c:pt idx="16">
                    <c:v>RF1</c:v>
                  </c:pt>
                  <c:pt idx="17">
                    <c:v>RF2</c:v>
                  </c:pt>
                  <c:pt idx="18">
                    <c:v>RF3</c:v>
                  </c:pt>
                  <c:pt idx="19">
                    <c:v>RF4</c:v>
                  </c:pt>
                  <c:pt idx="20">
                    <c:v>ALL</c:v>
                  </c:pt>
                  <c:pt idx="21">
                    <c:v>RF1</c:v>
                  </c:pt>
                  <c:pt idx="22">
                    <c:v>RF2</c:v>
                  </c:pt>
                  <c:pt idx="23">
                    <c:v>RF3</c:v>
                  </c:pt>
                  <c:pt idx="24">
                    <c:v>RF4</c:v>
                  </c:pt>
                </c:lvl>
                <c:lvl>
                  <c:pt idx="0">
                    <c:v>AP</c:v>
                  </c:pt>
                  <c:pt idx="5">
                    <c:v>AT</c:v>
                  </c:pt>
                  <c:pt idx="10">
                    <c:v>PL</c:v>
                  </c:pt>
                  <c:pt idx="15">
                    <c:v>SE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TEMPLATE!$R$187:$R$211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84-405E-9A78-59578D9C2DAD}"/>
            </c:ext>
          </c:extLst>
        </c:ser>
        <c:ser>
          <c:idx val="2"/>
          <c:order val="2"/>
          <c:tx>
            <c:strRef>
              <c:f>TEMPLATE!$S$186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TEMPLATE!$O$187:$P$211</c:f>
              <c:multiLvlStrCache>
                <c:ptCount val="25"/>
                <c:lvl>
                  <c:pt idx="0">
                    <c:v>ALL</c:v>
                  </c:pt>
                  <c:pt idx="1">
                    <c:v>RF1</c:v>
                  </c:pt>
                  <c:pt idx="2">
                    <c:v>RF2</c:v>
                  </c:pt>
                  <c:pt idx="3">
                    <c:v>RF3</c:v>
                  </c:pt>
                  <c:pt idx="4">
                    <c:v>RF4</c:v>
                  </c:pt>
                  <c:pt idx="5">
                    <c:v>ALL</c:v>
                  </c:pt>
                  <c:pt idx="6">
                    <c:v>RF1</c:v>
                  </c:pt>
                  <c:pt idx="7">
                    <c:v>RF2</c:v>
                  </c:pt>
                  <c:pt idx="8">
                    <c:v>RF3</c:v>
                  </c:pt>
                  <c:pt idx="9">
                    <c:v>RF4</c:v>
                  </c:pt>
                  <c:pt idx="10">
                    <c:v>ALL</c:v>
                  </c:pt>
                  <c:pt idx="11">
                    <c:v>RF1</c:v>
                  </c:pt>
                  <c:pt idx="12">
                    <c:v>RF2</c:v>
                  </c:pt>
                  <c:pt idx="13">
                    <c:v>RF3</c:v>
                  </c:pt>
                  <c:pt idx="14">
                    <c:v>RF4</c:v>
                  </c:pt>
                  <c:pt idx="15">
                    <c:v>ALL</c:v>
                  </c:pt>
                  <c:pt idx="16">
                    <c:v>RF1</c:v>
                  </c:pt>
                  <c:pt idx="17">
                    <c:v>RF2</c:v>
                  </c:pt>
                  <c:pt idx="18">
                    <c:v>RF3</c:v>
                  </c:pt>
                  <c:pt idx="19">
                    <c:v>RF4</c:v>
                  </c:pt>
                  <c:pt idx="20">
                    <c:v>ALL</c:v>
                  </c:pt>
                  <c:pt idx="21">
                    <c:v>RF1</c:v>
                  </c:pt>
                  <c:pt idx="22">
                    <c:v>RF2</c:v>
                  </c:pt>
                  <c:pt idx="23">
                    <c:v>RF3</c:v>
                  </c:pt>
                  <c:pt idx="24">
                    <c:v>RF4</c:v>
                  </c:pt>
                </c:lvl>
                <c:lvl>
                  <c:pt idx="0">
                    <c:v>AP</c:v>
                  </c:pt>
                  <c:pt idx="5">
                    <c:v>AT</c:v>
                  </c:pt>
                  <c:pt idx="10">
                    <c:v>PL</c:v>
                  </c:pt>
                  <c:pt idx="15">
                    <c:v>SE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TEMPLATE!$S$187:$S$211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84-405E-9A78-59578D9C2DAD}"/>
            </c:ext>
          </c:extLst>
        </c:ser>
        <c:ser>
          <c:idx val="3"/>
          <c:order val="3"/>
          <c:tx>
            <c:strRef>
              <c:f>TEMPLATE!$T$186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TEMPLATE!$O$187:$P$211</c:f>
              <c:multiLvlStrCache>
                <c:ptCount val="25"/>
                <c:lvl>
                  <c:pt idx="0">
                    <c:v>ALL</c:v>
                  </c:pt>
                  <c:pt idx="1">
                    <c:v>RF1</c:v>
                  </c:pt>
                  <c:pt idx="2">
                    <c:v>RF2</c:v>
                  </c:pt>
                  <c:pt idx="3">
                    <c:v>RF3</c:v>
                  </c:pt>
                  <c:pt idx="4">
                    <c:v>RF4</c:v>
                  </c:pt>
                  <c:pt idx="5">
                    <c:v>ALL</c:v>
                  </c:pt>
                  <c:pt idx="6">
                    <c:v>RF1</c:v>
                  </c:pt>
                  <c:pt idx="7">
                    <c:v>RF2</c:v>
                  </c:pt>
                  <c:pt idx="8">
                    <c:v>RF3</c:v>
                  </c:pt>
                  <c:pt idx="9">
                    <c:v>RF4</c:v>
                  </c:pt>
                  <c:pt idx="10">
                    <c:v>ALL</c:v>
                  </c:pt>
                  <c:pt idx="11">
                    <c:v>RF1</c:v>
                  </c:pt>
                  <c:pt idx="12">
                    <c:v>RF2</c:v>
                  </c:pt>
                  <c:pt idx="13">
                    <c:v>RF3</c:v>
                  </c:pt>
                  <c:pt idx="14">
                    <c:v>RF4</c:v>
                  </c:pt>
                  <c:pt idx="15">
                    <c:v>ALL</c:v>
                  </c:pt>
                  <c:pt idx="16">
                    <c:v>RF1</c:v>
                  </c:pt>
                  <c:pt idx="17">
                    <c:v>RF2</c:v>
                  </c:pt>
                  <c:pt idx="18">
                    <c:v>RF3</c:v>
                  </c:pt>
                  <c:pt idx="19">
                    <c:v>RF4</c:v>
                  </c:pt>
                  <c:pt idx="20">
                    <c:v>ALL</c:v>
                  </c:pt>
                  <c:pt idx="21">
                    <c:v>RF1</c:v>
                  </c:pt>
                  <c:pt idx="22">
                    <c:v>RF2</c:v>
                  </c:pt>
                  <c:pt idx="23">
                    <c:v>RF3</c:v>
                  </c:pt>
                  <c:pt idx="24">
                    <c:v>RF4</c:v>
                  </c:pt>
                </c:lvl>
                <c:lvl>
                  <c:pt idx="0">
                    <c:v>AP</c:v>
                  </c:pt>
                  <c:pt idx="5">
                    <c:v>AT</c:v>
                  </c:pt>
                  <c:pt idx="10">
                    <c:v>PL</c:v>
                  </c:pt>
                  <c:pt idx="15">
                    <c:v>SE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TEMPLATE!$T$187:$T$211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184-405E-9A78-59578D9C2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4082544"/>
        <c:axId val="136407601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TEMPLATE!$Q$186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TEMPLATE!$O$187:$P$211</c15:sqref>
                        </c15:formulaRef>
                      </c:ext>
                    </c:extLst>
                    <c:multiLvlStrCache>
                      <c:ptCount val="25"/>
                      <c:lvl>
                        <c:pt idx="0">
                          <c:v>ALL</c:v>
                        </c:pt>
                        <c:pt idx="1">
                          <c:v>RF1</c:v>
                        </c:pt>
                        <c:pt idx="2">
                          <c:v>RF2</c:v>
                        </c:pt>
                        <c:pt idx="3">
                          <c:v>RF3</c:v>
                        </c:pt>
                        <c:pt idx="4">
                          <c:v>RF4</c:v>
                        </c:pt>
                        <c:pt idx="5">
                          <c:v>ALL</c:v>
                        </c:pt>
                        <c:pt idx="6">
                          <c:v>RF1</c:v>
                        </c:pt>
                        <c:pt idx="7">
                          <c:v>RF2</c:v>
                        </c:pt>
                        <c:pt idx="8">
                          <c:v>RF3</c:v>
                        </c:pt>
                        <c:pt idx="9">
                          <c:v>RF4</c:v>
                        </c:pt>
                        <c:pt idx="10">
                          <c:v>ALL</c:v>
                        </c:pt>
                        <c:pt idx="11">
                          <c:v>RF1</c:v>
                        </c:pt>
                        <c:pt idx="12">
                          <c:v>RF2</c:v>
                        </c:pt>
                        <c:pt idx="13">
                          <c:v>RF3</c:v>
                        </c:pt>
                        <c:pt idx="14">
                          <c:v>RF4</c:v>
                        </c:pt>
                        <c:pt idx="15">
                          <c:v>ALL</c:v>
                        </c:pt>
                        <c:pt idx="16">
                          <c:v>RF1</c:v>
                        </c:pt>
                        <c:pt idx="17">
                          <c:v>RF2</c:v>
                        </c:pt>
                        <c:pt idx="18">
                          <c:v>RF3</c:v>
                        </c:pt>
                        <c:pt idx="19">
                          <c:v>RF4</c:v>
                        </c:pt>
                        <c:pt idx="20">
                          <c:v>ALL</c:v>
                        </c:pt>
                        <c:pt idx="21">
                          <c:v>RF1</c:v>
                        </c:pt>
                        <c:pt idx="22">
                          <c:v>RF2</c:v>
                        </c:pt>
                        <c:pt idx="23">
                          <c:v>RF3</c:v>
                        </c:pt>
                        <c:pt idx="24">
                          <c:v>RF4</c:v>
                        </c:pt>
                      </c:lvl>
                      <c:lvl>
                        <c:pt idx="0">
                          <c:v>AP</c:v>
                        </c:pt>
                        <c:pt idx="5">
                          <c:v>AT</c:v>
                        </c:pt>
                        <c:pt idx="10">
                          <c:v>PL</c:v>
                        </c:pt>
                        <c:pt idx="15">
                          <c:v>SE</c:v>
                        </c:pt>
                        <c:pt idx="20">
                          <c:v>AVG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TEMPLATE!$Q$187:$Q$211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 formatCode="0.00">
                        <c:v>0</c:v>
                      </c:pt>
                      <c:pt idx="21" formatCode="0.00">
                        <c:v>0</c:v>
                      </c:pt>
                      <c:pt idx="22" formatCode="0.00">
                        <c:v>0</c:v>
                      </c:pt>
                      <c:pt idx="23" formatCode="0.00">
                        <c:v>0</c:v>
                      </c:pt>
                      <c:pt idx="24" formatCode="0.00">
                        <c:v>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5184-405E-9A78-59578D9C2DAD}"/>
                  </c:ext>
                </c:extLst>
              </c15:ser>
            </c15:filteredBarSeries>
          </c:ext>
        </c:extLst>
      </c:barChart>
      <c:catAx>
        <c:axId val="136408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76016"/>
        <c:crosses val="autoZero"/>
        <c:auto val="1"/>
        <c:lblAlgn val="ctr"/>
        <c:lblOffset val="100"/>
        <c:noMultiLvlLbl val="0"/>
      </c:catAx>
      <c:valAx>
        <c:axId val="13640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Both sexes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CHARTS!$A$4:$A$8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CHARTS!$B$4:$B$8</c:f>
              <c:numCache>
                <c:formatCode>0.00</c:formatCode>
                <c:ptCount val="5"/>
                <c:pt idx="0">
                  <c:v>53.519998131539616</c:v>
                </c:pt>
                <c:pt idx="1">
                  <c:v>50.769950758321848</c:v>
                </c:pt>
                <c:pt idx="2">
                  <c:v>48.5299484854729</c:v>
                </c:pt>
                <c:pt idx="3">
                  <c:v>45.319634159779618</c:v>
                </c:pt>
                <c:pt idx="4">
                  <c:v>49.534882883778494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0A-4C78-8B11-DEF6D2AD612B}"/>
            </c:ext>
          </c:extLst>
        </c:ser>
        <c:ser>
          <c:idx val="1"/>
          <c:order val="1"/>
          <c:tx>
            <c:strRef>
              <c:f>CHARTS!$C$3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CHARTS!$A$4:$A$8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CHARTS!$C$4:$C$8</c:f>
              <c:numCache>
                <c:formatCode>0.00</c:formatCode>
                <c:ptCount val="5"/>
                <c:pt idx="0">
                  <c:v>44.224999434708877</c:v>
                </c:pt>
                <c:pt idx="1">
                  <c:v>49.59499949591693</c:v>
                </c:pt>
                <c:pt idx="2">
                  <c:v>30.913472087770248</c:v>
                </c:pt>
                <c:pt idx="3">
                  <c:v>52.378930715715242</c:v>
                </c:pt>
                <c:pt idx="4">
                  <c:v>44.278100433527825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0A-4C78-8B11-DEF6D2AD612B}"/>
            </c:ext>
          </c:extLst>
        </c:ser>
        <c:ser>
          <c:idx val="2"/>
          <c:order val="2"/>
          <c:tx>
            <c:strRef>
              <c:f>CHARTS!$D$3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CHARTS!$A$4:$A$8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CHARTS!$D$4:$D$8</c:f>
              <c:numCache>
                <c:formatCode>0.00</c:formatCode>
                <c:ptCount val="5"/>
                <c:pt idx="0">
                  <c:v>48.883669837373425</c:v>
                </c:pt>
                <c:pt idx="1">
                  <c:v>58.679829584185406</c:v>
                </c:pt>
                <c:pt idx="2">
                  <c:v>36.460030108115511</c:v>
                </c:pt>
                <c:pt idx="3">
                  <c:v>40.441682656826565</c:v>
                </c:pt>
                <c:pt idx="4">
                  <c:v>46.116303046625227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50A-4C78-8B11-DEF6D2AD61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4078736"/>
        <c:axId val="1515097488"/>
      </c:barChart>
      <c:catAx>
        <c:axId val="136407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97488"/>
        <c:crosses val="autoZero"/>
        <c:auto val="1"/>
        <c:lblAlgn val="ctr"/>
        <c:lblOffset val="100"/>
        <c:noMultiLvlLbl val="0"/>
      </c:catAx>
      <c:valAx>
        <c:axId val="15150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07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77880627516977E-2"/>
          <c:y val="4.8856318010215415E-2"/>
          <c:w val="0.90563026186612172"/>
          <c:h val="0.62547802777151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CHARTS!$E$3</c:f>
              <c:strCache>
                <c:ptCount val="1"/>
                <c:pt idx="0">
                  <c:v>Reading Preference merged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CHARTS!$A$4:$A$8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CHARTS!$E$4:$E$8</c:f>
              <c:numCache>
                <c:formatCode>0.00</c:formatCode>
                <c:ptCount val="5"/>
                <c:pt idx="0">
                  <c:v>32.445166051660522</c:v>
                </c:pt>
                <c:pt idx="1">
                  <c:v>50.03</c:v>
                </c:pt>
                <c:pt idx="2">
                  <c:v>50.644975812024882</c:v>
                </c:pt>
                <c:pt idx="3">
                  <c:v>43.355613458706245</c:v>
                </c:pt>
                <c:pt idx="4">
                  <c:v>44.118938830597912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A3-4950-BC3C-5DFC2417AFE5}"/>
            </c:ext>
          </c:extLst>
        </c:ser>
        <c:ser>
          <c:idx val="1"/>
          <c:order val="1"/>
          <c:tx>
            <c:strRef>
              <c:f>CHARTS!$F$3</c:f>
              <c:strCache>
                <c:ptCount val="1"/>
                <c:pt idx="0">
                  <c:v>Reading Preference: traditional books only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CHARTS!$A$4:$A$8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CHARTS!$F$4:$F$8</c:f>
              <c:numCache>
                <c:formatCode>0.00</c:formatCode>
                <c:ptCount val="5"/>
                <c:pt idx="0">
                  <c:v>39.841874059207228</c:v>
                </c:pt>
                <c:pt idx="1">
                  <c:v>59.521182199832083</c:v>
                </c:pt>
                <c:pt idx="2">
                  <c:v>35.625214586255261</c:v>
                </c:pt>
                <c:pt idx="3">
                  <c:v>42.778550250963001</c:v>
                </c:pt>
                <c:pt idx="4">
                  <c:v>44.441705274064397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EA3-4950-BC3C-5DFC2417AFE5}"/>
            </c:ext>
          </c:extLst>
        </c:ser>
        <c:ser>
          <c:idx val="2"/>
          <c:order val="2"/>
          <c:tx>
            <c:strRef>
              <c:f>CHARTS!$G$3</c:f>
              <c:strCache>
                <c:ptCount val="1"/>
                <c:pt idx="0">
                  <c:v>Reading Preference: traditional books over eBooks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CHARTS!$A$4:$A$8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CHARTS!$G$4:$G$8</c:f>
              <c:numCache>
                <c:formatCode>0.00</c:formatCode>
                <c:ptCount val="5"/>
                <c:pt idx="0">
                  <c:v>55.419922807647431</c:v>
                </c:pt>
                <c:pt idx="1">
                  <c:v>43.337916808341838</c:v>
                </c:pt>
                <c:pt idx="2">
                  <c:v>42.289935364727611</c:v>
                </c:pt>
                <c:pt idx="3">
                  <c:v>59.37554339590875</c:v>
                </c:pt>
                <c:pt idx="4">
                  <c:v>50.105829594156411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EA3-4950-BC3C-5DFC2417AFE5}"/>
            </c:ext>
          </c:extLst>
        </c:ser>
        <c:ser>
          <c:idx val="3"/>
          <c:order val="3"/>
          <c:tx>
            <c:strRef>
              <c:f>CHARTS!$H$3</c:f>
              <c:strCache>
                <c:ptCount val="1"/>
                <c:pt idx="0">
                  <c:v>Reading Preference: both traditional books &amp; eBooks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CHARTS!$A$4:$A$8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CHARTS!$H$4:$H$8</c:f>
              <c:numCache>
                <c:formatCode>0.00</c:formatCode>
                <c:ptCount val="5"/>
                <c:pt idx="0">
                  <c:v>31.42230146756275</c:v>
                </c:pt>
                <c:pt idx="1">
                  <c:v>35.572861555742769</c:v>
                </c:pt>
                <c:pt idx="2">
                  <c:v>50.924999509081985</c:v>
                </c:pt>
                <c:pt idx="3">
                  <c:v>46.627661627532966</c:v>
                </c:pt>
                <c:pt idx="4">
                  <c:v>41.13695603998012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EA3-4950-BC3C-5DFC2417AFE5}"/>
            </c:ext>
          </c:extLst>
        </c:ser>
        <c:ser>
          <c:idx val="4"/>
          <c:order val="4"/>
          <c:tx>
            <c:strRef>
              <c:f>CHARTS!$I$3</c:f>
              <c:strCache>
                <c:ptCount val="1"/>
                <c:pt idx="0">
                  <c:v>Reading Preference: eBooks over traditional books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CHARTS!$A$4:$A$8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CHARTS!$I$4:$I$8</c:f>
              <c:numCache>
                <c:formatCode>0.00</c:formatCode>
                <c:ptCount val="5"/>
                <c:pt idx="0">
                  <c:v>23.931233835387189</c:v>
                </c:pt>
                <c:pt idx="1">
                  <c:v>53.997607875609532</c:v>
                </c:pt>
                <c:pt idx="2">
                  <c:v>69.289994227161216</c:v>
                </c:pt>
                <c:pt idx="3">
                  <c:v>48.227660412563488</c:v>
                </c:pt>
                <c:pt idx="4">
                  <c:v>48.861624087680362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EA3-4950-BC3C-5DFC2417AF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5096944"/>
        <c:axId val="1515099120"/>
      </c:barChart>
      <c:catAx>
        <c:axId val="151509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99120"/>
        <c:crosses val="autoZero"/>
        <c:auto val="1"/>
        <c:lblAlgn val="ctr"/>
        <c:lblOffset val="100"/>
        <c:noMultiLvlLbl val="0"/>
      </c:catAx>
      <c:valAx>
        <c:axId val="15150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9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77880627516977E-2"/>
          <c:y val="4.8856318010215415E-2"/>
          <c:w val="0.90563026186612172"/>
          <c:h val="0.62547802777151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CHARTS!$J$3</c:f>
              <c:strCache>
                <c:ptCount val="1"/>
                <c:pt idx="0">
                  <c:v>Reading Frequency merged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CHARTS!$A$4:$A$8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CHARTS!$J$4:$J$8</c:f>
              <c:numCache>
                <c:formatCode>0.00</c:formatCode>
                <c:ptCount val="5"/>
                <c:pt idx="0">
                  <c:v>25.042553191489361</c:v>
                </c:pt>
                <c:pt idx="1">
                  <c:v>62.314508545294075</c:v>
                </c:pt>
                <c:pt idx="2">
                  <c:v>49.369708324893658</c:v>
                </c:pt>
                <c:pt idx="3">
                  <c:v>49.794633999397526</c:v>
                </c:pt>
                <c:pt idx="4">
                  <c:v>46.630351015268651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8B-4864-8FCC-B185A1D8951C}"/>
            </c:ext>
          </c:extLst>
        </c:ser>
        <c:ser>
          <c:idx val="1"/>
          <c:order val="1"/>
          <c:tx>
            <c:strRef>
              <c:f>CHARTS!$K$3</c:f>
              <c:strCache>
                <c:ptCount val="1"/>
                <c:pt idx="0">
                  <c:v>Reading Frequency: 1-2 books a week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CHARTS!$A$4:$A$8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CHARTS!$K$4:$K$8</c:f>
              <c:numCache>
                <c:formatCode>0.00</c:formatCode>
                <c:ptCount val="5"/>
                <c:pt idx="0">
                  <c:v>69.588239689610575</c:v>
                </c:pt>
                <c:pt idx="1">
                  <c:v>63.029754898072504</c:v>
                </c:pt>
                <c:pt idx="2">
                  <c:v>41.948217810286785</c:v>
                </c:pt>
                <c:pt idx="3">
                  <c:v>24.196482716798055</c:v>
                </c:pt>
                <c:pt idx="4">
                  <c:v>49.690673778691981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8B-4864-8FCC-B185A1D8951C}"/>
            </c:ext>
          </c:extLst>
        </c:ser>
        <c:ser>
          <c:idx val="2"/>
          <c:order val="2"/>
          <c:tx>
            <c:strRef>
              <c:f>CHARTS!$L$3</c:f>
              <c:strCache>
                <c:ptCount val="1"/>
                <c:pt idx="0">
                  <c:v>Reading Frequency: 1-2 books a month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CHARTS!$A$4:$A$8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CHARTS!$L$4:$L$8</c:f>
              <c:numCache>
                <c:formatCode>0.00</c:formatCode>
                <c:ptCount val="5"/>
                <c:pt idx="0">
                  <c:v>41.204139228598308</c:v>
                </c:pt>
                <c:pt idx="1">
                  <c:v>55.979649874955335</c:v>
                </c:pt>
                <c:pt idx="2">
                  <c:v>43.572960162509872</c:v>
                </c:pt>
                <c:pt idx="3">
                  <c:v>45.515551405975394</c:v>
                </c:pt>
                <c:pt idx="4">
                  <c:v>46.568075168009727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38B-4864-8FCC-B185A1D8951C}"/>
            </c:ext>
          </c:extLst>
        </c:ser>
        <c:ser>
          <c:idx val="3"/>
          <c:order val="3"/>
          <c:tx>
            <c:strRef>
              <c:f>CHARTS!$M$3</c:f>
              <c:strCache>
                <c:ptCount val="1"/>
                <c:pt idx="0">
                  <c:v>Reading Frequency: 1-2 books in 6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CHARTS!$A$4:$A$8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CHARTS!$M$4:$M$8</c:f>
              <c:numCache>
                <c:formatCode>0.00</c:formatCode>
                <c:ptCount val="5"/>
                <c:pt idx="0">
                  <c:v>47.753396029258099</c:v>
                </c:pt>
                <c:pt idx="1">
                  <c:v>47.769769142379616</c:v>
                </c:pt>
                <c:pt idx="2">
                  <c:v>50.592070362684055</c:v>
                </c:pt>
                <c:pt idx="3">
                  <c:v>49.879711307137136</c:v>
                </c:pt>
                <c:pt idx="4">
                  <c:v>48.998736710364724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38B-4864-8FCC-B185A1D8951C}"/>
            </c:ext>
          </c:extLst>
        </c:ser>
        <c:ser>
          <c:idx val="4"/>
          <c:order val="4"/>
          <c:tx>
            <c:strRef>
              <c:f>CHARTS!$N$3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CHARTS!$A$4:$A$8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CHARTS!$N$4:$N$8</c:f>
              <c:numCache>
                <c:formatCode>0.00</c:formatCode>
                <c:ptCount val="5"/>
                <c:pt idx="0">
                  <c:v>47.834999477370133</c:v>
                </c:pt>
                <c:pt idx="1">
                  <c:v>26.953981008035061</c:v>
                </c:pt>
                <c:pt idx="2">
                  <c:v>40.680349022981439</c:v>
                </c:pt>
                <c:pt idx="3">
                  <c:v>19.015225137674118</c:v>
                </c:pt>
                <c:pt idx="4">
                  <c:v>33.621138661515189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38B-4864-8FCC-B185A1D895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5100208"/>
        <c:axId val="1515098576"/>
      </c:barChart>
      <c:catAx>
        <c:axId val="15151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98576"/>
        <c:crosses val="autoZero"/>
        <c:auto val="1"/>
        <c:lblAlgn val="ctr"/>
        <c:lblOffset val="100"/>
        <c:noMultiLvlLbl val="0"/>
      </c:catAx>
      <c:valAx>
        <c:axId val="15150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77880627516977E-2"/>
          <c:y val="7.5505218743060182E-2"/>
          <c:w val="0.90563026186612172"/>
          <c:h val="0.71986060036965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CHARTS!$B$21</c:f>
              <c:strCache>
                <c:ptCount val="1"/>
                <c:pt idx="0">
                  <c:v>Both sexes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CHARTS!$A$22:$A$26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CHARTS!$B$22:$B$26</c:f>
              <c:numCache>
                <c:formatCode>0.00</c:formatCode>
                <c:ptCount val="5"/>
                <c:pt idx="0">
                  <c:v>48.568332476082709</c:v>
                </c:pt>
                <c:pt idx="1">
                  <c:v>49.834959365907494</c:v>
                </c:pt>
                <c:pt idx="2">
                  <c:v>37.403719838267897</c:v>
                </c:pt>
                <c:pt idx="3">
                  <c:v>49.464321811198708</c:v>
                </c:pt>
                <c:pt idx="4">
                  <c:v>46.317833372864207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123-4359-BE78-62DC45343ED1}"/>
            </c:ext>
          </c:extLst>
        </c:ser>
        <c:ser>
          <c:idx val="1"/>
          <c:order val="1"/>
          <c:tx>
            <c:strRef>
              <c:f>CHARTS!$C$21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CHARTS!$A$22:$A$26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CHARTS!$C$22:$C$26</c:f>
              <c:numCache>
                <c:formatCode>0.00</c:formatCode>
                <c:ptCount val="5"/>
                <c:pt idx="0">
                  <c:v>50.40999801626662</c:v>
                </c:pt>
                <c:pt idx="1">
                  <c:v>52.9150850340136</c:v>
                </c:pt>
                <c:pt idx="2">
                  <c:v>56.390479567414232</c:v>
                </c:pt>
                <c:pt idx="3">
                  <c:v>49.789114279975898</c:v>
                </c:pt>
                <c:pt idx="4">
                  <c:v>52.376169224417588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123-4359-BE78-62DC45343ED1}"/>
            </c:ext>
          </c:extLst>
        </c:ser>
        <c:ser>
          <c:idx val="2"/>
          <c:order val="2"/>
          <c:tx>
            <c:strRef>
              <c:f>CHARTS!$D$21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CHARTS!$A$22:$A$26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CHARTS!$D$22:$D$26</c:f>
              <c:numCache>
                <c:formatCode>0.00</c:formatCode>
                <c:ptCount val="5"/>
                <c:pt idx="0">
                  <c:v>53.249631924882628</c:v>
                </c:pt>
                <c:pt idx="1">
                  <c:v>42.707450245844065</c:v>
                </c:pt>
                <c:pt idx="2">
                  <c:v>35.83064601646435</c:v>
                </c:pt>
                <c:pt idx="3">
                  <c:v>49.109768956743004</c:v>
                </c:pt>
                <c:pt idx="4">
                  <c:v>45.224374285983515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123-4359-BE78-62DC45343E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5100752"/>
        <c:axId val="1515101296"/>
      </c:barChart>
      <c:catAx>
        <c:axId val="151510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01296"/>
        <c:crosses val="autoZero"/>
        <c:auto val="1"/>
        <c:lblAlgn val="ctr"/>
        <c:lblOffset val="100"/>
        <c:noMultiLvlLbl val="0"/>
      </c:catAx>
      <c:valAx>
        <c:axId val="15151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0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BaseFeat_HoE!$K$186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BaseFeat_HoE!$H$187:$I$211</c:f>
              <c:multiLvlStrCache>
                <c:ptCount val="25"/>
                <c:lvl>
                  <c:pt idx="0">
                    <c:v>ALL</c:v>
                  </c:pt>
                  <c:pt idx="1">
                    <c:v>RP1</c:v>
                  </c:pt>
                  <c:pt idx="2">
                    <c:v>RP2</c:v>
                  </c:pt>
                  <c:pt idx="3">
                    <c:v>RP3</c:v>
                  </c:pt>
                  <c:pt idx="4">
                    <c:v>RP4</c:v>
                  </c:pt>
                  <c:pt idx="5">
                    <c:v>ALL</c:v>
                  </c:pt>
                  <c:pt idx="6">
                    <c:v>RP1</c:v>
                  </c:pt>
                  <c:pt idx="7">
                    <c:v>RP2</c:v>
                  </c:pt>
                  <c:pt idx="8">
                    <c:v>RP3</c:v>
                  </c:pt>
                  <c:pt idx="9">
                    <c:v>RP4</c:v>
                  </c:pt>
                  <c:pt idx="10">
                    <c:v>ALL</c:v>
                  </c:pt>
                  <c:pt idx="11">
                    <c:v>RP1</c:v>
                  </c:pt>
                  <c:pt idx="12">
                    <c:v>RP2</c:v>
                  </c:pt>
                  <c:pt idx="13">
                    <c:v>RP3</c:v>
                  </c:pt>
                  <c:pt idx="14">
                    <c:v>RP4</c:v>
                  </c:pt>
                  <c:pt idx="15">
                    <c:v>ALL</c:v>
                  </c:pt>
                  <c:pt idx="16">
                    <c:v>RP1</c:v>
                  </c:pt>
                  <c:pt idx="17">
                    <c:v>RP2</c:v>
                  </c:pt>
                  <c:pt idx="18">
                    <c:v>RP3</c:v>
                  </c:pt>
                  <c:pt idx="19">
                    <c:v>RP4</c:v>
                  </c:pt>
                  <c:pt idx="20">
                    <c:v>ALL</c:v>
                  </c:pt>
                  <c:pt idx="21">
                    <c:v>RP1</c:v>
                  </c:pt>
                  <c:pt idx="22">
                    <c:v>RP2</c:v>
                  </c:pt>
                  <c:pt idx="23">
                    <c:v>RP3</c:v>
                  </c:pt>
                  <c:pt idx="24">
                    <c:v>RP4</c:v>
                  </c:pt>
                </c:lvl>
                <c:lvl>
                  <c:pt idx="0">
                    <c:v>AP</c:v>
                  </c:pt>
                  <c:pt idx="5">
                    <c:v>AT</c:v>
                  </c:pt>
                  <c:pt idx="10">
                    <c:v>PL</c:v>
                  </c:pt>
                  <c:pt idx="15">
                    <c:v>SE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BaseFeat_HoE!$K$187:$K$211</c:f>
              <c:numCache>
                <c:formatCode>0.00</c:formatCode>
                <c:ptCount val="25"/>
                <c:pt idx="0">
                  <c:v>30.96</c:v>
                </c:pt>
                <c:pt idx="1">
                  <c:v>40.71</c:v>
                </c:pt>
                <c:pt idx="2">
                  <c:v>59.69</c:v>
                </c:pt>
                <c:pt idx="3">
                  <c:v>22.91</c:v>
                </c:pt>
                <c:pt idx="4">
                  <c:v>15.73</c:v>
                </c:pt>
                <c:pt idx="5">
                  <c:v>50.03</c:v>
                </c:pt>
                <c:pt idx="6">
                  <c:v>58.24</c:v>
                </c:pt>
                <c:pt idx="7">
                  <c:v>38.26</c:v>
                </c:pt>
                <c:pt idx="8">
                  <c:v>36.76</c:v>
                </c:pt>
                <c:pt idx="9">
                  <c:v>58.69</c:v>
                </c:pt>
                <c:pt idx="10">
                  <c:v>50.68</c:v>
                </c:pt>
                <c:pt idx="11">
                  <c:v>36.590000000000003</c:v>
                </c:pt>
                <c:pt idx="12">
                  <c:v>36.64</c:v>
                </c:pt>
                <c:pt idx="13">
                  <c:v>50.93</c:v>
                </c:pt>
                <c:pt idx="14">
                  <c:v>69.27</c:v>
                </c:pt>
                <c:pt idx="15">
                  <c:v>38.270000000000003</c:v>
                </c:pt>
                <c:pt idx="16">
                  <c:v>44.39</c:v>
                </c:pt>
                <c:pt idx="17">
                  <c:v>60.47</c:v>
                </c:pt>
                <c:pt idx="18">
                  <c:v>47.22</c:v>
                </c:pt>
                <c:pt idx="19">
                  <c:v>48.83</c:v>
                </c:pt>
                <c:pt idx="20">
                  <c:v>42.485000000000007</c:v>
                </c:pt>
                <c:pt idx="21">
                  <c:v>44.982500000000002</c:v>
                </c:pt>
                <c:pt idx="22">
                  <c:v>48.764999999999993</c:v>
                </c:pt>
                <c:pt idx="23">
                  <c:v>39.454999999999998</c:v>
                </c:pt>
                <c:pt idx="24">
                  <c:v>48.129999999999995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C83-4B2D-ACDB-A6CFDD9090B0}"/>
            </c:ext>
          </c:extLst>
        </c:ser>
        <c:ser>
          <c:idx val="2"/>
          <c:order val="2"/>
          <c:tx>
            <c:strRef>
              <c:f>BaseFeat_HoE!$L$186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BaseFeat_HoE!$H$187:$I$211</c:f>
              <c:multiLvlStrCache>
                <c:ptCount val="25"/>
                <c:lvl>
                  <c:pt idx="0">
                    <c:v>ALL</c:v>
                  </c:pt>
                  <c:pt idx="1">
                    <c:v>RP1</c:v>
                  </c:pt>
                  <c:pt idx="2">
                    <c:v>RP2</c:v>
                  </c:pt>
                  <c:pt idx="3">
                    <c:v>RP3</c:v>
                  </c:pt>
                  <c:pt idx="4">
                    <c:v>RP4</c:v>
                  </c:pt>
                  <c:pt idx="5">
                    <c:v>ALL</c:v>
                  </c:pt>
                  <c:pt idx="6">
                    <c:v>RP1</c:v>
                  </c:pt>
                  <c:pt idx="7">
                    <c:v>RP2</c:v>
                  </c:pt>
                  <c:pt idx="8">
                    <c:v>RP3</c:v>
                  </c:pt>
                  <c:pt idx="9">
                    <c:v>RP4</c:v>
                  </c:pt>
                  <c:pt idx="10">
                    <c:v>ALL</c:v>
                  </c:pt>
                  <c:pt idx="11">
                    <c:v>RP1</c:v>
                  </c:pt>
                  <c:pt idx="12">
                    <c:v>RP2</c:v>
                  </c:pt>
                  <c:pt idx="13">
                    <c:v>RP3</c:v>
                  </c:pt>
                  <c:pt idx="14">
                    <c:v>RP4</c:v>
                  </c:pt>
                  <c:pt idx="15">
                    <c:v>ALL</c:v>
                  </c:pt>
                  <c:pt idx="16">
                    <c:v>RP1</c:v>
                  </c:pt>
                  <c:pt idx="17">
                    <c:v>RP2</c:v>
                  </c:pt>
                  <c:pt idx="18">
                    <c:v>RP3</c:v>
                  </c:pt>
                  <c:pt idx="19">
                    <c:v>RP4</c:v>
                  </c:pt>
                  <c:pt idx="20">
                    <c:v>ALL</c:v>
                  </c:pt>
                  <c:pt idx="21">
                    <c:v>RP1</c:v>
                  </c:pt>
                  <c:pt idx="22">
                    <c:v>RP2</c:v>
                  </c:pt>
                  <c:pt idx="23">
                    <c:v>RP3</c:v>
                  </c:pt>
                  <c:pt idx="24">
                    <c:v>RP4</c:v>
                  </c:pt>
                </c:lvl>
                <c:lvl>
                  <c:pt idx="0">
                    <c:v>AP</c:v>
                  </c:pt>
                  <c:pt idx="5">
                    <c:v>AT</c:v>
                  </c:pt>
                  <c:pt idx="10">
                    <c:v>PL</c:v>
                  </c:pt>
                  <c:pt idx="15">
                    <c:v>SE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BaseFeat_HoE!$L$187:$L$211</c:f>
              <c:numCache>
                <c:formatCode>0.00</c:formatCode>
                <c:ptCount val="25"/>
                <c:pt idx="0">
                  <c:v>34.08</c:v>
                </c:pt>
                <c:pt idx="1">
                  <c:v>39.01</c:v>
                </c:pt>
                <c:pt idx="2">
                  <c:v>51.72</c:v>
                </c:pt>
                <c:pt idx="3">
                  <c:v>50</c:v>
                </c:pt>
                <c:pt idx="4">
                  <c:v>50</c:v>
                </c:pt>
                <c:pt idx="5">
                  <c:v>50.03</c:v>
                </c:pt>
                <c:pt idx="6">
                  <c:v>60.86</c:v>
                </c:pt>
                <c:pt idx="7">
                  <c:v>49.97</c:v>
                </c:pt>
                <c:pt idx="8">
                  <c:v>34.46</c:v>
                </c:pt>
                <c:pt idx="9">
                  <c:v>50</c:v>
                </c:pt>
                <c:pt idx="10">
                  <c:v>50.61</c:v>
                </c:pt>
                <c:pt idx="11">
                  <c:v>34.71</c:v>
                </c:pt>
                <c:pt idx="12">
                  <c:v>50</c:v>
                </c:pt>
                <c:pt idx="13">
                  <c:v>50.92</c:v>
                </c:pt>
                <c:pt idx="14">
                  <c:v>69.31</c:v>
                </c:pt>
                <c:pt idx="15">
                  <c:v>50</c:v>
                </c:pt>
                <c:pt idx="16">
                  <c:v>41.28</c:v>
                </c:pt>
                <c:pt idx="17">
                  <c:v>58.32</c:v>
                </c:pt>
                <c:pt idx="18">
                  <c:v>46.05</c:v>
                </c:pt>
                <c:pt idx="19">
                  <c:v>47.64</c:v>
                </c:pt>
                <c:pt idx="20">
                  <c:v>46.18</c:v>
                </c:pt>
                <c:pt idx="21">
                  <c:v>43.965000000000003</c:v>
                </c:pt>
                <c:pt idx="22">
                  <c:v>52.502499999999998</c:v>
                </c:pt>
                <c:pt idx="23">
                  <c:v>45.357500000000002</c:v>
                </c:pt>
                <c:pt idx="24">
                  <c:v>54.237499999999997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C83-4B2D-ACDB-A6CFDD9090B0}"/>
            </c:ext>
          </c:extLst>
        </c:ser>
        <c:ser>
          <c:idx val="3"/>
          <c:order val="3"/>
          <c:tx>
            <c:strRef>
              <c:f>BaseFeat_HoE!$M$186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BaseFeat_HoE!$H$187:$I$211</c:f>
              <c:multiLvlStrCache>
                <c:ptCount val="25"/>
                <c:lvl>
                  <c:pt idx="0">
                    <c:v>ALL</c:v>
                  </c:pt>
                  <c:pt idx="1">
                    <c:v>RP1</c:v>
                  </c:pt>
                  <c:pt idx="2">
                    <c:v>RP2</c:v>
                  </c:pt>
                  <c:pt idx="3">
                    <c:v>RP3</c:v>
                  </c:pt>
                  <c:pt idx="4">
                    <c:v>RP4</c:v>
                  </c:pt>
                  <c:pt idx="5">
                    <c:v>ALL</c:v>
                  </c:pt>
                  <c:pt idx="6">
                    <c:v>RP1</c:v>
                  </c:pt>
                  <c:pt idx="7">
                    <c:v>RP2</c:v>
                  </c:pt>
                  <c:pt idx="8">
                    <c:v>RP3</c:v>
                  </c:pt>
                  <c:pt idx="9">
                    <c:v>RP4</c:v>
                  </c:pt>
                  <c:pt idx="10">
                    <c:v>ALL</c:v>
                  </c:pt>
                  <c:pt idx="11">
                    <c:v>RP1</c:v>
                  </c:pt>
                  <c:pt idx="12">
                    <c:v>RP2</c:v>
                  </c:pt>
                  <c:pt idx="13">
                    <c:v>RP3</c:v>
                  </c:pt>
                  <c:pt idx="14">
                    <c:v>RP4</c:v>
                  </c:pt>
                  <c:pt idx="15">
                    <c:v>ALL</c:v>
                  </c:pt>
                  <c:pt idx="16">
                    <c:v>RP1</c:v>
                  </c:pt>
                  <c:pt idx="17">
                    <c:v>RP2</c:v>
                  </c:pt>
                  <c:pt idx="18">
                    <c:v>RP3</c:v>
                  </c:pt>
                  <c:pt idx="19">
                    <c:v>RP4</c:v>
                  </c:pt>
                  <c:pt idx="20">
                    <c:v>ALL</c:v>
                  </c:pt>
                  <c:pt idx="21">
                    <c:v>RP1</c:v>
                  </c:pt>
                  <c:pt idx="22">
                    <c:v>RP2</c:v>
                  </c:pt>
                  <c:pt idx="23">
                    <c:v>RP3</c:v>
                  </c:pt>
                  <c:pt idx="24">
                    <c:v>RP4</c:v>
                  </c:pt>
                </c:lvl>
                <c:lvl>
                  <c:pt idx="0">
                    <c:v>AP</c:v>
                  </c:pt>
                  <c:pt idx="5">
                    <c:v>AT</c:v>
                  </c:pt>
                  <c:pt idx="10">
                    <c:v>PL</c:v>
                  </c:pt>
                  <c:pt idx="15">
                    <c:v>SE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BaseFeat_HoE!$M$187:$M$211</c:f>
              <c:numCache>
                <c:formatCode>0.00</c:formatCode>
                <c:ptCount val="25"/>
                <c:pt idx="0">
                  <c:v>32.445166051660522</c:v>
                </c:pt>
                <c:pt idx="1">
                  <c:v>39.841874059207228</c:v>
                </c:pt>
                <c:pt idx="2">
                  <c:v>55.419922807647431</c:v>
                </c:pt>
                <c:pt idx="3">
                  <c:v>31.42230146756275</c:v>
                </c:pt>
                <c:pt idx="4">
                  <c:v>23.931233835387189</c:v>
                </c:pt>
                <c:pt idx="5">
                  <c:v>50.03</c:v>
                </c:pt>
                <c:pt idx="6">
                  <c:v>59.521182199832083</c:v>
                </c:pt>
                <c:pt idx="7">
                  <c:v>43.337916808341838</c:v>
                </c:pt>
                <c:pt idx="8">
                  <c:v>35.572861555742769</c:v>
                </c:pt>
                <c:pt idx="9">
                  <c:v>53.997607875609532</c:v>
                </c:pt>
                <c:pt idx="10">
                  <c:v>50.644975812024882</c:v>
                </c:pt>
                <c:pt idx="11">
                  <c:v>35.625214586255261</c:v>
                </c:pt>
                <c:pt idx="12">
                  <c:v>42.289935364727611</c:v>
                </c:pt>
                <c:pt idx="13">
                  <c:v>50.924999509081985</c:v>
                </c:pt>
                <c:pt idx="14">
                  <c:v>69.289994227161216</c:v>
                </c:pt>
                <c:pt idx="15">
                  <c:v>43.355613458706245</c:v>
                </c:pt>
                <c:pt idx="16">
                  <c:v>42.778550250963001</c:v>
                </c:pt>
                <c:pt idx="17">
                  <c:v>59.37554339590875</c:v>
                </c:pt>
                <c:pt idx="18">
                  <c:v>46.627661627532966</c:v>
                </c:pt>
                <c:pt idx="19">
                  <c:v>48.227660412563488</c:v>
                </c:pt>
                <c:pt idx="20">
                  <c:v>44.118938830597912</c:v>
                </c:pt>
                <c:pt idx="21">
                  <c:v>44.441705274064397</c:v>
                </c:pt>
                <c:pt idx="22">
                  <c:v>50.105829594156411</c:v>
                </c:pt>
                <c:pt idx="23">
                  <c:v>41.13695603998012</c:v>
                </c:pt>
                <c:pt idx="24">
                  <c:v>48.861624087680362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C83-4B2D-ACDB-A6CFDD909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352432"/>
        <c:axId val="140915595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BaseFeat_HoE!$J$186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BaseFeat_HoE!$H$187:$I$211</c15:sqref>
                        </c15:formulaRef>
                      </c:ext>
                    </c:extLst>
                    <c:multiLvlStrCache>
                      <c:ptCount val="25"/>
                      <c:lvl>
                        <c:pt idx="0">
                          <c:v>ALL</c:v>
                        </c:pt>
                        <c:pt idx="1">
                          <c:v>RP1</c:v>
                        </c:pt>
                        <c:pt idx="2">
                          <c:v>RP2</c:v>
                        </c:pt>
                        <c:pt idx="3">
                          <c:v>RP3</c:v>
                        </c:pt>
                        <c:pt idx="4">
                          <c:v>RP4</c:v>
                        </c:pt>
                        <c:pt idx="5">
                          <c:v>ALL</c:v>
                        </c:pt>
                        <c:pt idx="6">
                          <c:v>RP1</c:v>
                        </c:pt>
                        <c:pt idx="7">
                          <c:v>RP2</c:v>
                        </c:pt>
                        <c:pt idx="8">
                          <c:v>RP3</c:v>
                        </c:pt>
                        <c:pt idx="9">
                          <c:v>RP4</c:v>
                        </c:pt>
                        <c:pt idx="10">
                          <c:v>ALL</c:v>
                        </c:pt>
                        <c:pt idx="11">
                          <c:v>RP1</c:v>
                        </c:pt>
                        <c:pt idx="12">
                          <c:v>RP2</c:v>
                        </c:pt>
                        <c:pt idx="13">
                          <c:v>RP3</c:v>
                        </c:pt>
                        <c:pt idx="14">
                          <c:v>RP4</c:v>
                        </c:pt>
                        <c:pt idx="15">
                          <c:v>ALL</c:v>
                        </c:pt>
                        <c:pt idx="16">
                          <c:v>RP1</c:v>
                        </c:pt>
                        <c:pt idx="17">
                          <c:v>RP2</c:v>
                        </c:pt>
                        <c:pt idx="18">
                          <c:v>RP3</c:v>
                        </c:pt>
                        <c:pt idx="19">
                          <c:v>RP4</c:v>
                        </c:pt>
                        <c:pt idx="20">
                          <c:v>ALL</c:v>
                        </c:pt>
                        <c:pt idx="21">
                          <c:v>RP1</c:v>
                        </c:pt>
                        <c:pt idx="22">
                          <c:v>RP2</c:v>
                        </c:pt>
                        <c:pt idx="23">
                          <c:v>RP3</c:v>
                        </c:pt>
                        <c:pt idx="24">
                          <c:v>RP4</c:v>
                        </c:pt>
                      </c:lvl>
                      <c:lvl>
                        <c:pt idx="0">
                          <c:v>AP</c:v>
                        </c:pt>
                        <c:pt idx="5">
                          <c:v>AT</c:v>
                        </c:pt>
                        <c:pt idx="10">
                          <c:v>PL</c:v>
                        </c:pt>
                        <c:pt idx="15">
                          <c:v>SE</c:v>
                        </c:pt>
                        <c:pt idx="20">
                          <c:v>AVG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BaseFeat_HoE!$J$187:$J$211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31.55</c:v>
                      </c:pt>
                      <c:pt idx="1">
                        <c:v>52.06</c:v>
                      </c:pt>
                      <c:pt idx="2">
                        <c:v>40.299999999999997</c:v>
                      </c:pt>
                      <c:pt idx="3">
                        <c:v>45.83</c:v>
                      </c:pt>
                      <c:pt idx="4">
                        <c:v>31.45</c:v>
                      </c:pt>
                      <c:pt idx="5">
                        <c:v>56.43</c:v>
                      </c:pt>
                      <c:pt idx="6">
                        <c:v>45.25</c:v>
                      </c:pt>
                      <c:pt idx="7">
                        <c:v>56.49</c:v>
                      </c:pt>
                      <c:pt idx="8">
                        <c:v>32.89</c:v>
                      </c:pt>
                      <c:pt idx="9">
                        <c:v>50.72</c:v>
                      </c:pt>
                      <c:pt idx="10">
                        <c:v>50.29</c:v>
                      </c:pt>
                      <c:pt idx="11">
                        <c:v>28.76</c:v>
                      </c:pt>
                      <c:pt idx="12">
                        <c:v>73.27</c:v>
                      </c:pt>
                      <c:pt idx="13">
                        <c:v>48.82</c:v>
                      </c:pt>
                      <c:pt idx="14">
                        <c:v>69.540000000000006</c:v>
                      </c:pt>
                      <c:pt idx="15">
                        <c:v>76.53</c:v>
                      </c:pt>
                      <c:pt idx="16">
                        <c:v>57.84</c:v>
                      </c:pt>
                      <c:pt idx="17">
                        <c:v>56.56</c:v>
                      </c:pt>
                      <c:pt idx="18">
                        <c:v>60.27</c:v>
                      </c:pt>
                      <c:pt idx="19">
                        <c:v>62.56</c:v>
                      </c:pt>
                      <c:pt idx="20">
                        <c:v>53.7</c:v>
                      </c:pt>
                      <c:pt idx="21">
                        <c:v>45.977500000000006</c:v>
                      </c:pt>
                      <c:pt idx="22">
                        <c:v>56.655000000000001</c:v>
                      </c:pt>
                      <c:pt idx="23">
                        <c:v>46.952500000000001</c:v>
                      </c:pt>
                      <c:pt idx="24">
                        <c:v>53.567500000000003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5C83-4B2D-ACDB-A6CFDD9090B0}"/>
                  </c:ext>
                </c:extLst>
              </c15:ser>
            </c15:filteredBarSeries>
          </c:ext>
        </c:extLst>
      </c:barChart>
      <c:catAx>
        <c:axId val="134335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55952"/>
        <c:crosses val="autoZero"/>
        <c:auto val="1"/>
        <c:lblAlgn val="ctr"/>
        <c:lblOffset val="100"/>
        <c:noMultiLvlLbl val="0"/>
      </c:catAx>
      <c:valAx>
        <c:axId val="14091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77880627516977E-2"/>
          <c:y val="4.8856318010215415E-2"/>
          <c:w val="0.90563026186612172"/>
          <c:h val="0.62547802777151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CHARTS!$E$21</c:f>
              <c:strCache>
                <c:ptCount val="1"/>
                <c:pt idx="0">
                  <c:v>Reading Preference merged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CHARTS!$A$22:$A$26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CHARTS!$E$22:$E$26</c:f>
              <c:numCache>
                <c:formatCode>0.00</c:formatCode>
                <c:ptCount val="5"/>
                <c:pt idx="0">
                  <c:v>50.519554631828981</c:v>
                </c:pt>
                <c:pt idx="1">
                  <c:v>63.241177661811669</c:v>
                </c:pt>
                <c:pt idx="2">
                  <c:v>38.964999358398558</c:v>
                </c:pt>
                <c:pt idx="3">
                  <c:v>48.654754569726848</c:v>
                </c:pt>
                <c:pt idx="4">
                  <c:v>50.345121555441509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4E-4796-BEC2-15EF86F7F7FC}"/>
            </c:ext>
          </c:extLst>
        </c:ser>
        <c:ser>
          <c:idx val="1"/>
          <c:order val="1"/>
          <c:tx>
            <c:strRef>
              <c:f>CHARTS!$F$21</c:f>
              <c:strCache>
                <c:ptCount val="1"/>
                <c:pt idx="0">
                  <c:v>Reading Preference: traditional books only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CHARTS!$A$22:$A$26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CHARTS!$F$22:$F$26</c:f>
              <c:numCache>
                <c:formatCode>0.00</c:formatCode>
                <c:ptCount val="5"/>
                <c:pt idx="0">
                  <c:v>49.744734144135087</c:v>
                </c:pt>
                <c:pt idx="1">
                  <c:v>21.401975423139348</c:v>
                </c:pt>
                <c:pt idx="2">
                  <c:v>21.527204226969904</c:v>
                </c:pt>
                <c:pt idx="3">
                  <c:v>36.42647559821549</c:v>
                </c:pt>
                <c:pt idx="4">
                  <c:v>32.275097348114954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F4E-4796-BEC2-15EF86F7F7FC}"/>
            </c:ext>
          </c:extLst>
        </c:ser>
        <c:ser>
          <c:idx val="2"/>
          <c:order val="2"/>
          <c:tx>
            <c:strRef>
              <c:f>CHARTS!$G$21</c:f>
              <c:strCache>
                <c:ptCount val="1"/>
                <c:pt idx="0">
                  <c:v>Reading Preference: traditional books over eBooks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CHARTS!$A$22:$A$26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CHARTS!$G$22:$G$26</c:f>
              <c:numCache>
                <c:formatCode>0.00</c:formatCode>
                <c:ptCount val="5"/>
                <c:pt idx="0">
                  <c:v>48.385999173382935</c:v>
                </c:pt>
                <c:pt idx="1">
                  <c:v>26.394818195200941</c:v>
                </c:pt>
                <c:pt idx="2">
                  <c:v>67.114439976169194</c:v>
                </c:pt>
                <c:pt idx="3">
                  <c:v>49.88975746642614</c:v>
                </c:pt>
                <c:pt idx="4">
                  <c:v>47.946253702794806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F4E-4796-BEC2-15EF86F7F7FC}"/>
            </c:ext>
          </c:extLst>
        </c:ser>
        <c:ser>
          <c:idx val="3"/>
          <c:order val="3"/>
          <c:tx>
            <c:strRef>
              <c:f>CHARTS!$H$21</c:f>
              <c:strCache>
                <c:ptCount val="1"/>
                <c:pt idx="0">
                  <c:v>Reading Preference: both traditional books &amp; eBooks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CHARTS!$A$22:$A$26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CHARTS!$H$22:$H$26</c:f>
              <c:numCache>
                <c:formatCode>0.00</c:formatCode>
                <c:ptCount val="5"/>
                <c:pt idx="0">
                  <c:v>45.633015768725372</c:v>
                </c:pt>
                <c:pt idx="1">
                  <c:v>71.620900397850221</c:v>
                </c:pt>
                <c:pt idx="2">
                  <c:v>61.392905537459285</c:v>
                </c:pt>
                <c:pt idx="3">
                  <c:v>40.88218242201399</c:v>
                </c:pt>
                <c:pt idx="4">
                  <c:v>54.882251031512219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F4E-4796-BEC2-15EF86F7F7FC}"/>
            </c:ext>
          </c:extLst>
        </c:ser>
        <c:ser>
          <c:idx val="4"/>
          <c:order val="4"/>
          <c:tx>
            <c:strRef>
              <c:f>CHARTS!$I$21</c:f>
              <c:strCache>
                <c:ptCount val="1"/>
                <c:pt idx="0">
                  <c:v>Reading Preference: eBooks over traditional books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CHARTS!$A$22:$A$26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CHARTS!$I$22:$I$26</c:f>
              <c:numCache>
                <c:formatCode>0.00</c:formatCode>
                <c:ptCount val="5"/>
                <c:pt idx="0">
                  <c:v>44.745275721074144</c:v>
                </c:pt>
                <c:pt idx="1">
                  <c:v>57.910351255717622</c:v>
                </c:pt>
                <c:pt idx="2">
                  <c:v>31.028776330599779</c:v>
                </c:pt>
                <c:pt idx="3">
                  <c:v>50.491252599267249</c:v>
                </c:pt>
                <c:pt idx="4">
                  <c:v>46.043913976664697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F4E-4796-BEC2-15EF86F7F7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7327568"/>
        <c:axId val="747323216"/>
      </c:barChart>
      <c:catAx>
        <c:axId val="74732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23216"/>
        <c:crosses val="autoZero"/>
        <c:auto val="1"/>
        <c:lblAlgn val="ctr"/>
        <c:lblOffset val="100"/>
        <c:noMultiLvlLbl val="0"/>
      </c:catAx>
      <c:valAx>
        <c:axId val="7473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CHARTS!$B$39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CHARTS!$B$40:$B$44</c:f>
              <c:numCache>
                <c:formatCode>0.00</c:formatCode>
                <c:ptCount val="5"/>
                <c:pt idx="0">
                  <c:v>53.519998131539616</c:v>
                </c:pt>
                <c:pt idx="1">
                  <c:v>50.769950758321848</c:v>
                </c:pt>
                <c:pt idx="2">
                  <c:v>48.5299484854729</c:v>
                </c:pt>
                <c:pt idx="3">
                  <c:v>45.319634159779618</c:v>
                </c:pt>
                <c:pt idx="4">
                  <c:v>49.534882883778494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6E-43FA-8D0B-A8FB69EA6B9B}"/>
            </c:ext>
          </c:extLst>
        </c:ser>
        <c:ser>
          <c:idx val="1"/>
          <c:order val="1"/>
          <c:tx>
            <c:strRef>
              <c:f>CHARTS!$C$39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CHARTS!$C$40:$C$44</c:f>
              <c:numCache>
                <c:formatCode>0.00</c:formatCode>
                <c:ptCount val="5"/>
                <c:pt idx="0">
                  <c:v>49.179926799511996</c:v>
                </c:pt>
                <c:pt idx="1">
                  <c:v>48.224364955935719</c:v>
                </c:pt>
                <c:pt idx="2">
                  <c:v>43.699990846681921</c:v>
                </c:pt>
                <c:pt idx="3">
                  <c:v>44.970140409065785</c:v>
                </c:pt>
                <c:pt idx="4">
                  <c:v>46.518605752798855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6E-43FA-8D0B-A8FB69EA6B9B}"/>
            </c:ext>
          </c:extLst>
        </c:ser>
        <c:ser>
          <c:idx val="2"/>
          <c:order val="2"/>
          <c:tx>
            <c:strRef>
              <c:f>CHARTS!$D$39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CHARTS!$D$40:$D$44</c:f>
              <c:numCache>
                <c:formatCode>0.00</c:formatCode>
                <c:ptCount val="5"/>
                <c:pt idx="0">
                  <c:v>49.939999999999991</c:v>
                </c:pt>
                <c:pt idx="1">
                  <c:v>49.374987341772147</c:v>
                </c:pt>
                <c:pt idx="2">
                  <c:v>51.634999515832284</c:v>
                </c:pt>
                <c:pt idx="3">
                  <c:v>57.20242424242425</c:v>
                </c:pt>
                <c:pt idx="4">
                  <c:v>52.038102775007168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6E-43FA-8D0B-A8FB69EA6B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7323760"/>
        <c:axId val="747328112"/>
      </c:barChart>
      <c:catAx>
        <c:axId val="74732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28112"/>
        <c:crosses val="autoZero"/>
        <c:auto val="1"/>
        <c:lblAlgn val="ctr"/>
        <c:lblOffset val="100"/>
        <c:noMultiLvlLbl val="0"/>
      </c:catAx>
      <c:valAx>
        <c:axId val="7473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2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CHARTS!$E$39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CHARTS!$E$40:$E$44</c:f>
              <c:numCache>
                <c:formatCode>0.00</c:formatCode>
                <c:ptCount val="5"/>
                <c:pt idx="0">
                  <c:v>44.224999434708877</c:v>
                </c:pt>
                <c:pt idx="1">
                  <c:v>49.59499949591693</c:v>
                </c:pt>
                <c:pt idx="2">
                  <c:v>30.913472087770248</c:v>
                </c:pt>
                <c:pt idx="3">
                  <c:v>52.378930715715242</c:v>
                </c:pt>
                <c:pt idx="4">
                  <c:v>44.278100433527825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F4-48BB-B764-766BD2AE977B}"/>
            </c:ext>
          </c:extLst>
        </c:ser>
        <c:ser>
          <c:idx val="1"/>
          <c:order val="1"/>
          <c:tx>
            <c:strRef>
              <c:f>CHARTS!$F$39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CHARTS!$F$40:$F$44</c:f>
              <c:numCache>
                <c:formatCode>0.00</c:formatCode>
                <c:ptCount val="5"/>
                <c:pt idx="0">
                  <c:v>45.499997802197797</c:v>
                </c:pt>
                <c:pt idx="1">
                  <c:v>41.763045297000126</c:v>
                </c:pt>
                <c:pt idx="2">
                  <c:v>43.909997722614442</c:v>
                </c:pt>
                <c:pt idx="3">
                  <c:v>43.72155560558307</c:v>
                </c:pt>
                <c:pt idx="4">
                  <c:v>43.723649106848853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F4-48BB-B764-766BD2AE977B}"/>
            </c:ext>
          </c:extLst>
        </c:ser>
        <c:ser>
          <c:idx val="2"/>
          <c:order val="2"/>
          <c:tx>
            <c:strRef>
              <c:f>CHARTS!$G$39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CHARTS!$G$40:$G$44</c:f>
              <c:numCache>
                <c:formatCode>0.00</c:formatCode>
                <c:ptCount val="5"/>
                <c:pt idx="0">
                  <c:v>50.98499558693733</c:v>
                </c:pt>
                <c:pt idx="1">
                  <c:v>48.629948591404478</c:v>
                </c:pt>
                <c:pt idx="2">
                  <c:v>42.929403680409969</c:v>
                </c:pt>
                <c:pt idx="3">
                  <c:v>54.913224690458847</c:v>
                </c:pt>
                <c:pt idx="4">
                  <c:v>49.364393137302656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F4-48BB-B764-766BD2AE97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7329744"/>
        <c:axId val="747328656"/>
      </c:barChart>
      <c:catAx>
        <c:axId val="7473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28656"/>
        <c:crosses val="autoZero"/>
        <c:auto val="1"/>
        <c:lblAlgn val="ctr"/>
        <c:lblOffset val="100"/>
        <c:noMultiLvlLbl val="0"/>
      </c:catAx>
      <c:valAx>
        <c:axId val="7473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2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CHARTS!$H$39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CHARTS!$H$40:$H$44</c:f>
              <c:numCache>
                <c:formatCode>0.00</c:formatCode>
                <c:ptCount val="5"/>
                <c:pt idx="0">
                  <c:v>48.883669837373425</c:v>
                </c:pt>
                <c:pt idx="1">
                  <c:v>58.679829584185406</c:v>
                </c:pt>
                <c:pt idx="2">
                  <c:v>36.460030108115511</c:v>
                </c:pt>
                <c:pt idx="3">
                  <c:v>40.441682656826565</c:v>
                </c:pt>
                <c:pt idx="4">
                  <c:v>46.116303046625227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2C-4920-906A-CB50F5B84DE6}"/>
            </c:ext>
          </c:extLst>
        </c:ser>
        <c:ser>
          <c:idx val="1"/>
          <c:order val="1"/>
          <c:tx>
            <c:strRef>
              <c:f>CHARTS!$I$39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CHARTS!$I$40:$I$44</c:f>
              <c:numCache>
                <c:formatCode>0.00</c:formatCode>
                <c:ptCount val="5"/>
                <c:pt idx="0">
                  <c:v>42.960297743661314</c:v>
                </c:pt>
                <c:pt idx="1">
                  <c:v>61.575940240337772</c:v>
                </c:pt>
                <c:pt idx="2">
                  <c:v>47.341704509451894</c:v>
                </c:pt>
                <c:pt idx="3">
                  <c:v>40.082454477425792</c:v>
                </c:pt>
                <c:pt idx="4">
                  <c:v>47.990099242719189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2C-4920-906A-CB50F5B84DE6}"/>
            </c:ext>
          </c:extLst>
        </c:ser>
        <c:ser>
          <c:idx val="2"/>
          <c:order val="2"/>
          <c:tx>
            <c:strRef>
              <c:f>CHARTS!$J$39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CHARTS!$J$40:$J$44</c:f>
              <c:numCache>
                <c:formatCode>0.00</c:formatCode>
                <c:ptCount val="5"/>
                <c:pt idx="0">
                  <c:v>40.78492583057497</c:v>
                </c:pt>
                <c:pt idx="1">
                  <c:v>67.636659275683655</c:v>
                </c:pt>
                <c:pt idx="2">
                  <c:v>58.730484378990376</c:v>
                </c:pt>
                <c:pt idx="3">
                  <c:v>56.340480709534361</c:v>
                </c:pt>
                <c:pt idx="4">
                  <c:v>55.873137548695837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D2C-4920-906A-CB50F5B84D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7326480"/>
        <c:axId val="1517807952"/>
      </c:barChart>
      <c:catAx>
        <c:axId val="74732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07952"/>
        <c:crosses val="autoZero"/>
        <c:auto val="1"/>
        <c:lblAlgn val="ctr"/>
        <c:lblOffset val="100"/>
        <c:noMultiLvlLbl val="0"/>
      </c:catAx>
      <c:valAx>
        <c:axId val="15178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2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CHARTS!$K$39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CHARTS!$K$40:$K$44</c:f>
              <c:numCache>
                <c:formatCode>0.00</c:formatCode>
                <c:ptCount val="5"/>
                <c:pt idx="0">
                  <c:v>32.445166051660522</c:v>
                </c:pt>
                <c:pt idx="1">
                  <c:v>50.03</c:v>
                </c:pt>
                <c:pt idx="2">
                  <c:v>50.644975812024882</c:v>
                </c:pt>
                <c:pt idx="3">
                  <c:v>43.355613458706245</c:v>
                </c:pt>
                <c:pt idx="4">
                  <c:v>44.118938830597912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FD-4947-BAC9-22D40CDB6A75}"/>
            </c:ext>
          </c:extLst>
        </c:ser>
        <c:ser>
          <c:idx val="1"/>
          <c:order val="1"/>
          <c:tx>
            <c:strRef>
              <c:f>CHARTS!$L$39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CHARTS!$L$40:$L$44</c:f>
              <c:numCache>
                <c:formatCode>0.00</c:formatCode>
                <c:ptCount val="5"/>
                <c:pt idx="0">
                  <c:v>41.18489741410707</c:v>
                </c:pt>
                <c:pt idx="1">
                  <c:v>50.759998029944839</c:v>
                </c:pt>
                <c:pt idx="2">
                  <c:v>51.584960744402444</c:v>
                </c:pt>
                <c:pt idx="3">
                  <c:v>63.84701619901648</c:v>
                </c:pt>
                <c:pt idx="4">
                  <c:v>51.844218096867706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FD-4947-BAC9-22D40CDB6A75}"/>
            </c:ext>
          </c:extLst>
        </c:ser>
        <c:ser>
          <c:idx val="2"/>
          <c:order val="2"/>
          <c:tx>
            <c:strRef>
              <c:f>CHARTS!$M$39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CHARTS!$M$40:$M$44</c:f>
              <c:numCache>
                <c:formatCode>0.00</c:formatCode>
                <c:ptCount val="5"/>
                <c:pt idx="0">
                  <c:v>44.524999438517689</c:v>
                </c:pt>
                <c:pt idx="1">
                  <c:v>43.454458884416333</c:v>
                </c:pt>
                <c:pt idx="2">
                  <c:v>46.27346369922212</c:v>
                </c:pt>
                <c:pt idx="3">
                  <c:v>46.473163495646553</c:v>
                </c:pt>
                <c:pt idx="4">
                  <c:v>45.181521379450679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FD-4947-BAC9-22D40CDB6A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7807408"/>
        <c:axId val="1517808496"/>
      </c:barChart>
      <c:catAx>
        <c:axId val="151780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08496"/>
        <c:crosses val="autoZero"/>
        <c:auto val="1"/>
        <c:lblAlgn val="ctr"/>
        <c:lblOffset val="100"/>
        <c:noMultiLvlLbl val="0"/>
      </c:catAx>
      <c:valAx>
        <c:axId val="15178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0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CHARTS!$N$39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CHARTS!$N$40:$N$44</c:f>
              <c:numCache>
                <c:formatCode>0.00</c:formatCode>
                <c:ptCount val="5"/>
                <c:pt idx="0">
                  <c:v>39.841874059207228</c:v>
                </c:pt>
                <c:pt idx="1">
                  <c:v>59.521182199832083</c:v>
                </c:pt>
                <c:pt idx="2">
                  <c:v>35.625214586255261</c:v>
                </c:pt>
                <c:pt idx="3">
                  <c:v>42.778550250963001</c:v>
                </c:pt>
                <c:pt idx="4">
                  <c:v>44.441705274064397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01-475F-BB94-7849C6CB23CC}"/>
            </c:ext>
          </c:extLst>
        </c:ser>
        <c:ser>
          <c:idx val="1"/>
          <c:order val="1"/>
          <c:tx>
            <c:strRef>
              <c:f>CHARTS!$O$39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CHARTS!$O$40:$O$44</c:f>
              <c:numCache>
                <c:formatCode>0.00</c:formatCode>
                <c:ptCount val="5"/>
                <c:pt idx="0">
                  <c:v>26.362271269571778</c:v>
                </c:pt>
                <c:pt idx="1">
                  <c:v>44.413563090605898</c:v>
                </c:pt>
                <c:pt idx="2">
                  <c:v>42.961441934747889</c:v>
                </c:pt>
                <c:pt idx="3">
                  <c:v>45.498146936995852</c:v>
                </c:pt>
                <c:pt idx="4">
                  <c:v>39.808855807980351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901-475F-BB94-7849C6CB23CC}"/>
            </c:ext>
          </c:extLst>
        </c:ser>
        <c:ser>
          <c:idx val="2"/>
          <c:order val="2"/>
          <c:tx>
            <c:strRef>
              <c:f>CHARTS!$P$39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CHARTS!$P$40:$P$44</c:f>
              <c:numCache>
                <c:formatCode>0.00</c:formatCode>
                <c:ptCount val="5"/>
                <c:pt idx="0">
                  <c:v>38.362071567989588</c:v>
                </c:pt>
                <c:pt idx="1">
                  <c:v>44.413563090605898</c:v>
                </c:pt>
                <c:pt idx="2">
                  <c:v>35.408172710596865</c:v>
                </c:pt>
                <c:pt idx="3">
                  <c:v>45.48806585259485</c:v>
                </c:pt>
                <c:pt idx="4">
                  <c:v>40.917968305446799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901-475F-BB94-7849C6CB23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7810128"/>
        <c:axId val="1517813936"/>
      </c:barChart>
      <c:catAx>
        <c:axId val="151781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13936"/>
        <c:crosses val="autoZero"/>
        <c:auto val="1"/>
        <c:lblAlgn val="ctr"/>
        <c:lblOffset val="100"/>
        <c:noMultiLvlLbl val="0"/>
      </c:catAx>
      <c:valAx>
        <c:axId val="15178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1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CHARTS!$Q$39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CHARTS!$Q$40:$Q$44</c:f>
              <c:numCache>
                <c:formatCode>0.00</c:formatCode>
                <c:ptCount val="5"/>
                <c:pt idx="0">
                  <c:v>55.419922807647431</c:v>
                </c:pt>
                <c:pt idx="1">
                  <c:v>43.337916808341838</c:v>
                </c:pt>
                <c:pt idx="2">
                  <c:v>42.289935364727611</c:v>
                </c:pt>
                <c:pt idx="3">
                  <c:v>59.37554339590875</c:v>
                </c:pt>
                <c:pt idx="4">
                  <c:v>50.105829594156411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8B-443B-9208-CED591EE65DC}"/>
            </c:ext>
          </c:extLst>
        </c:ser>
        <c:ser>
          <c:idx val="1"/>
          <c:order val="1"/>
          <c:tx>
            <c:strRef>
              <c:f>CHARTS!$R$39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CHARTS!$R$40:$R$44</c:f>
              <c:numCache>
                <c:formatCode>0.00</c:formatCode>
                <c:ptCount val="5"/>
                <c:pt idx="0">
                  <c:v>28.287604938271603</c:v>
                </c:pt>
                <c:pt idx="1">
                  <c:v>38.79723853683668</c:v>
                </c:pt>
                <c:pt idx="2">
                  <c:v>23.353977758768178</c:v>
                </c:pt>
                <c:pt idx="3">
                  <c:v>40.460224635892374</c:v>
                </c:pt>
                <c:pt idx="4">
                  <c:v>32.724761467442207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68B-443B-9208-CED591EE65DC}"/>
            </c:ext>
          </c:extLst>
        </c:ser>
        <c:ser>
          <c:idx val="2"/>
          <c:order val="2"/>
          <c:tx>
            <c:strRef>
              <c:f>CHARTS!$S$39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CHARTS!$S$40:$S$44</c:f>
              <c:numCache>
                <c:formatCode>0.00</c:formatCode>
                <c:ptCount val="5"/>
                <c:pt idx="0">
                  <c:v>40.673863552550706</c:v>
                </c:pt>
                <c:pt idx="1">
                  <c:v>44.19</c:v>
                </c:pt>
                <c:pt idx="2">
                  <c:v>26.150222222222222</c:v>
                </c:pt>
                <c:pt idx="3">
                  <c:v>40.541779640128169</c:v>
                </c:pt>
                <c:pt idx="4">
                  <c:v>37.888966353725273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68B-443B-9208-CED591EE65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7811216"/>
        <c:axId val="1517811760"/>
      </c:barChart>
      <c:catAx>
        <c:axId val="151781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11760"/>
        <c:crosses val="autoZero"/>
        <c:auto val="1"/>
        <c:lblAlgn val="ctr"/>
        <c:lblOffset val="100"/>
        <c:noMultiLvlLbl val="0"/>
      </c:catAx>
      <c:valAx>
        <c:axId val="15178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1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CHARTS!$T$39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CHARTS!$T$40:$T$44</c:f>
              <c:numCache>
                <c:formatCode>0.00</c:formatCode>
                <c:ptCount val="5"/>
                <c:pt idx="0">
                  <c:v>31.42230146756275</c:v>
                </c:pt>
                <c:pt idx="1">
                  <c:v>35.572861555742769</c:v>
                </c:pt>
                <c:pt idx="2">
                  <c:v>50.924999509081985</c:v>
                </c:pt>
                <c:pt idx="3">
                  <c:v>46.627661627532966</c:v>
                </c:pt>
                <c:pt idx="4">
                  <c:v>41.13695603998012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724-4F45-AB85-6B5278B37617}"/>
            </c:ext>
          </c:extLst>
        </c:ser>
        <c:ser>
          <c:idx val="1"/>
          <c:order val="1"/>
          <c:tx>
            <c:strRef>
              <c:f>CHARTS!$U$39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CHARTS!$U$40:$U$44</c:f>
              <c:numCache>
                <c:formatCode>0.00</c:formatCode>
                <c:ptCount val="5"/>
                <c:pt idx="0">
                  <c:v>35.140744584252168</c:v>
                </c:pt>
                <c:pt idx="1">
                  <c:v>41.684161418241189</c:v>
                </c:pt>
                <c:pt idx="2">
                  <c:v>37.5</c:v>
                </c:pt>
                <c:pt idx="3">
                  <c:v>45.024738867509626</c:v>
                </c:pt>
                <c:pt idx="4">
                  <c:v>39.837411217500744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724-4F45-AB85-6B5278B37617}"/>
            </c:ext>
          </c:extLst>
        </c:ser>
        <c:ser>
          <c:idx val="2"/>
          <c:order val="2"/>
          <c:tx>
            <c:strRef>
              <c:f>CHARTS!$V$39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CHARTS!$V$40:$V$44</c:f>
              <c:numCache>
                <c:formatCode>0.00</c:formatCode>
                <c:ptCount val="5"/>
                <c:pt idx="0">
                  <c:v>43.984749346368083</c:v>
                </c:pt>
                <c:pt idx="1">
                  <c:v>41.684161418241189</c:v>
                </c:pt>
                <c:pt idx="2">
                  <c:v>51.124995599022007</c:v>
                </c:pt>
                <c:pt idx="3">
                  <c:v>45.024738867509626</c:v>
                </c:pt>
                <c:pt idx="4">
                  <c:v>45.45466130778523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724-4F45-AB85-6B5278B376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2358448"/>
        <c:axId val="1372356816"/>
      </c:barChart>
      <c:catAx>
        <c:axId val="137235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56816"/>
        <c:crosses val="autoZero"/>
        <c:auto val="1"/>
        <c:lblAlgn val="ctr"/>
        <c:lblOffset val="100"/>
        <c:noMultiLvlLbl val="0"/>
      </c:catAx>
      <c:valAx>
        <c:axId val="13723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5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CHARTS!$W$39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CHARTS!$W$40:$W$44</c:f>
              <c:numCache>
                <c:formatCode>0.00</c:formatCode>
                <c:ptCount val="5"/>
                <c:pt idx="0">
                  <c:v>23.931233835387189</c:v>
                </c:pt>
                <c:pt idx="1">
                  <c:v>53.997607875609532</c:v>
                </c:pt>
                <c:pt idx="2">
                  <c:v>69.289994227161216</c:v>
                </c:pt>
                <c:pt idx="3">
                  <c:v>48.227660412563488</c:v>
                </c:pt>
                <c:pt idx="4">
                  <c:v>48.861624087680362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B6-441F-BE9E-23207AC2901D}"/>
            </c:ext>
          </c:extLst>
        </c:ser>
        <c:ser>
          <c:idx val="1"/>
          <c:order val="1"/>
          <c:tx>
            <c:strRef>
              <c:f>CHARTS!$X$39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CHARTS!$X$40:$X$44</c:f>
              <c:numCache>
                <c:formatCode>0.00</c:formatCode>
                <c:ptCount val="5"/>
                <c:pt idx="0">
                  <c:v>50.470716196136706</c:v>
                </c:pt>
                <c:pt idx="1">
                  <c:v>27.272033619587063</c:v>
                </c:pt>
                <c:pt idx="2">
                  <c:v>30.294933157286678</c:v>
                </c:pt>
                <c:pt idx="3">
                  <c:v>46.706459177147735</c:v>
                </c:pt>
                <c:pt idx="4">
                  <c:v>38.686035537539546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B6-441F-BE9E-23207AC2901D}"/>
            </c:ext>
          </c:extLst>
        </c:ser>
        <c:ser>
          <c:idx val="2"/>
          <c:order val="2"/>
          <c:tx>
            <c:strRef>
              <c:f>CHARTS!$Y$39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CHARTS!$Y$40:$Y$44</c:f>
              <c:numCache>
                <c:formatCode>0.00</c:formatCode>
                <c:ptCount val="5"/>
                <c:pt idx="0">
                  <c:v>40.666903999050668</c:v>
                </c:pt>
                <c:pt idx="1">
                  <c:v>29.695161828495166</c:v>
                </c:pt>
                <c:pt idx="2">
                  <c:v>35.425545654139221</c:v>
                </c:pt>
                <c:pt idx="3">
                  <c:v>46.706459177147735</c:v>
                </c:pt>
                <c:pt idx="4">
                  <c:v>38.123517664708196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B6-441F-BE9E-23207AC290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2358992"/>
        <c:axId val="1372361168"/>
      </c:barChart>
      <c:catAx>
        <c:axId val="137235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61168"/>
        <c:crosses val="autoZero"/>
        <c:auto val="1"/>
        <c:lblAlgn val="ctr"/>
        <c:lblOffset val="100"/>
        <c:noMultiLvlLbl val="0"/>
      </c:catAx>
      <c:valAx>
        <c:axId val="13723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5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CHARTS!$Z$39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CHARTS!$Z$40:$Z$44</c:f>
              <c:numCache>
                <c:formatCode>0.00</c:formatCode>
                <c:ptCount val="5"/>
                <c:pt idx="0">
                  <c:v>25.042553191489361</c:v>
                </c:pt>
                <c:pt idx="1">
                  <c:v>62.314508545294075</c:v>
                </c:pt>
                <c:pt idx="2">
                  <c:v>49.369708324893658</c:v>
                </c:pt>
                <c:pt idx="3">
                  <c:v>49.794633999397526</c:v>
                </c:pt>
                <c:pt idx="4">
                  <c:v>46.630351015268651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DE-4D61-8121-CE1308506AFA}"/>
            </c:ext>
          </c:extLst>
        </c:ser>
        <c:ser>
          <c:idx val="1"/>
          <c:order val="1"/>
          <c:tx>
            <c:strRef>
              <c:f>CHARTS!$AA$39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CHARTS!$AA$40:$AA$44</c:f>
              <c:numCache>
                <c:formatCode>0.00</c:formatCode>
                <c:ptCount val="5"/>
                <c:pt idx="0">
                  <c:v>46.38499514929395</c:v>
                </c:pt>
                <c:pt idx="1">
                  <c:v>45.499206593406598</c:v>
                </c:pt>
                <c:pt idx="2">
                  <c:v>58.598805664562363</c:v>
                </c:pt>
                <c:pt idx="3">
                  <c:v>52.870011316484344</c:v>
                </c:pt>
                <c:pt idx="4">
                  <c:v>50.838254680936814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DE-4D61-8121-CE1308506AFA}"/>
            </c:ext>
          </c:extLst>
        </c:ser>
        <c:ser>
          <c:idx val="2"/>
          <c:order val="2"/>
          <c:tx>
            <c:strRef>
              <c:f>CHARTS!$AB$39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CHARTS!$AB$40:$AB$44</c:f>
              <c:numCache>
                <c:formatCode>0.00</c:formatCode>
                <c:ptCount val="5"/>
                <c:pt idx="0">
                  <c:v>42.864112912632685</c:v>
                </c:pt>
                <c:pt idx="1">
                  <c:v>48.494851015568614</c:v>
                </c:pt>
                <c:pt idx="2">
                  <c:v>53.689908735332466</c:v>
                </c:pt>
                <c:pt idx="3">
                  <c:v>57.913497366830697</c:v>
                </c:pt>
                <c:pt idx="4">
                  <c:v>50.740592507591117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0DE-4D61-8121-CE1308506A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2360080"/>
        <c:axId val="1372361712"/>
      </c:barChart>
      <c:catAx>
        <c:axId val="137236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61712"/>
        <c:crosses val="autoZero"/>
        <c:auto val="1"/>
        <c:lblAlgn val="ctr"/>
        <c:lblOffset val="100"/>
        <c:noMultiLvlLbl val="0"/>
      </c:catAx>
      <c:valAx>
        <c:axId val="13723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6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BaseFeat_HoE!$R$186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BaseFeat_HoE!$O$187:$P$211</c:f>
              <c:multiLvlStrCache>
                <c:ptCount val="25"/>
                <c:lvl>
                  <c:pt idx="0">
                    <c:v>ALL</c:v>
                  </c:pt>
                  <c:pt idx="1">
                    <c:v>RF1</c:v>
                  </c:pt>
                  <c:pt idx="2">
                    <c:v>RF2</c:v>
                  </c:pt>
                  <c:pt idx="3">
                    <c:v>RF3</c:v>
                  </c:pt>
                  <c:pt idx="4">
                    <c:v>RF4</c:v>
                  </c:pt>
                  <c:pt idx="5">
                    <c:v>ALL</c:v>
                  </c:pt>
                  <c:pt idx="6">
                    <c:v>RF1</c:v>
                  </c:pt>
                  <c:pt idx="7">
                    <c:v>RF2</c:v>
                  </c:pt>
                  <c:pt idx="8">
                    <c:v>RF3</c:v>
                  </c:pt>
                  <c:pt idx="9">
                    <c:v>RF4</c:v>
                  </c:pt>
                  <c:pt idx="10">
                    <c:v>ALL</c:v>
                  </c:pt>
                  <c:pt idx="11">
                    <c:v>RF1</c:v>
                  </c:pt>
                  <c:pt idx="12">
                    <c:v>RF2</c:v>
                  </c:pt>
                  <c:pt idx="13">
                    <c:v>RF3</c:v>
                  </c:pt>
                  <c:pt idx="14">
                    <c:v>RF4</c:v>
                  </c:pt>
                  <c:pt idx="15">
                    <c:v>ALL</c:v>
                  </c:pt>
                  <c:pt idx="16">
                    <c:v>RF1</c:v>
                  </c:pt>
                  <c:pt idx="17">
                    <c:v>RF2</c:v>
                  </c:pt>
                  <c:pt idx="18">
                    <c:v>RF3</c:v>
                  </c:pt>
                  <c:pt idx="19">
                    <c:v>RF4</c:v>
                  </c:pt>
                  <c:pt idx="20">
                    <c:v>ALL</c:v>
                  </c:pt>
                  <c:pt idx="21">
                    <c:v>RF1</c:v>
                  </c:pt>
                  <c:pt idx="22">
                    <c:v>RF2</c:v>
                  </c:pt>
                  <c:pt idx="23">
                    <c:v>RF3</c:v>
                  </c:pt>
                  <c:pt idx="24">
                    <c:v>RF4</c:v>
                  </c:pt>
                </c:lvl>
                <c:lvl>
                  <c:pt idx="0">
                    <c:v>AP</c:v>
                  </c:pt>
                  <c:pt idx="5">
                    <c:v>AT</c:v>
                  </c:pt>
                  <c:pt idx="10">
                    <c:v>PL</c:v>
                  </c:pt>
                  <c:pt idx="15">
                    <c:v>SE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BaseFeat_HoE!$R$187:$R$211</c:f>
              <c:numCache>
                <c:formatCode>0.00</c:formatCode>
                <c:ptCount val="25"/>
                <c:pt idx="0">
                  <c:v>23.54</c:v>
                </c:pt>
                <c:pt idx="1">
                  <c:v>69.239999999999995</c:v>
                </c:pt>
                <c:pt idx="2">
                  <c:v>35.04</c:v>
                </c:pt>
                <c:pt idx="3">
                  <c:v>45.7</c:v>
                </c:pt>
                <c:pt idx="4">
                  <c:v>47.83</c:v>
                </c:pt>
                <c:pt idx="5">
                  <c:v>62.49</c:v>
                </c:pt>
                <c:pt idx="6">
                  <c:v>63.61</c:v>
                </c:pt>
                <c:pt idx="7">
                  <c:v>56.12</c:v>
                </c:pt>
                <c:pt idx="8">
                  <c:v>45.73</c:v>
                </c:pt>
                <c:pt idx="9">
                  <c:v>18.45</c:v>
                </c:pt>
                <c:pt idx="10">
                  <c:v>49.25</c:v>
                </c:pt>
                <c:pt idx="11">
                  <c:v>36.130000000000003</c:v>
                </c:pt>
                <c:pt idx="12">
                  <c:v>38.61</c:v>
                </c:pt>
                <c:pt idx="13">
                  <c:v>50.98</c:v>
                </c:pt>
                <c:pt idx="14">
                  <c:v>41.12</c:v>
                </c:pt>
                <c:pt idx="15">
                  <c:v>49.66</c:v>
                </c:pt>
                <c:pt idx="16">
                  <c:v>15.96</c:v>
                </c:pt>
                <c:pt idx="17">
                  <c:v>45.97</c:v>
                </c:pt>
                <c:pt idx="18">
                  <c:v>49.76</c:v>
                </c:pt>
                <c:pt idx="19">
                  <c:v>11.74</c:v>
                </c:pt>
                <c:pt idx="20">
                  <c:v>46.234999999999999</c:v>
                </c:pt>
                <c:pt idx="21">
                  <c:v>46.234999999999999</c:v>
                </c:pt>
                <c:pt idx="22">
                  <c:v>43.934999999999995</c:v>
                </c:pt>
                <c:pt idx="23">
                  <c:v>48.042499999999997</c:v>
                </c:pt>
                <c:pt idx="24">
                  <c:v>29.785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BE-4FE9-94BA-4112341492DC}"/>
            </c:ext>
          </c:extLst>
        </c:ser>
        <c:ser>
          <c:idx val="2"/>
          <c:order val="2"/>
          <c:tx>
            <c:strRef>
              <c:f>BaseFeat_HoE!$S$186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BaseFeat_HoE!$O$187:$P$211</c:f>
              <c:multiLvlStrCache>
                <c:ptCount val="25"/>
                <c:lvl>
                  <c:pt idx="0">
                    <c:v>ALL</c:v>
                  </c:pt>
                  <c:pt idx="1">
                    <c:v>RF1</c:v>
                  </c:pt>
                  <c:pt idx="2">
                    <c:v>RF2</c:v>
                  </c:pt>
                  <c:pt idx="3">
                    <c:v>RF3</c:v>
                  </c:pt>
                  <c:pt idx="4">
                    <c:v>RF4</c:v>
                  </c:pt>
                  <c:pt idx="5">
                    <c:v>ALL</c:v>
                  </c:pt>
                  <c:pt idx="6">
                    <c:v>RF1</c:v>
                  </c:pt>
                  <c:pt idx="7">
                    <c:v>RF2</c:v>
                  </c:pt>
                  <c:pt idx="8">
                    <c:v>RF3</c:v>
                  </c:pt>
                  <c:pt idx="9">
                    <c:v>RF4</c:v>
                  </c:pt>
                  <c:pt idx="10">
                    <c:v>ALL</c:v>
                  </c:pt>
                  <c:pt idx="11">
                    <c:v>RF1</c:v>
                  </c:pt>
                  <c:pt idx="12">
                    <c:v>RF2</c:v>
                  </c:pt>
                  <c:pt idx="13">
                    <c:v>RF3</c:v>
                  </c:pt>
                  <c:pt idx="14">
                    <c:v>RF4</c:v>
                  </c:pt>
                  <c:pt idx="15">
                    <c:v>ALL</c:v>
                  </c:pt>
                  <c:pt idx="16">
                    <c:v>RF1</c:v>
                  </c:pt>
                  <c:pt idx="17">
                    <c:v>RF2</c:v>
                  </c:pt>
                  <c:pt idx="18">
                    <c:v>RF3</c:v>
                  </c:pt>
                  <c:pt idx="19">
                    <c:v>RF4</c:v>
                  </c:pt>
                  <c:pt idx="20">
                    <c:v>ALL</c:v>
                  </c:pt>
                  <c:pt idx="21">
                    <c:v>RF1</c:v>
                  </c:pt>
                  <c:pt idx="22">
                    <c:v>RF2</c:v>
                  </c:pt>
                  <c:pt idx="23">
                    <c:v>RF3</c:v>
                  </c:pt>
                  <c:pt idx="24">
                    <c:v>RF4</c:v>
                  </c:pt>
                </c:lvl>
                <c:lvl>
                  <c:pt idx="0">
                    <c:v>AP</c:v>
                  </c:pt>
                  <c:pt idx="5">
                    <c:v>AT</c:v>
                  </c:pt>
                  <c:pt idx="10">
                    <c:v>PL</c:v>
                  </c:pt>
                  <c:pt idx="15">
                    <c:v>SE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BaseFeat_HoE!$S$187:$S$211</c:f>
              <c:numCache>
                <c:formatCode>0.00</c:formatCode>
                <c:ptCount val="25"/>
                <c:pt idx="0">
                  <c:v>26.75</c:v>
                </c:pt>
                <c:pt idx="1">
                  <c:v>69.94</c:v>
                </c:pt>
                <c:pt idx="2">
                  <c:v>50</c:v>
                </c:pt>
                <c:pt idx="3">
                  <c:v>50</c:v>
                </c:pt>
                <c:pt idx="4">
                  <c:v>47.84</c:v>
                </c:pt>
                <c:pt idx="5">
                  <c:v>62.14</c:v>
                </c:pt>
                <c:pt idx="6">
                  <c:v>62.46</c:v>
                </c:pt>
                <c:pt idx="7">
                  <c:v>55.84</c:v>
                </c:pt>
                <c:pt idx="8">
                  <c:v>50</c:v>
                </c:pt>
                <c:pt idx="9">
                  <c:v>50</c:v>
                </c:pt>
                <c:pt idx="10">
                  <c:v>49.49</c:v>
                </c:pt>
                <c:pt idx="11">
                  <c:v>50</c:v>
                </c:pt>
                <c:pt idx="12">
                  <c:v>50</c:v>
                </c:pt>
                <c:pt idx="13">
                  <c:v>50.21</c:v>
                </c:pt>
                <c:pt idx="14">
                  <c:v>40.25</c:v>
                </c:pt>
                <c:pt idx="15">
                  <c:v>49.93</c:v>
                </c:pt>
                <c:pt idx="16">
                  <c:v>50</c:v>
                </c:pt>
                <c:pt idx="17">
                  <c:v>45.07</c:v>
                </c:pt>
                <c:pt idx="18">
                  <c:v>50</c:v>
                </c:pt>
                <c:pt idx="19">
                  <c:v>50</c:v>
                </c:pt>
                <c:pt idx="20">
                  <c:v>47.077500000000001</c:v>
                </c:pt>
                <c:pt idx="21">
                  <c:v>58.1</c:v>
                </c:pt>
                <c:pt idx="22">
                  <c:v>50.227499999999999</c:v>
                </c:pt>
                <c:pt idx="23">
                  <c:v>50.052500000000002</c:v>
                </c:pt>
                <c:pt idx="24">
                  <c:v>47.022500000000001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BE-4FE9-94BA-4112341492DC}"/>
            </c:ext>
          </c:extLst>
        </c:ser>
        <c:ser>
          <c:idx val="3"/>
          <c:order val="3"/>
          <c:tx>
            <c:strRef>
              <c:f>BaseFeat_HoE!$T$186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BaseFeat_HoE!$O$187:$P$211</c:f>
              <c:multiLvlStrCache>
                <c:ptCount val="25"/>
                <c:lvl>
                  <c:pt idx="0">
                    <c:v>ALL</c:v>
                  </c:pt>
                  <c:pt idx="1">
                    <c:v>RF1</c:v>
                  </c:pt>
                  <c:pt idx="2">
                    <c:v>RF2</c:v>
                  </c:pt>
                  <c:pt idx="3">
                    <c:v>RF3</c:v>
                  </c:pt>
                  <c:pt idx="4">
                    <c:v>RF4</c:v>
                  </c:pt>
                  <c:pt idx="5">
                    <c:v>ALL</c:v>
                  </c:pt>
                  <c:pt idx="6">
                    <c:v>RF1</c:v>
                  </c:pt>
                  <c:pt idx="7">
                    <c:v>RF2</c:v>
                  </c:pt>
                  <c:pt idx="8">
                    <c:v>RF3</c:v>
                  </c:pt>
                  <c:pt idx="9">
                    <c:v>RF4</c:v>
                  </c:pt>
                  <c:pt idx="10">
                    <c:v>ALL</c:v>
                  </c:pt>
                  <c:pt idx="11">
                    <c:v>RF1</c:v>
                  </c:pt>
                  <c:pt idx="12">
                    <c:v>RF2</c:v>
                  </c:pt>
                  <c:pt idx="13">
                    <c:v>RF3</c:v>
                  </c:pt>
                  <c:pt idx="14">
                    <c:v>RF4</c:v>
                  </c:pt>
                  <c:pt idx="15">
                    <c:v>ALL</c:v>
                  </c:pt>
                  <c:pt idx="16">
                    <c:v>RF1</c:v>
                  </c:pt>
                  <c:pt idx="17">
                    <c:v>RF2</c:v>
                  </c:pt>
                  <c:pt idx="18">
                    <c:v>RF3</c:v>
                  </c:pt>
                  <c:pt idx="19">
                    <c:v>RF4</c:v>
                  </c:pt>
                  <c:pt idx="20">
                    <c:v>ALL</c:v>
                  </c:pt>
                  <c:pt idx="21">
                    <c:v>RF1</c:v>
                  </c:pt>
                  <c:pt idx="22">
                    <c:v>RF2</c:v>
                  </c:pt>
                  <c:pt idx="23">
                    <c:v>RF3</c:v>
                  </c:pt>
                  <c:pt idx="24">
                    <c:v>RF4</c:v>
                  </c:pt>
                </c:lvl>
                <c:lvl>
                  <c:pt idx="0">
                    <c:v>AP</c:v>
                  </c:pt>
                  <c:pt idx="5">
                    <c:v>AT</c:v>
                  </c:pt>
                  <c:pt idx="10">
                    <c:v>PL</c:v>
                  </c:pt>
                  <c:pt idx="15">
                    <c:v>SE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BaseFeat_HoE!$T$187:$T$211</c:f>
              <c:numCache>
                <c:formatCode>0.00</c:formatCode>
                <c:ptCount val="25"/>
                <c:pt idx="0">
                  <c:v>25.042553191489361</c:v>
                </c:pt>
                <c:pt idx="1">
                  <c:v>69.588239689610575</c:v>
                </c:pt>
                <c:pt idx="2">
                  <c:v>41.204139228598308</c:v>
                </c:pt>
                <c:pt idx="3">
                  <c:v>47.753396029258099</c:v>
                </c:pt>
                <c:pt idx="4">
                  <c:v>47.834999477370133</c:v>
                </c:pt>
                <c:pt idx="5">
                  <c:v>62.314508545294075</c:v>
                </c:pt>
                <c:pt idx="6">
                  <c:v>63.029754898072504</c:v>
                </c:pt>
                <c:pt idx="7">
                  <c:v>55.979649874955335</c:v>
                </c:pt>
                <c:pt idx="8">
                  <c:v>47.769769142379616</c:v>
                </c:pt>
                <c:pt idx="9">
                  <c:v>26.953981008035061</c:v>
                </c:pt>
                <c:pt idx="10">
                  <c:v>49.369708324893658</c:v>
                </c:pt>
                <c:pt idx="11">
                  <c:v>41.948217810286785</c:v>
                </c:pt>
                <c:pt idx="12">
                  <c:v>43.572960162509872</c:v>
                </c:pt>
                <c:pt idx="13">
                  <c:v>50.592070362684055</c:v>
                </c:pt>
                <c:pt idx="14">
                  <c:v>40.680349022981439</c:v>
                </c:pt>
                <c:pt idx="15">
                  <c:v>49.794633999397526</c:v>
                </c:pt>
                <c:pt idx="16">
                  <c:v>24.196482716798055</c:v>
                </c:pt>
                <c:pt idx="17">
                  <c:v>45.515551405975394</c:v>
                </c:pt>
                <c:pt idx="18">
                  <c:v>49.879711307137136</c:v>
                </c:pt>
                <c:pt idx="19">
                  <c:v>19.015225137674118</c:v>
                </c:pt>
                <c:pt idx="20">
                  <c:v>46.630351015268651</c:v>
                </c:pt>
                <c:pt idx="21">
                  <c:v>49.690673778691981</c:v>
                </c:pt>
                <c:pt idx="22">
                  <c:v>46.568075168009727</c:v>
                </c:pt>
                <c:pt idx="23">
                  <c:v>48.998736710364724</c:v>
                </c:pt>
                <c:pt idx="24">
                  <c:v>33.621138661515189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BBE-4FE9-94BA-41123414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153232"/>
        <c:axId val="140914942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BaseFeat_HoE!$Q$186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BaseFeat_HoE!$O$187:$P$211</c15:sqref>
                        </c15:formulaRef>
                      </c:ext>
                    </c:extLst>
                    <c:multiLvlStrCache>
                      <c:ptCount val="25"/>
                      <c:lvl>
                        <c:pt idx="0">
                          <c:v>ALL</c:v>
                        </c:pt>
                        <c:pt idx="1">
                          <c:v>RF1</c:v>
                        </c:pt>
                        <c:pt idx="2">
                          <c:v>RF2</c:v>
                        </c:pt>
                        <c:pt idx="3">
                          <c:v>RF3</c:v>
                        </c:pt>
                        <c:pt idx="4">
                          <c:v>RF4</c:v>
                        </c:pt>
                        <c:pt idx="5">
                          <c:v>ALL</c:v>
                        </c:pt>
                        <c:pt idx="6">
                          <c:v>RF1</c:v>
                        </c:pt>
                        <c:pt idx="7">
                          <c:v>RF2</c:v>
                        </c:pt>
                        <c:pt idx="8">
                          <c:v>RF3</c:v>
                        </c:pt>
                        <c:pt idx="9">
                          <c:v>RF4</c:v>
                        </c:pt>
                        <c:pt idx="10">
                          <c:v>ALL</c:v>
                        </c:pt>
                        <c:pt idx="11">
                          <c:v>RF1</c:v>
                        </c:pt>
                        <c:pt idx="12">
                          <c:v>RF2</c:v>
                        </c:pt>
                        <c:pt idx="13">
                          <c:v>RF3</c:v>
                        </c:pt>
                        <c:pt idx="14">
                          <c:v>RF4</c:v>
                        </c:pt>
                        <c:pt idx="15">
                          <c:v>ALL</c:v>
                        </c:pt>
                        <c:pt idx="16">
                          <c:v>RF1</c:v>
                        </c:pt>
                        <c:pt idx="17">
                          <c:v>RF2</c:v>
                        </c:pt>
                        <c:pt idx="18">
                          <c:v>RF3</c:v>
                        </c:pt>
                        <c:pt idx="19">
                          <c:v>RF4</c:v>
                        </c:pt>
                        <c:pt idx="20">
                          <c:v>ALL</c:v>
                        </c:pt>
                        <c:pt idx="21">
                          <c:v>RF1</c:v>
                        </c:pt>
                        <c:pt idx="22">
                          <c:v>RF2</c:v>
                        </c:pt>
                        <c:pt idx="23">
                          <c:v>RF3</c:v>
                        </c:pt>
                        <c:pt idx="24">
                          <c:v>RF4</c:v>
                        </c:pt>
                      </c:lvl>
                      <c:lvl>
                        <c:pt idx="0">
                          <c:v>AP</c:v>
                        </c:pt>
                        <c:pt idx="5">
                          <c:v>AT</c:v>
                        </c:pt>
                        <c:pt idx="10">
                          <c:v>PL</c:v>
                        </c:pt>
                        <c:pt idx="15">
                          <c:v>SE</c:v>
                        </c:pt>
                        <c:pt idx="20">
                          <c:v>AVG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BaseFeat_HoE!$Q$187:$Q$211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28.94</c:v>
                      </c:pt>
                      <c:pt idx="1">
                        <c:v>72.87</c:v>
                      </c:pt>
                      <c:pt idx="2">
                        <c:v>70.09</c:v>
                      </c:pt>
                      <c:pt idx="3">
                        <c:v>91.39</c:v>
                      </c:pt>
                      <c:pt idx="4">
                        <c:v>47.62</c:v>
                      </c:pt>
                      <c:pt idx="5">
                        <c:v>66.930000000000007</c:v>
                      </c:pt>
                      <c:pt idx="6">
                        <c:v>63.89</c:v>
                      </c:pt>
                      <c:pt idx="7">
                        <c:v>55.47</c:v>
                      </c:pt>
                      <c:pt idx="8">
                        <c:v>91.46</c:v>
                      </c:pt>
                      <c:pt idx="9">
                        <c:v>36.9</c:v>
                      </c:pt>
                      <c:pt idx="10">
                        <c:v>50.41</c:v>
                      </c:pt>
                      <c:pt idx="11">
                        <c:v>72.27</c:v>
                      </c:pt>
                      <c:pt idx="12">
                        <c:v>77.22</c:v>
                      </c:pt>
                      <c:pt idx="13">
                        <c:v>87.16</c:v>
                      </c:pt>
                      <c:pt idx="14">
                        <c:v>39.909999999999997</c:v>
                      </c:pt>
                      <c:pt idx="15">
                        <c:v>71.45</c:v>
                      </c:pt>
                      <c:pt idx="16">
                        <c:v>31.92</c:v>
                      </c:pt>
                      <c:pt idx="17">
                        <c:v>47.4</c:v>
                      </c:pt>
                      <c:pt idx="18">
                        <c:v>99.52</c:v>
                      </c:pt>
                      <c:pt idx="19">
                        <c:v>23.48</c:v>
                      </c:pt>
                      <c:pt idx="20">
                        <c:v>54.432500000000005</c:v>
                      </c:pt>
                      <c:pt idx="21">
                        <c:v>60.237499999999997</c:v>
                      </c:pt>
                      <c:pt idx="22">
                        <c:v>62.545000000000002</c:v>
                      </c:pt>
                      <c:pt idx="23">
                        <c:v>92.382499999999993</c:v>
                      </c:pt>
                      <c:pt idx="24">
                        <c:v>36.977499999999999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0BBE-4FE9-94BA-4112341492DC}"/>
                  </c:ext>
                </c:extLst>
              </c15:ser>
            </c15:filteredBarSeries>
          </c:ext>
        </c:extLst>
      </c:barChart>
      <c:catAx>
        <c:axId val="140915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49424"/>
        <c:crosses val="autoZero"/>
        <c:auto val="1"/>
        <c:lblAlgn val="ctr"/>
        <c:lblOffset val="100"/>
        <c:noMultiLvlLbl val="0"/>
      </c:catAx>
      <c:valAx>
        <c:axId val="14091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5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CHARTS!$AC$39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CHARTS!$AC$40:$AC$44</c:f>
              <c:numCache>
                <c:formatCode>0.00</c:formatCode>
                <c:ptCount val="5"/>
                <c:pt idx="0">
                  <c:v>69.588239689610575</c:v>
                </c:pt>
                <c:pt idx="1">
                  <c:v>63.029754898072504</c:v>
                </c:pt>
                <c:pt idx="2">
                  <c:v>41.948217810286785</c:v>
                </c:pt>
                <c:pt idx="3">
                  <c:v>24.196482716798055</c:v>
                </c:pt>
                <c:pt idx="4">
                  <c:v>49.690673778691981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EF-488D-BB44-F202F99FE80A}"/>
            </c:ext>
          </c:extLst>
        </c:ser>
        <c:ser>
          <c:idx val="1"/>
          <c:order val="1"/>
          <c:tx>
            <c:strRef>
              <c:f>CHARTS!$AD$39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CHARTS!$AD$40:$AD$44</c:f>
              <c:numCache>
                <c:formatCode>0.00</c:formatCode>
                <c:ptCount val="5"/>
                <c:pt idx="0">
                  <c:v>46.711694734598176</c:v>
                </c:pt>
                <c:pt idx="1">
                  <c:v>35.525467440361062</c:v>
                </c:pt>
                <c:pt idx="2">
                  <c:v>32.279081064356433</c:v>
                </c:pt>
                <c:pt idx="3">
                  <c:v>40.504521656354122</c:v>
                </c:pt>
                <c:pt idx="4">
                  <c:v>38.75519122391745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EF-488D-BB44-F202F99FE80A}"/>
            </c:ext>
          </c:extLst>
        </c:ser>
        <c:ser>
          <c:idx val="2"/>
          <c:order val="2"/>
          <c:tx>
            <c:strRef>
              <c:f>CHARTS!$AE$39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CHARTS!$AE$40:$AE$44</c:f>
              <c:numCache>
                <c:formatCode>0.00</c:formatCode>
                <c:ptCount val="5"/>
                <c:pt idx="0">
                  <c:v>30.405971719829004</c:v>
                </c:pt>
                <c:pt idx="1">
                  <c:v>30.986887508626637</c:v>
                </c:pt>
                <c:pt idx="2">
                  <c:v>41.948217810286785</c:v>
                </c:pt>
                <c:pt idx="3">
                  <c:v>40.504521656354122</c:v>
                </c:pt>
                <c:pt idx="4">
                  <c:v>35.961399673774139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EF-488D-BB44-F202F99FE8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2363888"/>
        <c:axId val="1512922848"/>
      </c:barChart>
      <c:catAx>
        <c:axId val="137236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22848"/>
        <c:crosses val="autoZero"/>
        <c:auto val="1"/>
        <c:lblAlgn val="ctr"/>
        <c:lblOffset val="100"/>
        <c:noMultiLvlLbl val="0"/>
      </c:catAx>
      <c:valAx>
        <c:axId val="15129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3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77880627516977E-2"/>
          <c:y val="7.5505218743060182E-2"/>
          <c:w val="0.90563026186612172"/>
          <c:h val="0.71986060036965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CHARTS!$AF$39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CHARTS!$AF$40:$AF$44</c:f>
              <c:numCache>
                <c:formatCode>0.00</c:formatCode>
                <c:ptCount val="5"/>
                <c:pt idx="0">
                  <c:v>41.204139228598308</c:v>
                </c:pt>
                <c:pt idx="1">
                  <c:v>55.979649874955335</c:v>
                </c:pt>
                <c:pt idx="2">
                  <c:v>43.572960162509872</c:v>
                </c:pt>
                <c:pt idx="3">
                  <c:v>45.515551405975394</c:v>
                </c:pt>
                <c:pt idx="4">
                  <c:v>46.568075168009727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7F-4E7A-B110-C74806CE1499}"/>
            </c:ext>
          </c:extLst>
        </c:ser>
        <c:ser>
          <c:idx val="1"/>
          <c:order val="1"/>
          <c:tx>
            <c:strRef>
              <c:f>CHARTS!$AG$39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CHARTS!$AG$40:$AG$44</c:f>
              <c:numCache>
                <c:formatCode>0.00</c:formatCode>
                <c:ptCount val="5"/>
                <c:pt idx="0">
                  <c:v>23.747459685863873</c:v>
                </c:pt>
                <c:pt idx="1">
                  <c:v>34.05433922447903</c:v>
                </c:pt>
                <c:pt idx="2">
                  <c:v>18.659644850329784</c:v>
                </c:pt>
                <c:pt idx="3">
                  <c:v>41.731732898263601</c:v>
                </c:pt>
                <c:pt idx="4">
                  <c:v>29.548294164734074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7F-4E7A-B110-C74806CE1499}"/>
            </c:ext>
          </c:extLst>
        </c:ser>
        <c:ser>
          <c:idx val="2"/>
          <c:order val="2"/>
          <c:tx>
            <c:strRef>
              <c:f>CHARTS!$AH$39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CHARTS!$AH$40:$AH$44</c:f>
              <c:numCache>
                <c:formatCode>0.00</c:formatCode>
                <c:ptCount val="5"/>
                <c:pt idx="0">
                  <c:v>23.029556650246302</c:v>
                </c:pt>
                <c:pt idx="1">
                  <c:v>34.05433922447903</c:v>
                </c:pt>
                <c:pt idx="2">
                  <c:v>43.518424502712477</c:v>
                </c:pt>
                <c:pt idx="3">
                  <c:v>41.731732898263601</c:v>
                </c:pt>
                <c:pt idx="4">
                  <c:v>35.583513318925355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7F-4E7A-B110-C74806CE14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2919040"/>
        <c:axId val="1512916864"/>
      </c:barChart>
      <c:catAx>
        <c:axId val="15129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16864"/>
        <c:crosses val="autoZero"/>
        <c:auto val="1"/>
        <c:lblAlgn val="ctr"/>
        <c:lblOffset val="100"/>
        <c:noMultiLvlLbl val="0"/>
      </c:catAx>
      <c:valAx>
        <c:axId val="15129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77880627516977E-2"/>
          <c:y val="7.5505218743060182E-2"/>
          <c:w val="0.90563026186612172"/>
          <c:h val="0.71986060036965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CHARTS!$AI$39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CHARTS!$AI$40:$AI$44</c:f>
              <c:numCache>
                <c:formatCode>0.00</c:formatCode>
                <c:ptCount val="5"/>
                <c:pt idx="0">
                  <c:v>47.753396029258099</c:v>
                </c:pt>
                <c:pt idx="1">
                  <c:v>47.769769142379616</c:v>
                </c:pt>
                <c:pt idx="2">
                  <c:v>50.592070362684055</c:v>
                </c:pt>
                <c:pt idx="3">
                  <c:v>49.879711307137136</c:v>
                </c:pt>
                <c:pt idx="4">
                  <c:v>48.998736710364724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A6-4DB4-8E9E-2484194971BA}"/>
            </c:ext>
          </c:extLst>
        </c:ser>
        <c:ser>
          <c:idx val="1"/>
          <c:order val="1"/>
          <c:tx>
            <c:strRef>
              <c:f>CHARTS!$AJ$39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CHARTS!$AJ$40:$AJ$44</c:f>
              <c:numCache>
                <c:formatCode>0.00</c:formatCode>
                <c:ptCount val="5"/>
                <c:pt idx="0">
                  <c:v>47.753396029258099</c:v>
                </c:pt>
                <c:pt idx="1">
                  <c:v>47.769769142379616</c:v>
                </c:pt>
                <c:pt idx="2">
                  <c:v>47.017060506516898</c:v>
                </c:pt>
                <c:pt idx="3">
                  <c:v>49.879711307137136</c:v>
                </c:pt>
                <c:pt idx="4">
                  <c:v>48.104984246322942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A6-4DB4-8E9E-2484194971BA}"/>
            </c:ext>
          </c:extLst>
        </c:ser>
        <c:ser>
          <c:idx val="2"/>
          <c:order val="2"/>
          <c:tx>
            <c:strRef>
              <c:f>CHARTS!$AK$39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CHARTS!$AK$40:$AK$44</c:f>
              <c:numCache>
                <c:formatCode>0.00</c:formatCode>
                <c:ptCount val="5"/>
                <c:pt idx="0">
                  <c:v>47.753396029258099</c:v>
                </c:pt>
                <c:pt idx="1">
                  <c:v>47.769769142379616</c:v>
                </c:pt>
                <c:pt idx="2">
                  <c:v>47.017060506516898</c:v>
                </c:pt>
                <c:pt idx="3">
                  <c:v>49.879711307137136</c:v>
                </c:pt>
                <c:pt idx="4">
                  <c:v>48.104984246322942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6A6-4DB4-8E9E-2484194971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2920128"/>
        <c:axId val="1512920672"/>
      </c:barChart>
      <c:catAx>
        <c:axId val="15129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20672"/>
        <c:crosses val="autoZero"/>
        <c:auto val="1"/>
        <c:lblAlgn val="ctr"/>
        <c:lblOffset val="100"/>
        <c:noMultiLvlLbl val="0"/>
      </c:catAx>
      <c:valAx>
        <c:axId val="15129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CHARTS!$AL$39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CHARTS!$AL$40:$AL$44</c:f>
              <c:numCache>
                <c:formatCode>0.00</c:formatCode>
                <c:ptCount val="5"/>
                <c:pt idx="0">
                  <c:v>47.834999477370133</c:v>
                </c:pt>
                <c:pt idx="1">
                  <c:v>26.953981008035061</c:v>
                </c:pt>
                <c:pt idx="2">
                  <c:v>40.680349022981439</c:v>
                </c:pt>
                <c:pt idx="3">
                  <c:v>19.015225137674118</c:v>
                </c:pt>
                <c:pt idx="4">
                  <c:v>33.621138661515189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F2-4763-948B-540B31918A44}"/>
            </c:ext>
          </c:extLst>
        </c:ser>
        <c:ser>
          <c:idx val="1"/>
          <c:order val="1"/>
          <c:tx>
            <c:strRef>
              <c:f>CHARTS!$AM$39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CHARTS!$AM$40:$AM$44</c:f>
              <c:numCache>
                <c:formatCode>0.00</c:formatCode>
                <c:ptCount val="5"/>
                <c:pt idx="0">
                  <c:v>51.073625061184536</c:v>
                </c:pt>
                <c:pt idx="1">
                  <c:v>35.586940151728008</c:v>
                </c:pt>
                <c:pt idx="2">
                  <c:v>39.551996131060328</c:v>
                </c:pt>
                <c:pt idx="3">
                  <c:v>43.349195558576938</c:v>
                </c:pt>
                <c:pt idx="4">
                  <c:v>42.390439225637451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2F2-4763-948B-540B31918A44}"/>
            </c:ext>
          </c:extLst>
        </c:ser>
        <c:ser>
          <c:idx val="2"/>
          <c:order val="2"/>
          <c:tx>
            <c:strRef>
              <c:f>CHARTS!$AN$39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CHARTS!$A$40:$A$44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CHARTS!$AN$40:$AN$44</c:f>
              <c:numCache>
                <c:formatCode>0.00</c:formatCode>
                <c:ptCount val="5"/>
                <c:pt idx="0">
                  <c:v>34.529265418357994</c:v>
                </c:pt>
                <c:pt idx="1">
                  <c:v>34.457600464239079</c:v>
                </c:pt>
                <c:pt idx="2">
                  <c:v>39.562432007736007</c:v>
                </c:pt>
                <c:pt idx="3">
                  <c:v>43.349195558576938</c:v>
                </c:pt>
                <c:pt idx="4">
                  <c:v>37.974623362227504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2F2-4763-948B-540B31918A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2922304"/>
        <c:axId val="1512923392"/>
      </c:barChart>
      <c:catAx>
        <c:axId val="15129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23392"/>
        <c:crosses val="autoZero"/>
        <c:auto val="1"/>
        <c:lblAlgn val="ctr"/>
        <c:lblOffset val="100"/>
        <c:noMultiLvlLbl val="0"/>
      </c:catAx>
      <c:valAx>
        <c:axId val="15129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CHARTS!$B$100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CHARTS!$B$101:$B$105</c:f>
              <c:numCache>
                <c:formatCode>0.00</c:formatCode>
                <c:ptCount val="5"/>
                <c:pt idx="0">
                  <c:v>48.568332476082709</c:v>
                </c:pt>
                <c:pt idx="1">
                  <c:v>49.834959365907494</c:v>
                </c:pt>
                <c:pt idx="2">
                  <c:v>37.403719838267897</c:v>
                </c:pt>
                <c:pt idx="3">
                  <c:v>49.464321811198708</c:v>
                </c:pt>
                <c:pt idx="4">
                  <c:v>46.317833372864207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27-4257-B855-CB232B45AAC4}"/>
            </c:ext>
          </c:extLst>
        </c:ser>
        <c:ser>
          <c:idx val="1"/>
          <c:order val="1"/>
          <c:tx>
            <c:strRef>
              <c:f>CHARTS!$C$100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CHARTS!$C$101:$C$105</c:f>
              <c:numCache>
                <c:formatCode>0.00</c:formatCode>
                <c:ptCount val="5"/>
                <c:pt idx="0">
                  <c:v>45.593035908596299</c:v>
                </c:pt>
                <c:pt idx="1">
                  <c:v>49.939991990388471</c:v>
                </c:pt>
                <c:pt idx="2">
                  <c:v>37.210089993284086</c:v>
                </c:pt>
                <c:pt idx="3">
                  <c:v>49.464321811198708</c:v>
                </c:pt>
                <c:pt idx="4">
                  <c:v>45.551859925866893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427-4257-B855-CB232B45AAC4}"/>
            </c:ext>
          </c:extLst>
        </c:ser>
        <c:ser>
          <c:idx val="2"/>
          <c:order val="2"/>
          <c:tx>
            <c:strRef>
              <c:f>CHARTS!$D$100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CHARTS!$D$101:$D$105</c:f>
              <c:numCache>
                <c:formatCode>0.00</c:formatCode>
                <c:ptCount val="5"/>
                <c:pt idx="0">
                  <c:v>56.179998220007121</c:v>
                </c:pt>
                <c:pt idx="1">
                  <c:v>46.785831819638858</c:v>
                </c:pt>
                <c:pt idx="2">
                  <c:v>53.069932165065005</c:v>
                </c:pt>
                <c:pt idx="3">
                  <c:v>56.318063199005856</c:v>
                </c:pt>
                <c:pt idx="4">
                  <c:v>53.088456350929206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427-4257-B855-CB232B45AA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3296912"/>
        <c:axId val="1343304528"/>
      </c:barChart>
      <c:catAx>
        <c:axId val="13432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04528"/>
        <c:crosses val="autoZero"/>
        <c:auto val="1"/>
        <c:lblAlgn val="ctr"/>
        <c:lblOffset val="100"/>
        <c:noMultiLvlLbl val="0"/>
      </c:catAx>
      <c:valAx>
        <c:axId val="13433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CHARTS!$E$100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CHARTS!$E$101:$E$105</c:f>
              <c:numCache>
                <c:formatCode>0.00</c:formatCode>
                <c:ptCount val="5"/>
                <c:pt idx="0">
                  <c:v>50.40999801626662</c:v>
                </c:pt>
                <c:pt idx="1">
                  <c:v>52.9150850340136</c:v>
                </c:pt>
                <c:pt idx="2">
                  <c:v>56.390479567414232</c:v>
                </c:pt>
                <c:pt idx="3">
                  <c:v>49.789114279975898</c:v>
                </c:pt>
                <c:pt idx="4">
                  <c:v>52.376169224417588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E3-4DA2-AEC5-31C76F8B5749}"/>
            </c:ext>
          </c:extLst>
        </c:ser>
        <c:ser>
          <c:idx val="1"/>
          <c:order val="1"/>
          <c:tx>
            <c:strRef>
              <c:f>CHARTS!$F$100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CHARTS!$F$101:$F$105</c:f>
              <c:numCache>
                <c:formatCode>0.00</c:formatCode>
                <c:ptCount val="5"/>
                <c:pt idx="0">
                  <c:v>46.552645644040624</c:v>
                </c:pt>
                <c:pt idx="1">
                  <c:v>47.814999477151531</c:v>
                </c:pt>
                <c:pt idx="2">
                  <c:v>70.359884877771464</c:v>
                </c:pt>
                <c:pt idx="3">
                  <c:v>49.789114279975898</c:v>
                </c:pt>
                <c:pt idx="4">
                  <c:v>53.629161069734884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6E3-4DA2-AEC5-31C76F8B5749}"/>
            </c:ext>
          </c:extLst>
        </c:ser>
        <c:ser>
          <c:idx val="2"/>
          <c:order val="2"/>
          <c:tx>
            <c:strRef>
              <c:f>CHARTS!$G$100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CHARTS!$G$101:$G$105</c:f>
              <c:numCache>
                <c:formatCode>0.00</c:formatCode>
                <c:ptCount val="5"/>
                <c:pt idx="0">
                  <c:v>49.773982923154193</c:v>
                </c:pt>
                <c:pt idx="1">
                  <c:v>53.469812979240693</c:v>
                </c:pt>
                <c:pt idx="2">
                  <c:v>59.445046179680944</c:v>
                </c:pt>
                <c:pt idx="3">
                  <c:v>49.789114279975898</c:v>
                </c:pt>
                <c:pt idx="4">
                  <c:v>53.119489090512936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6E3-4DA2-AEC5-31C76F8B5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3299088"/>
        <c:axId val="1343299632"/>
      </c:barChart>
      <c:catAx>
        <c:axId val="13432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99632"/>
        <c:crosses val="autoZero"/>
        <c:auto val="1"/>
        <c:lblAlgn val="ctr"/>
        <c:lblOffset val="100"/>
        <c:noMultiLvlLbl val="0"/>
      </c:catAx>
      <c:valAx>
        <c:axId val="13432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9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CHARTS!$H$100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CHARTS!$H$101:$H$105</c:f>
              <c:numCache>
                <c:formatCode>0.00</c:formatCode>
                <c:ptCount val="5"/>
                <c:pt idx="0">
                  <c:v>53.249631924882628</c:v>
                </c:pt>
                <c:pt idx="1">
                  <c:v>42.707450245844065</c:v>
                </c:pt>
                <c:pt idx="2">
                  <c:v>35.83064601646435</c:v>
                </c:pt>
                <c:pt idx="3">
                  <c:v>49.109768956743004</c:v>
                </c:pt>
                <c:pt idx="4">
                  <c:v>45.224374285983515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73-4021-839C-BC6214E28409}"/>
            </c:ext>
          </c:extLst>
        </c:ser>
        <c:ser>
          <c:idx val="1"/>
          <c:order val="1"/>
          <c:tx>
            <c:strRef>
              <c:f>CHARTS!$I$100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CHARTS!$I$101:$I$105</c:f>
              <c:numCache>
                <c:formatCode>0.00</c:formatCode>
                <c:ptCount val="5"/>
                <c:pt idx="0">
                  <c:v>44.530729975593523</c:v>
                </c:pt>
                <c:pt idx="1">
                  <c:v>58.186823872406102</c:v>
                </c:pt>
                <c:pt idx="2">
                  <c:v>42.444796230859836</c:v>
                </c:pt>
                <c:pt idx="3">
                  <c:v>49.114593934459599</c:v>
                </c:pt>
                <c:pt idx="4">
                  <c:v>48.569236003329763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73-4021-839C-BC6214E28409}"/>
            </c:ext>
          </c:extLst>
        </c:ser>
        <c:ser>
          <c:idx val="2"/>
          <c:order val="2"/>
          <c:tx>
            <c:strRef>
              <c:f>CHARTS!$J$100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CHARTS!$J$101:$J$105</c:f>
              <c:numCache>
                <c:formatCode>0.00</c:formatCode>
                <c:ptCount val="5"/>
                <c:pt idx="0">
                  <c:v>55.901296842858422</c:v>
                </c:pt>
                <c:pt idx="1">
                  <c:v>49.039997960848289</c:v>
                </c:pt>
                <c:pt idx="2">
                  <c:v>43.810799180327862</c:v>
                </c:pt>
                <c:pt idx="3">
                  <c:v>49.114593934459599</c:v>
                </c:pt>
                <c:pt idx="4">
                  <c:v>49.466671979623541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473-4021-839C-BC6214E284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3300720"/>
        <c:axId val="1343302352"/>
      </c:barChart>
      <c:catAx>
        <c:axId val="134330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02352"/>
        <c:crosses val="autoZero"/>
        <c:auto val="1"/>
        <c:lblAlgn val="ctr"/>
        <c:lblOffset val="100"/>
        <c:noMultiLvlLbl val="0"/>
      </c:catAx>
      <c:valAx>
        <c:axId val="13433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CHARTS!$K$100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CHARTS!$K$101:$K$105</c:f>
              <c:numCache>
                <c:formatCode>0.00</c:formatCode>
                <c:ptCount val="5"/>
                <c:pt idx="0">
                  <c:v>50.519554631828981</c:v>
                </c:pt>
                <c:pt idx="1">
                  <c:v>63.241177661811669</c:v>
                </c:pt>
                <c:pt idx="2">
                  <c:v>38.964999358398558</c:v>
                </c:pt>
                <c:pt idx="3">
                  <c:v>48.654754569726848</c:v>
                </c:pt>
                <c:pt idx="4">
                  <c:v>50.345121555441509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C9-4D62-8BF2-95C386CE02FD}"/>
            </c:ext>
          </c:extLst>
        </c:ser>
        <c:ser>
          <c:idx val="1"/>
          <c:order val="1"/>
          <c:tx>
            <c:strRef>
              <c:f>CHARTS!$L$100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CHARTS!$L$101:$L$105</c:f>
              <c:numCache>
                <c:formatCode>0.00</c:formatCode>
                <c:ptCount val="5"/>
                <c:pt idx="0">
                  <c:v>46.114883069296262</c:v>
                </c:pt>
                <c:pt idx="1">
                  <c:v>62.924332141438228</c:v>
                </c:pt>
                <c:pt idx="2">
                  <c:v>42.65295979369359</c:v>
                </c:pt>
                <c:pt idx="3">
                  <c:v>48.654754569726848</c:v>
                </c:pt>
                <c:pt idx="4">
                  <c:v>50.086732393538725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C9-4D62-8BF2-95C386CE02FD}"/>
            </c:ext>
          </c:extLst>
        </c:ser>
        <c:ser>
          <c:idx val="2"/>
          <c:order val="2"/>
          <c:tx>
            <c:strRef>
              <c:f>CHARTS!$M$100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CHARTS!$M$101:$M$105</c:f>
              <c:numCache>
                <c:formatCode>0.00</c:formatCode>
                <c:ptCount val="5"/>
                <c:pt idx="0">
                  <c:v>49.36495897903373</c:v>
                </c:pt>
                <c:pt idx="1">
                  <c:v>56.402638064001422</c:v>
                </c:pt>
                <c:pt idx="2">
                  <c:v>45.459980202375718</c:v>
                </c:pt>
                <c:pt idx="3">
                  <c:v>48.645283483976996</c:v>
                </c:pt>
                <c:pt idx="4">
                  <c:v>49.968215182346967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C9-4D62-8BF2-95C386CE02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3307792"/>
        <c:axId val="1343303984"/>
      </c:barChart>
      <c:catAx>
        <c:axId val="134330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03984"/>
        <c:crosses val="autoZero"/>
        <c:auto val="1"/>
        <c:lblAlgn val="ctr"/>
        <c:lblOffset val="100"/>
        <c:noMultiLvlLbl val="0"/>
      </c:catAx>
      <c:valAx>
        <c:axId val="13433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0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CHARTS!$N$100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CHARTS!$N$101:$N$105</c:f>
              <c:numCache>
                <c:formatCode>0.00</c:formatCode>
                <c:ptCount val="5"/>
                <c:pt idx="0">
                  <c:v>49.744734144135087</c:v>
                </c:pt>
                <c:pt idx="1">
                  <c:v>21.401975423139348</c:v>
                </c:pt>
                <c:pt idx="2">
                  <c:v>21.527204226969904</c:v>
                </c:pt>
                <c:pt idx="3">
                  <c:v>36.42647559821549</c:v>
                </c:pt>
                <c:pt idx="4">
                  <c:v>32.275097348114954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16-49FB-8F3B-AEAD96FA464A}"/>
            </c:ext>
          </c:extLst>
        </c:ser>
        <c:ser>
          <c:idx val="1"/>
          <c:order val="1"/>
          <c:tx>
            <c:strRef>
              <c:f>CHARTS!$O$100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CHARTS!$O$101:$O$105</c:f>
              <c:numCache>
                <c:formatCode>0.00</c:formatCode>
                <c:ptCount val="5"/>
                <c:pt idx="0">
                  <c:v>47.627526971823613</c:v>
                </c:pt>
                <c:pt idx="1">
                  <c:v>19.199778464708913</c:v>
                </c:pt>
                <c:pt idx="2">
                  <c:v>33.541295385024604</c:v>
                </c:pt>
                <c:pt idx="3">
                  <c:v>46.898895497026338</c:v>
                </c:pt>
                <c:pt idx="4">
                  <c:v>36.816874079645864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416-49FB-8F3B-AEAD96FA464A}"/>
            </c:ext>
          </c:extLst>
        </c:ser>
        <c:ser>
          <c:idx val="2"/>
          <c:order val="2"/>
          <c:tx>
            <c:strRef>
              <c:f>CHARTS!$P$100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CHARTS!$P$101:$P$105</c:f>
              <c:numCache>
                <c:formatCode>0.00</c:formatCode>
                <c:ptCount val="5"/>
                <c:pt idx="0">
                  <c:v>47.525669291338581</c:v>
                </c:pt>
                <c:pt idx="1">
                  <c:v>48.094987004886164</c:v>
                </c:pt>
                <c:pt idx="2">
                  <c:v>37.954428642714575</c:v>
                </c:pt>
                <c:pt idx="3">
                  <c:v>46.898895497026338</c:v>
                </c:pt>
                <c:pt idx="4">
                  <c:v>45.118495108991411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416-49FB-8F3B-AEAD96FA46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3308880"/>
        <c:axId val="1343301808"/>
      </c:barChart>
      <c:catAx>
        <c:axId val="13433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01808"/>
        <c:crosses val="autoZero"/>
        <c:auto val="1"/>
        <c:lblAlgn val="ctr"/>
        <c:lblOffset val="100"/>
        <c:noMultiLvlLbl val="0"/>
      </c:catAx>
      <c:valAx>
        <c:axId val="13433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CHARTS!$Q$100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CHARTS!$Q$101:$Q$105</c:f>
              <c:numCache>
                <c:formatCode>0.00</c:formatCode>
                <c:ptCount val="5"/>
                <c:pt idx="0">
                  <c:v>48.385999173382935</c:v>
                </c:pt>
                <c:pt idx="1">
                  <c:v>26.394818195200941</c:v>
                </c:pt>
                <c:pt idx="2">
                  <c:v>67.114439976169194</c:v>
                </c:pt>
                <c:pt idx="3">
                  <c:v>49.88975746642614</c:v>
                </c:pt>
                <c:pt idx="4">
                  <c:v>47.946253702794806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67-463D-807E-DE72BE22F124}"/>
            </c:ext>
          </c:extLst>
        </c:ser>
        <c:ser>
          <c:idx val="1"/>
          <c:order val="1"/>
          <c:tx>
            <c:strRef>
              <c:f>CHARTS!$R$100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CHARTS!$R$101:$R$105</c:f>
              <c:numCache>
                <c:formatCode>0.00</c:formatCode>
                <c:ptCount val="5"/>
                <c:pt idx="0">
                  <c:v>46.472540413231989</c:v>
                </c:pt>
                <c:pt idx="1">
                  <c:v>37.724314297071686</c:v>
                </c:pt>
                <c:pt idx="2">
                  <c:v>32.626311763806029</c:v>
                </c:pt>
                <c:pt idx="3">
                  <c:v>49.88975746642614</c:v>
                </c:pt>
                <c:pt idx="4">
                  <c:v>41.678230985133965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67-463D-807E-DE72BE22F124}"/>
            </c:ext>
          </c:extLst>
        </c:ser>
        <c:ser>
          <c:idx val="2"/>
          <c:order val="2"/>
          <c:tx>
            <c:strRef>
              <c:f>CHARTS!$S$100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CHARTS!$S$101:$S$105</c:f>
              <c:numCache>
                <c:formatCode>0.00</c:formatCode>
                <c:ptCount val="5"/>
                <c:pt idx="0">
                  <c:v>48.886727347105747</c:v>
                </c:pt>
                <c:pt idx="1">
                  <c:v>37.538710708577518</c:v>
                </c:pt>
                <c:pt idx="2">
                  <c:v>54.152784961027052</c:v>
                </c:pt>
                <c:pt idx="3">
                  <c:v>49.88975746642614</c:v>
                </c:pt>
                <c:pt idx="4">
                  <c:v>47.616995120784111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867-463D-807E-DE72BE22F1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3309424"/>
        <c:axId val="1343305072"/>
      </c:barChart>
      <c:catAx>
        <c:axId val="134330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05072"/>
        <c:crosses val="autoZero"/>
        <c:auto val="1"/>
        <c:lblAlgn val="ctr"/>
        <c:lblOffset val="100"/>
        <c:noMultiLvlLbl val="0"/>
      </c:catAx>
      <c:valAx>
        <c:axId val="13433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0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PCA_HoE!$D$186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PCA_HoE!$A$187:$B$201</c:f>
              <c:multiLvlStrCache>
                <c:ptCount val="15"/>
                <c:lvl>
                  <c:pt idx="0">
                    <c:v>ALL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ALL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ALL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ALL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ALL</c:v>
                  </c:pt>
                  <c:pt idx="13">
                    <c:v>FEMALE</c:v>
                  </c:pt>
                  <c:pt idx="14">
                    <c:v>MALE</c:v>
                  </c:pt>
                </c:lvl>
                <c:lvl>
                  <c:pt idx="0">
                    <c:v>AP</c:v>
                  </c:pt>
                  <c:pt idx="3">
                    <c:v>AT</c:v>
                  </c:pt>
                  <c:pt idx="6">
                    <c:v>PL</c:v>
                  </c:pt>
                  <c:pt idx="9">
                    <c:v>SE</c:v>
                  </c:pt>
                  <c:pt idx="12">
                    <c:v>AVG</c:v>
                  </c:pt>
                </c:lvl>
              </c:multiLvlStrCache>
            </c:multiLvlStrRef>
          </c:cat>
          <c:val>
            <c:numRef>
              <c:f>PCA_HoE!$D$187:$D$201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E9-4FC6-9EAD-D9EBC117BF92}"/>
            </c:ext>
          </c:extLst>
        </c:ser>
        <c:ser>
          <c:idx val="2"/>
          <c:order val="2"/>
          <c:tx>
            <c:strRef>
              <c:f>PCA_HoE!$E$186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PCA_HoE!$A$187:$B$201</c:f>
              <c:multiLvlStrCache>
                <c:ptCount val="15"/>
                <c:lvl>
                  <c:pt idx="0">
                    <c:v>ALL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ALL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ALL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ALL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ALL</c:v>
                  </c:pt>
                  <c:pt idx="13">
                    <c:v>FEMALE</c:v>
                  </c:pt>
                  <c:pt idx="14">
                    <c:v>MALE</c:v>
                  </c:pt>
                </c:lvl>
                <c:lvl>
                  <c:pt idx="0">
                    <c:v>AP</c:v>
                  </c:pt>
                  <c:pt idx="3">
                    <c:v>AT</c:v>
                  </c:pt>
                  <c:pt idx="6">
                    <c:v>PL</c:v>
                  </c:pt>
                  <c:pt idx="9">
                    <c:v>SE</c:v>
                  </c:pt>
                  <c:pt idx="12">
                    <c:v>AVG</c:v>
                  </c:pt>
                </c:lvl>
              </c:multiLvlStrCache>
            </c:multiLvlStrRef>
          </c:cat>
          <c:val>
            <c:numRef>
              <c:f>PCA_HoE!$E$187:$E$201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E9-4FC6-9EAD-D9EBC117BF92}"/>
            </c:ext>
          </c:extLst>
        </c:ser>
        <c:ser>
          <c:idx val="3"/>
          <c:order val="3"/>
          <c:tx>
            <c:strRef>
              <c:f>PCA_HoE!$F$186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PCA_HoE!$A$187:$B$201</c:f>
              <c:multiLvlStrCache>
                <c:ptCount val="15"/>
                <c:lvl>
                  <c:pt idx="0">
                    <c:v>ALL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ALL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ALL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ALL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ALL</c:v>
                  </c:pt>
                  <c:pt idx="13">
                    <c:v>FEMALE</c:v>
                  </c:pt>
                  <c:pt idx="14">
                    <c:v>MALE</c:v>
                  </c:pt>
                </c:lvl>
                <c:lvl>
                  <c:pt idx="0">
                    <c:v>AP</c:v>
                  </c:pt>
                  <c:pt idx="3">
                    <c:v>AT</c:v>
                  </c:pt>
                  <c:pt idx="6">
                    <c:v>PL</c:v>
                  </c:pt>
                  <c:pt idx="9">
                    <c:v>SE</c:v>
                  </c:pt>
                  <c:pt idx="12">
                    <c:v>AVG</c:v>
                  </c:pt>
                </c:lvl>
              </c:multiLvlStrCache>
            </c:multiLvlStrRef>
          </c:cat>
          <c:val>
            <c:numRef>
              <c:f>PCA_HoE!$F$187:$F$201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1E9-4FC6-9EAD-D9EBC117B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152688"/>
        <c:axId val="140915105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PCA_HoE!$C$186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PCA_HoE!$A$187:$B$201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ALL</c:v>
                        </c:pt>
                        <c:pt idx="1">
                          <c:v>FEMALE</c:v>
                        </c:pt>
                        <c:pt idx="2">
                          <c:v>MALE</c:v>
                        </c:pt>
                        <c:pt idx="3">
                          <c:v>ALL</c:v>
                        </c:pt>
                        <c:pt idx="4">
                          <c:v>FEMALE</c:v>
                        </c:pt>
                        <c:pt idx="5">
                          <c:v>MALE</c:v>
                        </c:pt>
                        <c:pt idx="6">
                          <c:v>ALL</c:v>
                        </c:pt>
                        <c:pt idx="7">
                          <c:v>FEMALE</c:v>
                        </c:pt>
                        <c:pt idx="8">
                          <c:v>MALE</c:v>
                        </c:pt>
                        <c:pt idx="9">
                          <c:v>ALL</c:v>
                        </c:pt>
                        <c:pt idx="10">
                          <c:v>FEMALE</c:v>
                        </c:pt>
                        <c:pt idx="11">
                          <c:v>MALE</c:v>
                        </c:pt>
                        <c:pt idx="12">
                          <c:v>ALL</c:v>
                        </c:pt>
                        <c:pt idx="13">
                          <c:v>FEMALE</c:v>
                        </c:pt>
                        <c:pt idx="14">
                          <c:v>MALE</c:v>
                        </c:pt>
                      </c:lvl>
                      <c:lvl>
                        <c:pt idx="0">
                          <c:v>AP</c:v>
                        </c:pt>
                        <c:pt idx="3">
                          <c:v>AT</c:v>
                        </c:pt>
                        <c:pt idx="6">
                          <c:v>PL</c:v>
                        </c:pt>
                        <c:pt idx="9">
                          <c:v>SE</c:v>
                        </c:pt>
                        <c:pt idx="12">
                          <c:v>AVG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PCA_HoE!$C$187:$C$201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 formatCode="0.00">
                        <c:v>0</c:v>
                      </c:pt>
                      <c:pt idx="13" formatCode="0.00">
                        <c:v>0</c:v>
                      </c:pt>
                      <c:pt idx="14" formatCode="0.00">
                        <c:v>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31E9-4FC6-9EAD-D9EBC117BF92}"/>
                  </c:ext>
                </c:extLst>
              </c15:ser>
            </c15:filteredBarSeries>
          </c:ext>
        </c:extLst>
      </c:barChart>
      <c:catAx>
        <c:axId val="140915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51056"/>
        <c:crosses val="autoZero"/>
        <c:auto val="1"/>
        <c:lblAlgn val="ctr"/>
        <c:lblOffset val="100"/>
        <c:noMultiLvlLbl val="0"/>
      </c:catAx>
      <c:valAx>
        <c:axId val="14091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CHARTS!$T$100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CHARTS!$T$101:$T$105</c:f>
              <c:numCache>
                <c:formatCode>0.00</c:formatCode>
                <c:ptCount val="5"/>
                <c:pt idx="0">
                  <c:v>45.633015768725372</c:v>
                </c:pt>
                <c:pt idx="1">
                  <c:v>71.620900397850221</c:v>
                </c:pt>
                <c:pt idx="2">
                  <c:v>61.392905537459285</c:v>
                </c:pt>
                <c:pt idx="3">
                  <c:v>40.88218242201399</c:v>
                </c:pt>
                <c:pt idx="4">
                  <c:v>54.882251031512219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93-430A-86F1-1512A6F13388}"/>
            </c:ext>
          </c:extLst>
        </c:ser>
        <c:ser>
          <c:idx val="1"/>
          <c:order val="1"/>
          <c:tx>
            <c:strRef>
              <c:f>CHARTS!$U$100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CHARTS!$U$101:$U$105</c:f>
              <c:numCache>
                <c:formatCode>0.00</c:formatCode>
                <c:ptCount val="5"/>
                <c:pt idx="0">
                  <c:v>45.414847161572055</c:v>
                </c:pt>
                <c:pt idx="1">
                  <c:v>31.084767572784305</c:v>
                </c:pt>
                <c:pt idx="2">
                  <c:v>38.213900300928948</c:v>
                </c:pt>
                <c:pt idx="3">
                  <c:v>49.819349658771579</c:v>
                </c:pt>
                <c:pt idx="4">
                  <c:v>41.133216173514221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93-430A-86F1-1512A6F13388}"/>
            </c:ext>
          </c:extLst>
        </c:ser>
        <c:ser>
          <c:idx val="2"/>
          <c:order val="2"/>
          <c:tx>
            <c:strRef>
              <c:f>CHARTS!$V$100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CHARTS!$V$101:$V$105</c:f>
              <c:numCache>
                <c:formatCode>0.00</c:formatCode>
                <c:ptCount val="5"/>
                <c:pt idx="0">
                  <c:v>49.444732531095156</c:v>
                </c:pt>
                <c:pt idx="1">
                  <c:v>51.71478681233684</c:v>
                </c:pt>
                <c:pt idx="2">
                  <c:v>38.213900300928948</c:v>
                </c:pt>
                <c:pt idx="3">
                  <c:v>49.819349658771579</c:v>
                </c:pt>
                <c:pt idx="4">
                  <c:v>47.298192325783134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993-430A-86F1-1512A6F133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3311056"/>
        <c:axId val="1343306160"/>
      </c:barChart>
      <c:catAx>
        <c:axId val="134331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06160"/>
        <c:crosses val="autoZero"/>
        <c:auto val="1"/>
        <c:lblAlgn val="ctr"/>
        <c:lblOffset val="100"/>
        <c:noMultiLvlLbl val="0"/>
      </c:catAx>
      <c:valAx>
        <c:axId val="13433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1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CHARTS!$W$100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CHARTS!$W$101:$W$105</c:f>
              <c:numCache>
                <c:formatCode>0.00</c:formatCode>
                <c:ptCount val="5"/>
                <c:pt idx="0">
                  <c:v>44.745275721074144</c:v>
                </c:pt>
                <c:pt idx="1">
                  <c:v>57.910351255717622</c:v>
                </c:pt>
                <c:pt idx="2">
                  <c:v>31.028776330599779</c:v>
                </c:pt>
                <c:pt idx="3">
                  <c:v>50.491252599267249</c:v>
                </c:pt>
                <c:pt idx="4">
                  <c:v>46.043913976664697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AB-4A94-B1B8-BF1768F3B485}"/>
            </c:ext>
          </c:extLst>
        </c:ser>
        <c:ser>
          <c:idx val="1"/>
          <c:order val="1"/>
          <c:tx>
            <c:strRef>
              <c:f>CHARTS!$X$100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CHARTS!$X$101:$X$105</c:f>
              <c:numCache>
                <c:formatCode>0.00</c:formatCode>
                <c:ptCount val="5"/>
                <c:pt idx="0">
                  <c:v>40.595734643734637</c:v>
                </c:pt>
                <c:pt idx="1">
                  <c:v>41.65827776445191</c:v>
                </c:pt>
                <c:pt idx="2">
                  <c:v>41.225077013521457</c:v>
                </c:pt>
                <c:pt idx="3">
                  <c:v>47.731549236880618</c:v>
                </c:pt>
                <c:pt idx="4">
                  <c:v>42.802659664647159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AB-4A94-B1B8-BF1768F3B485}"/>
            </c:ext>
          </c:extLst>
        </c:ser>
        <c:ser>
          <c:idx val="2"/>
          <c:order val="2"/>
          <c:tx>
            <c:strRef>
              <c:f>CHARTS!$Y$100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CHARTS!$Y$101:$Y$105</c:f>
              <c:numCache>
                <c:formatCode>0.00</c:formatCode>
                <c:ptCount val="5"/>
                <c:pt idx="0">
                  <c:v>39.954746164400646</c:v>
                </c:pt>
                <c:pt idx="1">
                  <c:v>50.816771591579773</c:v>
                </c:pt>
                <c:pt idx="2">
                  <c:v>40.706304801670143</c:v>
                </c:pt>
                <c:pt idx="3">
                  <c:v>47.731549236880618</c:v>
                </c:pt>
                <c:pt idx="4">
                  <c:v>44.802342948632798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2AB-4A94-B1B8-BF1768F3B4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5370992"/>
        <c:axId val="1345373168"/>
      </c:barChart>
      <c:catAx>
        <c:axId val="13453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73168"/>
        <c:crosses val="autoZero"/>
        <c:auto val="1"/>
        <c:lblAlgn val="ctr"/>
        <c:lblOffset val="100"/>
        <c:noMultiLvlLbl val="0"/>
      </c:catAx>
      <c:valAx>
        <c:axId val="13453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CHARTS!$Z$100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CHARTS!$Z$101:$Z$105</c:f>
              <c:numCache>
                <c:formatCode>0.00</c:formatCode>
                <c:ptCount val="5"/>
                <c:pt idx="0">
                  <c:v>46.438136047134442</c:v>
                </c:pt>
                <c:pt idx="1">
                  <c:v>38.752507656498842</c:v>
                </c:pt>
                <c:pt idx="2">
                  <c:v>51.804941607952905</c:v>
                </c:pt>
                <c:pt idx="3">
                  <c:v>49.728534084053884</c:v>
                </c:pt>
                <c:pt idx="4">
                  <c:v>46.681029848910015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1E-45B4-B9DC-0F5EFA56348C}"/>
            </c:ext>
          </c:extLst>
        </c:ser>
        <c:ser>
          <c:idx val="1"/>
          <c:order val="1"/>
          <c:tx>
            <c:strRef>
              <c:f>CHARTS!$AA$100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CHARTS!$AA$101:$AA$105</c:f>
              <c:numCache>
                <c:formatCode>0.00</c:formatCode>
                <c:ptCount val="5"/>
                <c:pt idx="0">
                  <c:v>46.438136047134442</c:v>
                </c:pt>
                <c:pt idx="1">
                  <c:v>38.755512003919648</c:v>
                </c:pt>
                <c:pt idx="2">
                  <c:v>39.784949101420139</c:v>
                </c:pt>
                <c:pt idx="3">
                  <c:v>49.728534084053884</c:v>
                </c:pt>
                <c:pt idx="4">
                  <c:v>43.676782809132028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1E-45B4-B9DC-0F5EFA56348C}"/>
            </c:ext>
          </c:extLst>
        </c:ser>
        <c:ser>
          <c:idx val="2"/>
          <c:order val="2"/>
          <c:tx>
            <c:strRef>
              <c:f>CHARTS!$AB$100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CHARTS!$AB$101:$AB$105</c:f>
              <c:numCache>
                <c:formatCode>0.00</c:formatCode>
                <c:ptCount val="5"/>
                <c:pt idx="0">
                  <c:v>50.68771947129612</c:v>
                </c:pt>
                <c:pt idx="1">
                  <c:v>47.591723558449743</c:v>
                </c:pt>
                <c:pt idx="2">
                  <c:v>60.197552104957232</c:v>
                </c:pt>
                <c:pt idx="3">
                  <c:v>49.728534084053884</c:v>
                </c:pt>
                <c:pt idx="4">
                  <c:v>52.051382304689241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1E-45B4-B9DC-0F5EFA5634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5363376"/>
        <c:axId val="1345373712"/>
      </c:barChart>
      <c:catAx>
        <c:axId val="134536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73712"/>
        <c:crosses val="autoZero"/>
        <c:auto val="1"/>
        <c:lblAlgn val="ctr"/>
        <c:lblOffset val="100"/>
        <c:noMultiLvlLbl val="0"/>
      </c:catAx>
      <c:valAx>
        <c:axId val="13453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6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CHARTS!$AC$100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CHARTS!$AC$101:$AC$105</c:f>
              <c:numCache>
                <c:formatCode>0.00</c:formatCode>
                <c:ptCount val="5"/>
                <c:pt idx="0">
                  <c:v>48.640361804913148</c:v>
                </c:pt>
                <c:pt idx="1">
                  <c:v>29.098128190584234</c:v>
                </c:pt>
                <c:pt idx="2">
                  <c:v>40.05555971546238</c:v>
                </c:pt>
                <c:pt idx="3">
                  <c:v>49.884734890247564</c:v>
                </c:pt>
                <c:pt idx="4">
                  <c:v>41.919696150301831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2A-40C7-A5F5-EDE55CDFB061}"/>
            </c:ext>
          </c:extLst>
        </c:ser>
        <c:ser>
          <c:idx val="1"/>
          <c:order val="1"/>
          <c:tx>
            <c:strRef>
              <c:f>CHARTS!$AD$100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CHARTS!$AD$101:$AD$105</c:f>
              <c:numCache>
                <c:formatCode>0.00</c:formatCode>
                <c:ptCount val="5"/>
                <c:pt idx="0">
                  <c:v>46.757533808966031</c:v>
                </c:pt>
                <c:pt idx="1">
                  <c:v>35.643803646563811</c:v>
                </c:pt>
                <c:pt idx="2">
                  <c:v>41.98189835228591</c:v>
                </c:pt>
                <c:pt idx="3">
                  <c:v>49.884734890247564</c:v>
                </c:pt>
                <c:pt idx="4">
                  <c:v>43.566992674515831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A2A-40C7-A5F5-EDE55CDFB061}"/>
            </c:ext>
          </c:extLst>
        </c:ser>
        <c:ser>
          <c:idx val="2"/>
          <c:order val="2"/>
          <c:tx>
            <c:strRef>
              <c:f>CHARTS!$AE$100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CHARTS!$AE$101:$AE$105</c:f>
              <c:numCache>
                <c:formatCode>0.00</c:formatCode>
                <c:ptCount val="5"/>
                <c:pt idx="0">
                  <c:v>46.757533808966031</c:v>
                </c:pt>
                <c:pt idx="1">
                  <c:v>37.091092098641163</c:v>
                </c:pt>
                <c:pt idx="2">
                  <c:v>41.98189835228591</c:v>
                </c:pt>
                <c:pt idx="3">
                  <c:v>49.884734890247564</c:v>
                </c:pt>
                <c:pt idx="4">
                  <c:v>43.928814787535167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A2A-40C7-A5F5-EDE55CDFB0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5367184"/>
        <c:axId val="1345369904"/>
      </c:barChart>
      <c:catAx>
        <c:axId val="134536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69904"/>
        <c:crosses val="autoZero"/>
        <c:auto val="1"/>
        <c:lblAlgn val="ctr"/>
        <c:lblOffset val="100"/>
        <c:noMultiLvlLbl val="0"/>
      </c:catAx>
      <c:valAx>
        <c:axId val="13453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6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77880627516977E-2"/>
          <c:y val="7.5505218743060182E-2"/>
          <c:w val="0.90563026186612172"/>
          <c:h val="0.71986060036965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CHARTS!$AF$100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CHARTS!$AF$101:$AF$105</c:f>
              <c:numCache>
                <c:formatCode>0.00</c:formatCode>
                <c:ptCount val="5"/>
                <c:pt idx="0">
                  <c:v>34.496867608883761</c:v>
                </c:pt>
                <c:pt idx="1">
                  <c:v>41.017345197464657</c:v>
                </c:pt>
                <c:pt idx="2">
                  <c:v>77.276088221977872</c:v>
                </c:pt>
                <c:pt idx="3">
                  <c:v>49.387589837028045</c:v>
                </c:pt>
                <c:pt idx="4">
                  <c:v>50.544472716338575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0D-4C97-8CA4-E6FD3E4F56C2}"/>
            </c:ext>
          </c:extLst>
        </c:ser>
        <c:ser>
          <c:idx val="1"/>
          <c:order val="1"/>
          <c:tx>
            <c:strRef>
              <c:f>CHARTS!$AG$100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CHARTS!$AG$101:$AG$105</c:f>
              <c:numCache>
                <c:formatCode>0.00</c:formatCode>
                <c:ptCount val="5"/>
                <c:pt idx="0">
                  <c:v>43.77600359833577</c:v>
                </c:pt>
                <c:pt idx="1">
                  <c:v>40.126930906478272</c:v>
                </c:pt>
                <c:pt idx="2">
                  <c:v>22.596519057061027</c:v>
                </c:pt>
                <c:pt idx="3">
                  <c:v>49.387589837028045</c:v>
                </c:pt>
                <c:pt idx="4">
                  <c:v>38.971760849725783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D0D-4C97-8CA4-E6FD3E4F56C2}"/>
            </c:ext>
          </c:extLst>
        </c:ser>
        <c:ser>
          <c:idx val="2"/>
          <c:order val="2"/>
          <c:tx>
            <c:strRef>
              <c:f>CHARTS!$AH$100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CHARTS!$AH$101:$AH$105</c:f>
              <c:numCache>
                <c:formatCode>0.00</c:formatCode>
                <c:ptCount val="5"/>
                <c:pt idx="0">
                  <c:v>34.516967425771121</c:v>
                </c:pt>
                <c:pt idx="1">
                  <c:v>40.126930906478272</c:v>
                </c:pt>
                <c:pt idx="2">
                  <c:v>56.696554352533568</c:v>
                </c:pt>
                <c:pt idx="3">
                  <c:v>49.387589837028045</c:v>
                </c:pt>
                <c:pt idx="4">
                  <c:v>45.182010630452751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D0D-4C97-8CA4-E6FD3E4F56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5375888"/>
        <c:axId val="1345363920"/>
      </c:barChart>
      <c:catAx>
        <c:axId val="13453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63920"/>
        <c:crosses val="autoZero"/>
        <c:auto val="1"/>
        <c:lblAlgn val="ctr"/>
        <c:lblOffset val="100"/>
        <c:noMultiLvlLbl val="0"/>
      </c:catAx>
      <c:valAx>
        <c:axId val="13453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77880627516977E-2"/>
          <c:y val="7.5505218743060182E-2"/>
          <c:w val="0.90563026186612172"/>
          <c:h val="0.71986060036965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CHARTS!$AI$100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CHARTS!$AI$101:$AI$105</c:f>
              <c:numCache>
                <c:formatCode>0.00</c:formatCode>
                <c:ptCount val="5"/>
                <c:pt idx="0">
                  <c:v>48.090463039867117</c:v>
                </c:pt>
                <c:pt idx="1">
                  <c:v>45.672687465790915</c:v>
                </c:pt>
                <c:pt idx="2">
                  <c:v>28.69892247043364</c:v>
                </c:pt>
                <c:pt idx="3">
                  <c:v>49.839486356340288</c:v>
                </c:pt>
                <c:pt idx="4">
                  <c:v>43.075389833107991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B5-444C-B2E5-F94A0B164A5E}"/>
            </c:ext>
          </c:extLst>
        </c:ser>
        <c:ser>
          <c:idx val="1"/>
          <c:order val="1"/>
          <c:tx>
            <c:strRef>
              <c:f>CHARTS!$AJ$100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CHARTS!$AJ$101:$AJ$105</c:f>
              <c:numCache>
                <c:formatCode>0.00</c:formatCode>
                <c:ptCount val="5"/>
                <c:pt idx="0">
                  <c:v>48.095089795494651</c:v>
                </c:pt>
                <c:pt idx="1">
                  <c:v>40.828402366863905</c:v>
                </c:pt>
                <c:pt idx="2">
                  <c:v>46.495452113429643</c:v>
                </c:pt>
                <c:pt idx="3">
                  <c:v>49.839486356340288</c:v>
                </c:pt>
                <c:pt idx="4">
                  <c:v>46.314607658032116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B5-444C-B2E5-F94A0B164A5E}"/>
            </c:ext>
          </c:extLst>
        </c:ser>
        <c:ser>
          <c:idx val="2"/>
          <c:order val="2"/>
          <c:tx>
            <c:strRef>
              <c:f>CHARTS!$AK$100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CHARTS!$AK$101:$AK$105</c:f>
              <c:numCache>
                <c:formatCode>0.00</c:formatCode>
                <c:ptCount val="5"/>
                <c:pt idx="0">
                  <c:v>56.798374354033456</c:v>
                </c:pt>
                <c:pt idx="1">
                  <c:v>45.657614980289104</c:v>
                </c:pt>
                <c:pt idx="2">
                  <c:v>46.495452113429643</c:v>
                </c:pt>
                <c:pt idx="3">
                  <c:v>49.839486356340288</c:v>
                </c:pt>
                <c:pt idx="4">
                  <c:v>49.69773195102313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4B5-444C-B2E5-F94A0B164A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5367728"/>
        <c:axId val="1345376432"/>
      </c:barChart>
      <c:catAx>
        <c:axId val="134536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76432"/>
        <c:crosses val="autoZero"/>
        <c:auto val="1"/>
        <c:lblAlgn val="ctr"/>
        <c:lblOffset val="100"/>
        <c:noMultiLvlLbl val="0"/>
      </c:catAx>
      <c:valAx>
        <c:axId val="13453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6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CHARTS!$AL$100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CHARTS!$AL$101:$AL$105</c:f>
              <c:numCache>
                <c:formatCode>0.00</c:formatCode>
                <c:ptCount val="5"/>
                <c:pt idx="0">
                  <c:v>12.87680780623802</c:v>
                </c:pt>
                <c:pt idx="1">
                  <c:v>29.706171798116127</c:v>
                </c:pt>
                <c:pt idx="2">
                  <c:v>62.164909515000403</c:v>
                </c:pt>
                <c:pt idx="3">
                  <c:v>31.443849465352034</c:v>
                </c:pt>
                <c:pt idx="4">
                  <c:v>34.04793464617665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A8-4648-8AF1-BB8C059D9A44}"/>
            </c:ext>
          </c:extLst>
        </c:ser>
        <c:ser>
          <c:idx val="1"/>
          <c:order val="1"/>
          <c:tx>
            <c:strRef>
              <c:f>CHARTS!$AM$100</c:f>
              <c:strCache>
                <c:ptCount val="1"/>
                <c:pt idx="0">
                  <c:v>Support Vector Machine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CHARTS!$AM$101:$AM$105</c:f>
              <c:numCache>
                <c:formatCode>0.00</c:formatCode>
                <c:ptCount val="5"/>
                <c:pt idx="0">
                  <c:v>46.010150091782748</c:v>
                </c:pt>
                <c:pt idx="1">
                  <c:v>36.604539114999362</c:v>
                </c:pt>
                <c:pt idx="2">
                  <c:v>36.759387921653968</c:v>
                </c:pt>
                <c:pt idx="3">
                  <c:v>49.718423169750608</c:v>
                </c:pt>
                <c:pt idx="4">
                  <c:v>42.27312507454667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A8-4648-8AF1-BB8C059D9A44}"/>
            </c:ext>
          </c:extLst>
        </c:ser>
        <c:ser>
          <c:idx val="2"/>
          <c:order val="2"/>
          <c:tx>
            <c:strRef>
              <c:f>CHARTS!$AN$100</c:f>
              <c:strCache>
                <c:ptCount val="1"/>
                <c:pt idx="0">
                  <c:v>Multilayer Perceptron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CHARTS!$A$101:$A$105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CHARTS!$AN$101:$AN$105</c:f>
              <c:numCache>
                <c:formatCode>0.00</c:formatCode>
                <c:ptCount val="5"/>
                <c:pt idx="0">
                  <c:v>12.87680780623802</c:v>
                </c:pt>
                <c:pt idx="1">
                  <c:v>29.706171798116127</c:v>
                </c:pt>
                <c:pt idx="2">
                  <c:v>63.239644212523721</c:v>
                </c:pt>
                <c:pt idx="3">
                  <c:v>49.718423169750608</c:v>
                </c:pt>
                <c:pt idx="4">
                  <c:v>38.885261746657122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BA8-4648-8AF1-BB8C059D9A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5365008"/>
        <c:axId val="1345374256"/>
      </c:barChart>
      <c:catAx>
        <c:axId val="134536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74256"/>
        <c:crosses val="autoZero"/>
        <c:auto val="1"/>
        <c:lblAlgn val="ctr"/>
        <c:lblOffset val="100"/>
        <c:noMultiLvlLbl val="0"/>
      </c:catAx>
      <c:valAx>
        <c:axId val="13453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6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CHARTS!$B$161</c:f>
              <c:strCache>
                <c:ptCount val="1"/>
                <c:pt idx="0">
                  <c:v>SVM (Base)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CHARTS!$B$162:$B$166</c:f>
              <c:numCache>
                <c:formatCode>0.00</c:formatCode>
                <c:ptCount val="5"/>
                <c:pt idx="0">
                  <c:v>49.179926799511996</c:v>
                </c:pt>
                <c:pt idx="1">
                  <c:v>48.224364955935719</c:v>
                </c:pt>
                <c:pt idx="2">
                  <c:v>43.699990846681921</c:v>
                </c:pt>
                <c:pt idx="3">
                  <c:v>44.970140409065785</c:v>
                </c:pt>
                <c:pt idx="4">
                  <c:v>46.518605752798855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E6-4E2E-B3D3-9EA102331EDB}"/>
            </c:ext>
          </c:extLst>
        </c:ser>
        <c:ser>
          <c:idx val="1"/>
          <c:order val="1"/>
          <c:tx>
            <c:strRef>
              <c:f>CHARTS!$C$161</c:f>
              <c:strCache>
                <c:ptCount val="1"/>
                <c:pt idx="0">
                  <c:v>SVM (PCA)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CHARTS!$C$162:$C$166</c:f>
              <c:numCache>
                <c:formatCode>0.00</c:formatCode>
                <c:ptCount val="5"/>
                <c:pt idx="0">
                  <c:v>49.024885262621112</c:v>
                </c:pt>
                <c:pt idx="1">
                  <c:v>49.239601949634441</c:v>
                </c:pt>
                <c:pt idx="2">
                  <c:v>48.324995344024835</c:v>
                </c:pt>
                <c:pt idx="3">
                  <c:v>43.443505831729134</c:v>
                </c:pt>
                <c:pt idx="4">
                  <c:v>47.508247097002382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E6-4E2E-B3D3-9EA102331EDB}"/>
            </c:ext>
          </c:extLst>
        </c:ser>
        <c:ser>
          <c:idx val="2"/>
          <c:order val="2"/>
          <c:tx>
            <c:strRef>
              <c:f>CHARTS!$D$161</c:f>
              <c:strCache>
                <c:ptCount val="1"/>
                <c:pt idx="0">
                  <c:v>MLP (Base)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CHARTS!$D$162:$D$166</c:f>
              <c:numCache>
                <c:formatCode>0.00</c:formatCode>
                <c:ptCount val="5"/>
                <c:pt idx="0">
                  <c:v>49.939999999999991</c:v>
                </c:pt>
                <c:pt idx="1">
                  <c:v>49.374987341772147</c:v>
                </c:pt>
                <c:pt idx="2">
                  <c:v>51.634999515832284</c:v>
                </c:pt>
                <c:pt idx="3">
                  <c:v>57.20242424242425</c:v>
                </c:pt>
                <c:pt idx="4">
                  <c:v>52.038102775007168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E6-4E2E-B3D3-9EA102331EDB}"/>
            </c:ext>
          </c:extLst>
        </c:ser>
        <c:ser>
          <c:idx val="3"/>
          <c:order val="3"/>
          <c:tx>
            <c:strRef>
              <c:f>CHARTS!$E$161</c:f>
              <c:strCache>
                <c:ptCount val="1"/>
                <c:pt idx="0">
                  <c:v>MLP (PCA)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CHARTS!$E$162:$E$166</c:f>
              <c:numCache>
                <c:formatCode>0.00</c:formatCode>
                <c:ptCount val="5"/>
                <c:pt idx="0">
                  <c:v>44.884839033084546</c:v>
                </c:pt>
                <c:pt idx="1">
                  <c:v>44.209918570459173</c:v>
                </c:pt>
                <c:pt idx="2">
                  <c:v>50.204999502041638</c:v>
                </c:pt>
                <c:pt idx="3">
                  <c:v>56.132977398113539</c:v>
                </c:pt>
                <c:pt idx="4">
                  <c:v>48.858183625924724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2E6-4E2E-B3D3-9EA102331E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5370448"/>
        <c:axId val="1345376976"/>
      </c:barChart>
      <c:catAx>
        <c:axId val="134537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76976"/>
        <c:crosses val="autoZero"/>
        <c:auto val="1"/>
        <c:lblAlgn val="ctr"/>
        <c:lblOffset val="100"/>
        <c:noMultiLvlLbl val="0"/>
      </c:catAx>
      <c:valAx>
        <c:axId val="1345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CHARTS!$F$161</c:f>
              <c:strCache>
                <c:ptCount val="1"/>
                <c:pt idx="0">
                  <c:v>SVM (Base)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CHARTS!$F$162:$F$166</c:f>
              <c:numCache>
                <c:formatCode>0.00</c:formatCode>
                <c:ptCount val="5"/>
                <c:pt idx="0">
                  <c:v>45.499997802197797</c:v>
                </c:pt>
                <c:pt idx="1">
                  <c:v>41.763045297000126</c:v>
                </c:pt>
                <c:pt idx="2">
                  <c:v>43.909997722614442</c:v>
                </c:pt>
                <c:pt idx="3">
                  <c:v>43.72155560558307</c:v>
                </c:pt>
                <c:pt idx="4">
                  <c:v>43.723649106848853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A8-4268-A8BA-3F3295D7A3BF}"/>
            </c:ext>
          </c:extLst>
        </c:ser>
        <c:ser>
          <c:idx val="1"/>
          <c:order val="1"/>
          <c:tx>
            <c:strRef>
              <c:f>CHARTS!$G$161</c:f>
              <c:strCache>
                <c:ptCount val="1"/>
                <c:pt idx="0">
                  <c:v>SVM (PCA)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CHARTS!$G$162:$G$166</c:f>
              <c:numCache>
                <c:formatCode>0.00</c:formatCode>
                <c:ptCount val="5"/>
                <c:pt idx="0">
                  <c:v>42.203208150693044</c:v>
                </c:pt>
                <c:pt idx="1">
                  <c:v>45.959595871808801</c:v>
                </c:pt>
                <c:pt idx="2">
                  <c:v>32.749596221240289</c:v>
                </c:pt>
                <c:pt idx="3">
                  <c:v>43.717730496453903</c:v>
                </c:pt>
                <c:pt idx="4">
                  <c:v>41.157532685049006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4A8-4268-A8BA-3F3295D7A3BF}"/>
            </c:ext>
          </c:extLst>
        </c:ser>
        <c:ser>
          <c:idx val="2"/>
          <c:order val="2"/>
          <c:tx>
            <c:strRef>
              <c:f>CHARTS!$H$161</c:f>
              <c:strCache>
                <c:ptCount val="1"/>
                <c:pt idx="0">
                  <c:v>MLP (Base)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CHARTS!$H$162:$H$166</c:f>
              <c:numCache>
                <c:formatCode>0.00</c:formatCode>
                <c:ptCount val="5"/>
                <c:pt idx="0">
                  <c:v>50.98499558693733</c:v>
                </c:pt>
                <c:pt idx="1">
                  <c:v>48.629948591404478</c:v>
                </c:pt>
                <c:pt idx="2">
                  <c:v>42.929403680409969</c:v>
                </c:pt>
                <c:pt idx="3">
                  <c:v>54.913224690458847</c:v>
                </c:pt>
                <c:pt idx="4">
                  <c:v>49.364393137302656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4A8-4268-A8BA-3F3295D7A3BF}"/>
            </c:ext>
          </c:extLst>
        </c:ser>
        <c:ser>
          <c:idx val="3"/>
          <c:order val="3"/>
          <c:tx>
            <c:strRef>
              <c:f>CHARTS!$I$161</c:f>
              <c:strCache>
                <c:ptCount val="1"/>
                <c:pt idx="0">
                  <c:v>MLP (PCA)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CHARTS!$I$162:$I$166</c:f>
              <c:numCache>
                <c:formatCode>0.00</c:formatCode>
                <c:ptCount val="5"/>
                <c:pt idx="0">
                  <c:v>47.490000000000009</c:v>
                </c:pt>
                <c:pt idx="1">
                  <c:v>44.393741557856828</c:v>
                </c:pt>
                <c:pt idx="2">
                  <c:v>46.944999467461926</c:v>
                </c:pt>
                <c:pt idx="3">
                  <c:v>46.680265524625263</c:v>
                </c:pt>
                <c:pt idx="4">
                  <c:v>46.377251637486012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4A8-4268-A8BA-3F3295D7A3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45372624"/>
        <c:axId val="726052608"/>
      </c:barChart>
      <c:catAx>
        <c:axId val="13453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2608"/>
        <c:crosses val="autoZero"/>
        <c:auto val="1"/>
        <c:lblAlgn val="ctr"/>
        <c:lblOffset val="100"/>
        <c:noMultiLvlLbl val="0"/>
      </c:catAx>
      <c:valAx>
        <c:axId val="7260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7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CHARTS!$J$161</c:f>
              <c:strCache>
                <c:ptCount val="1"/>
                <c:pt idx="0">
                  <c:v>SVM (Base)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CHARTS!$J$162:$J$166</c:f>
              <c:numCache>
                <c:formatCode>0.00</c:formatCode>
                <c:ptCount val="5"/>
                <c:pt idx="0">
                  <c:v>42.960297743661314</c:v>
                </c:pt>
                <c:pt idx="1">
                  <c:v>61.575940240337772</c:v>
                </c:pt>
                <c:pt idx="2">
                  <c:v>47.341704509451894</c:v>
                </c:pt>
                <c:pt idx="3">
                  <c:v>40.082454477425792</c:v>
                </c:pt>
                <c:pt idx="4">
                  <c:v>47.990099242719189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5E-4CF7-9257-41F6C18D3BA5}"/>
            </c:ext>
          </c:extLst>
        </c:ser>
        <c:ser>
          <c:idx val="1"/>
          <c:order val="1"/>
          <c:tx>
            <c:strRef>
              <c:f>CHARTS!$K$161</c:f>
              <c:strCache>
                <c:ptCount val="1"/>
                <c:pt idx="0">
                  <c:v>SVM (PCA)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CHARTS!$K$162:$K$166</c:f>
              <c:numCache>
                <c:formatCode>0.00</c:formatCode>
                <c:ptCount val="5"/>
                <c:pt idx="0">
                  <c:v>43.457389304197818</c:v>
                </c:pt>
                <c:pt idx="1">
                  <c:v>55.674995958688818</c:v>
                </c:pt>
                <c:pt idx="2">
                  <c:v>45.556966970262273</c:v>
                </c:pt>
                <c:pt idx="3">
                  <c:v>39.992781804548862</c:v>
                </c:pt>
                <c:pt idx="4">
                  <c:v>46.170533509424438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5E-4CF7-9257-41F6C18D3BA5}"/>
            </c:ext>
          </c:extLst>
        </c:ser>
        <c:ser>
          <c:idx val="2"/>
          <c:order val="2"/>
          <c:tx>
            <c:strRef>
              <c:f>CHARTS!$L$161</c:f>
              <c:strCache>
                <c:ptCount val="1"/>
                <c:pt idx="0">
                  <c:v>MLP (Base)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CHARTS!$L$162:$L$166</c:f>
              <c:numCache>
                <c:formatCode>0.00</c:formatCode>
                <c:ptCount val="5"/>
                <c:pt idx="0">
                  <c:v>40.78492583057497</c:v>
                </c:pt>
                <c:pt idx="1">
                  <c:v>67.636659275683655</c:v>
                </c:pt>
                <c:pt idx="2">
                  <c:v>58.730484378990376</c:v>
                </c:pt>
                <c:pt idx="3">
                  <c:v>56.340480709534361</c:v>
                </c:pt>
                <c:pt idx="4">
                  <c:v>55.873137548695837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5E-4CF7-9257-41F6C18D3BA5}"/>
            </c:ext>
          </c:extLst>
        </c:ser>
        <c:ser>
          <c:idx val="3"/>
          <c:order val="3"/>
          <c:tx>
            <c:strRef>
              <c:f>CHARTS!$M$161</c:f>
              <c:strCache>
                <c:ptCount val="1"/>
                <c:pt idx="0">
                  <c:v>MLP (PCA)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CHARTS!$M$162:$M$166</c:f>
              <c:numCache>
                <c:formatCode>0.00</c:formatCode>
                <c:ptCount val="5"/>
                <c:pt idx="0">
                  <c:v>47.579409663865547</c:v>
                </c:pt>
                <c:pt idx="1">
                  <c:v>62.904751609569985</c:v>
                </c:pt>
                <c:pt idx="2">
                  <c:v>57.069956194147537</c:v>
                </c:pt>
                <c:pt idx="3">
                  <c:v>54.761485808159172</c:v>
                </c:pt>
                <c:pt idx="4">
                  <c:v>55.578900818935558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35E-4CF7-9257-41F6C18D3B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6055872"/>
        <c:axId val="726050432"/>
      </c:barChart>
      <c:catAx>
        <c:axId val="72605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0432"/>
        <c:crosses val="autoZero"/>
        <c:auto val="1"/>
        <c:lblAlgn val="ctr"/>
        <c:lblOffset val="100"/>
        <c:noMultiLvlLbl val="0"/>
      </c:catAx>
      <c:valAx>
        <c:axId val="7260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PCA_HoE!$K$186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PCA_HoE!$H$187:$I$211</c:f>
              <c:multiLvlStrCache>
                <c:ptCount val="25"/>
                <c:lvl>
                  <c:pt idx="0">
                    <c:v>ALL</c:v>
                  </c:pt>
                  <c:pt idx="1">
                    <c:v>RP1</c:v>
                  </c:pt>
                  <c:pt idx="2">
                    <c:v>RP2</c:v>
                  </c:pt>
                  <c:pt idx="3">
                    <c:v>RP3</c:v>
                  </c:pt>
                  <c:pt idx="4">
                    <c:v>RP4</c:v>
                  </c:pt>
                  <c:pt idx="5">
                    <c:v>ALL</c:v>
                  </c:pt>
                  <c:pt idx="6">
                    <c:v>RP1</c:v>
                  </c:pt>
                  <c:pt idx="7">
                    <c:v>RP2</c:v>
                  </c:pt>
                  <c:pt idx="8">
                    <c:v>RP3</c:v>
                  </c:pt>
                  <c:pt idx="9">
                    <c:v>RP4</c:v>
                  </c:pt>
                  <c:pt idx="10">
                    <c:v>ALL</c:v>
                  </c:pt>
                  <c:pt idx="11">
                    <c:v>RP1</c:v>
                  </c:pt>
                  <c:pt idx="12">
                    <c:v>RP2</c:v>
                  </c:pt>
                  <c:pt idx="13">
                    <c:v>RP3</c:v>
                  </c:pt>
                  <c:pt idx="14">
                    <c:v>RP4</c:v>
                  </c:pt>
                  <c:pt idx="15">
                    <c:v>ALL</c:v>
                  </c:pt>
                  <c:pt idx="16">
                    <c:v>RP1</c:v>
                  </c:pt>
                  <c:pt idx="17">
                    <c:v>RP2</c:v>
                  </c:pt>
                  <c:pt idx="18">
                    <c:v>RP3</c:v>
                  </c:pt>
                  <c:pt idx="19">
                    <c:v>RP4</c:v>
                  </c:pt>
                  <c:pt idx="20">
                    <c:v>ALL</c:v>
                  </c:pt>
                  <c:pt idx="21">
                    <c:v>RP1</c:v>
                  </c:pt>
                  <c:pt idx="22">
                    <c:v>RP2</c:v>
                  </c:pt>
                  <c:pt idx="23">
                    <c:v>RP3</c:v>
                  </c:pt>
                  <c:pt idx="24">
                    <c:v>RP4</c:v>
                  </c:pt>
                </c:lvl>
                <c:lvl>
                  <c:pt idx="0">
                    <c:v>AP</c:v>
                  </c:pt>
                  <c:pt idx="5">
                    <c:v>AT</c:v>
                  </c:pt>
                  <c:pt idx="10">
                    <c:v>PL</c:v>
                  </c:pt>
                  <c:pt idx="15">
                    <c:v>SE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PCA_HoE!$K$187:$K$211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3C-458F-9C6E-A70B5DDC6F70}"/>
            </c:ext>
          </c:extLst>
        </c:ser>
        <c:ser>
          <c:idx val="2"/>
          <c:order val="2"/>
          <c:tx>
            <c:strRef>
              <c:f>PCA_HoE!$L$186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PCA_HoE!$H$187:$I$211</c:f>
              <c:multiLvlStrCache>
                <c:ptCount val="25"/>
                <c:lvl>
                  <c:pt idx="0">
                    <c:v>ALL</c:v>
                  </c:pt>
                  <c:pt idx="1">
                    <c:v>RP1</c:v>
                  </c:pt>
                  <c:pt idx="2">
                    <c:v>RP2</c:v>
                  </c:pt>
                  <c:pt idx="3">
                    <c:v>RP3</c:v>
                  </c:pt>
                  <c:pt idx="4">
                    <c:v>RP4</c:v>
                  </c:pt>
                  <c:pt idx="5">
                    <c:v>ALL</c:v>
                  </c:pt>
                  <c:pt idx="6">
                    <c:v>RP1</c:v>
                  </c:pt>
                  <c:pt idx="7">
                    <c:v>RP2</c:v>
                  </c:pt>
                  <c:pt idx="8">
                    <c:v>RP3</c:v>
                  </c:pt>
                  <c:pt idx="9">
                    <c:v>RP4</c:v>
                  </c:pt>
                  <c:pt idx="10">
                    <c:v>ALL</c:v>
                  </c:pt>
                  <c:pt idx="11">
                    <c:v>RP1</c:v>
                  </c:pt>
                  <c:pt idx="12">
                    <c:v>RP2</c:v>
                  </c:pt>
                  <c:pt idx="13">
                    <c:v>RP3</c:v>
                  </c:pt>
                  <c:pt idx="14">
                    <c:v>RP4</c:v>
                  </c:pt>
                  <c:pt idx="15">
                    <c:v>ALL</c:v>
                  </c:pt>
                  <c:pt idx="16">
                    <c:v>RP1</c:v>
                  </c:pt>
                  <c:pt idx="17">
                    <c:v>RP2</c:v>
                  </c:pt>
                  <c:pt idx="18">
                    <c:v>RP3</c:v>
                  </c:pt>
                  <c:pt idx="19">
                    <c:v>RP4</c:v>
                  </c:pt>
                  <c:pt idx="20">
                    <c:v>ALL</c:v>
                  </c:pt>
                  <c:pt idx="21">
                    <c:v>RP1</c:v>
                  </c:pt>
                  <c:pt idx="22">
                    <c:v>RP2</c:v>
                  </c:pt>
                  <c:pt idx="23">
                    <c:v>RP3</c:v>
                  </c:pt>
                  <c:pt idx="24">
                    <c:v>RP4</c:v>
                  </c:pt>
                </c:lvl>
                <c:lvl>
                  <c:pt idx="0">
                    <c:v>AP</c:v>
                  </c:pt>
                  <c:pt idx="5">
                    <c:v>AT</c:v>
                  </c:pt>
                  <c:pt idx="10">
                    <c:v>PL</c:v>
                  </c:pt>
                  <c:pt idx="15">
                    <c:v>SE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PCA_HoE!$L$187:$L$211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3C-458F-9C6E-A70B5DDC6F70}"/>
            </c:ext>
          </c:extLst>
        </c:ser>
        <c:ser>
          <c:idx val="3"/>
          <c:order val="3"/>
          <c:tx>
            <c:strRef>
              <c:f>PCA_HoE!$M$186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PCA_HoE!$H$187:$I$211</c:f>
              <c:multiLvlStrCache>
                <c:ptCount val="25"/>
                <c:lvl>
                  <c:pt idx="0">
                    <c:v>ALL</c:v>
                  </c:pt>
                  <c:pt idx="1">
                    <c:v>RP1</c:v>
                  </c:pt>
                  <c:pt idx="2">
                    <c:v>RP2</c:v>
                  </c:pt>
                  <c:pt idx="3">
                    <c:v>RP3</c:v>
                  </c:pt>
                  <c:pt idx="4">
                    <c:v>RP4</c:v>
                  </c:pt>
                  <c:pt idx="5">
                    <c:v>ALL</c:v>
                  </c:pt>
                  <c:pt idx="6">
                    <c:v>RP1</c:v>
                  </c:pt>
                  <c:pt idx="7">
                    <c:v>RP2</c:v>
                  </c:pt>
                  <c:pt idx="8">
                    <c:v>RP3</c:v>
                  </c:pt>
                  <c:pt idx="9">
                    <c:v>RP4</c:v>
                  </c:pt>
                  <c:pt idx="10">
                    <c:v>ALL</c:v>
                  </c:pt>
                  <c:pt idx="11">
                    <c:v>RP1</c:v>
                  </c:pt>
                  <c:pt idx="12">
                    <c:v>RP2</c:v>
                  </c:pt>
                  <c:pt idx="13">
                    <c:v>RP3</c:v>
                  </c:pt>
                  <c:pt idx="14">
                    <c:v>RP4</c:v>
                  </c:pt>
                  <c:pt idx="15">
                    <c:v>ALL</c:v>
                  </c:pt>
                  <c:pt idx="16">
                    <c:v>RP1</c:v>
                  </c:pt>
                  <c:pt idx="17">
                    <c:v>RP2</c:v>
                  </c:pt>
                  <c:pt idx="18">
                    <c:v>RP3</c:v>
                  </c:pt>
                  <c:pt idx="19">
                    <c:v>RP4</c:v>
                  </c:pt>
                  <c:pt idx="20">
                    <c:v>ALL</c:v>
                  </c:pt>
                  <c:pt idx="21">
                    <c:v>RP1</c:v>
                  </c:pt>
                  <c:pt idx="22">
                    <c:v>RP2</c:v>
                  </c:pt>
                  <c:pt idx="23">
                    <c:v>RP3</c:v>
                  </c:pt>
                  <c:pt idx="24">
                    <c:v>RP4</c:v>
                  </c:pt>
                </c:lvl>
                <c:lvl>
                  <c:pt idx="0">
                    <c:v>AP</c:v>
                  </c:pt>
                  <c:pt idx="5">
                    <c:v>AT</c:v>
                  </c:pt>
                  <c:pt idx="10">
                    <c:v>PL</c:v>
                  </c:pt>
                  <c:pt idx="15">
                    <c:v>SE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PCA_HoE!$M$187:$M$211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63C-458F-9C6E-A70B5DDC6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153776"/>
        <c:axId val="140915214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PCA_HoE!$J$186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PCA_HoE!$H$187:$I$211</c15:sqref>
                        </c15:formulaRef>
                      </c:ext>
                    </c:extLst>
                    <c:multiLvlStrCache>
                      <c:ptCount val="25"/>
                      <c:lvl>
                        <c:pt idx="0">
                          <c:v>ALL</c:v>
                        </c:pt>
                        <c:pt idx="1">
                          <c:v>RP1</c:v>
                        </c:pt>
                        <c:pt idx="2">
                          <c:v>RP2</c:v>
                        </c:pt>
                        <c:pt idx="3">
                          <c:v>RP3</c:v>
                        </c:pt>
                        <c:pt idx="4">
                          <c:v>RP4</c:v>
                        </c:pt>
                        <c:pt idx="5">
                          <c:v>ALL</c:v>
                        </c:pt>
                        <c:pt idx="6">
                          <c:v>RP1</c:v>
                        </c:pt>
                        <c:pt idx="7">
                          <c:v>RP2</c:v>
                        </c:pt>
                        <c:pt idx="8">
                          <c:v>RP3</c:v>
                        </c:pt>
                        <c:pt idx="9">
                          <c:v>RP4</c:v>
                        </c:pt>
                        <c:pt idx="10">
                          <c:v>ALL</c:v>
                        </c:pt>
                        <c:pt idx="11">
                          <c:v>RP1</c:v>
                        </c:pt>
                        <c:pt idx="12">
                          <c:v>RP2</c:v>
                        </c:pt>
                        <c:pt idx="13">
                          <c:v>RP3</c:v>
                        </c:pt>
                        <c:pt idx="14">
                          <c:v>RP4</c:v>
                        </c:pt>
                        <c:pt idx="15">
                          <c:v>ALL</c:v>
                        </c:pt>
                        <c:pt idx="16">
                          <c:v>RP1</c:v>
                        </c:pt>
                        <c:pt idx="17">
                          <c:v>RP2</c:v>
                        </c:pt>
                        <c:pt idx="18">
                          <c:v>RP3</c:v>
                        </c:pt>
                        <c:pt idx="19">
                          <c:v>RP4</c:v>
                        </c:pt>
                        <c:pt idx="20">
                          <c:v>ALL</c:v>
                        </c:pt>
                        <c:pt idx="21">
                          <c:v>RP1</c:v>
                        </c:pt>
                        <c:pt idx="22">
                          <c:v>RP2</c:v>
                        </c:pt>
                        <c:pt idx="23">
                          <c:v>RP3</c:v>
                        </c:pt>
                        <c:pt idx="24">
                          <c:v>RP4</c:v>
                        </c:pt>
                      </c:lvl>
                      <c:lvl>
                        <c:pt idx="0">
                          <c:v>AP</c:v>
                        </c:pt>
                        <c:pt idx="5">
                          <c:v>AT</c:v>
                        </c:pt>
                        <c:pt idx="10">
                          <c:v>PL</c:v>
                        </c:pt>
                        <c:pt idx="15">
                          <c:v>SE</c:v>
                        </c:pt>
                        <c:pt idx="20">
                          <c:v>AVG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PCA_HoE!$J$187:$J$211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 formatCode="0.00">
                        <c:v>0</c:v>
                      </c:pt>
                      <c:pt idx="21" formatCode="0.00">
                        <c:v>0</c:v>
                      </c:pt>
                      <c:pt idx="22" formatCode="0.00">
                        <c:v>0</c:v>
                      </c:pt>
                      <c:pt idx="23" formatCode="0.00">
                        <c:v>0</c:v>
                      </c:pt>
                      <c:pt idx="24" formatCode="0.00">
                        <c:v>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463C-458F-9C6E-A70B5DDC6F70}"/>
                  </c:ext>
                </c:extLst>
              </c15:ser>
            </c15:filteredBarSeries>
          </c:ext>
        </c:extLst>
      </c:barChart>
      <c:catAx>
        <c:axId val="14091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52144"/>
        <c:crosses val="autoZero"/>
        <c:auto val="1"/>
        <c:lblAlgn val="ctr"/>
        <c:lblOffset val="100"/>
        <c:noMultiLvlLbl val="0"/>
      </c:catAx>
      <c:valAx>
        <c:axId val="14091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5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77880627516977E-2"/>
          <c:y val="5.7739284921163668E-2"/>
          <c:w val="0.90563026186612172"/>
          <c:h val="0.737626534191553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CHARTS!$N$161</c:f>
              <c:strCache>
                <c:ptCount val="1"/>
                <c:pt idx="0">
                  <c:v>SVM (Base)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CHARTS!$N$162:$N$166</c:f>
              <c:numCache>
                <c:formatCode>0.00</c:formatCode>
                <c:ptCount val="5"/>
                <c:pt idx="0">
                  <c:v>41.18489741410707</c:v>
                </c:pt>
                <c:pt idx="1">
                  <c:v>50.759998029944839</c:v>
                </c:pt>
                <c:pt idx="2">
                  <c:v>51.584960744402444</c:v>
                </c:pt>
                <c:pt idx="3">
                  <c:v>63.84701619901648</c:v>
                </c:pt>
                <c:pt idx="4">
                  <c:v>51.844218096867706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DE-4CE7-B8E2-EEEC69720600}"/>
            </c:ext>
          </c:extLst>
        </c:ser>
        <c:ser>
          <c:idx val="1"/>
          <c:order val="1"/>
          <c:tx>
            <c:strRef>
              <c:f>CHARTS!$O$161</c:f>
              <c:strCache>
                <c:ptCount val="1"/>
                <c:pt idx="0">
                  <c:v>SVM (PCA)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CHARTS!$O$162:$O$166</c:f>
              <c:numCache>
                <c:formatCode>0.00</c:formatCode>
                <c:ptCount val="5"/>
                <c:pt idx="0">
                  <c:v>40.444821362343923</c:v>
                </c:pt>
                <c:pt idx="1">
                  <c:v>40.320622529644261</c:v>
                </c:pt>
                <c:pt idx="2">
                  <c:v>49.67</c:v>
                </c:pt>
                <c:pt idx="3">
                  <c:v>43.355613458706245</c:v>
                </c:pt>
                <c:pt idx="4">
                  <c:v>43.447764337673611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DE-4CE7-B8E2-EEEC69720600}"/>
            </c:ext>
          </c:extLst>
        </c:ser>
        <c:ser>
          <c:idx val="2"/>
          <c:order val="2"/>
          <c:tx>
            <c:strRef>
              <c:f>CHARTS!$P$161</c:f>
              <c:strCache>
                <c:ptCount val="1"/>
                <c:pt idx="0">
                  <c:v>MLP (Base)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CHARTS!$P$162:$P$166</c:f>
              <c:numCache>
                <c:formatCode>0.00</c:formatCode>
                <c:ptCount val="5"/>
                <c:pt idx="0">
                  <c:v>44.524999438517689</c:v>
                </c:pt>
                <c:pt idx="1">
                  <c:v>43.454458884416333</c:v>
                </c:pt>
                <c:pt idx="2">
                  <c:v>46.27346369922212</c:v>
                </c:pt>
                <c:pt idx="3">
                  <c:v>46.473163495646553</c:v>
                </c:pt>
                <c:pt idx="4">
                  <c:v>45.181521379450679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7DE-4CE7-B8E2-EEEC69720600}"/>
            </c:ext>
          </c:extLst>
        </c:ser>
        <c:ser>
          <c:idx val="3"/>
          <c:order val="3"/>
          <c:tx>
            <c:strRef>
              <c:f>CHARTS!$Q$161</c:f>
              <c:strCache>
                <c:ptCount val="1"/>
                <c:pt idx="0">
                  <c:v>MLP (PCA)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CHARTS!$Q$162:$Q$166</c:f>
              <c:numCache>
                <c:formatCode>0.00</c:formatCode>
                <c:ptCount val="5"/>
                <c:pt idx="0">
                  <c:v>34.74137285940423</c:v>
                </c:pt>
                <c:pt idx="1">
                  <c:v>52.439382151029747</c:v>
                </c:pt>
                <c:pt idx="2">
                  <c:v>43.782050696506055</c:v>
                </c:pt>
                <c:pt idx="3">
                  <c:v>49.268972095383056</c:v>
                </c:pt>
                <c:pt idx="4">
                  <c:v>45.05794445058077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7DE-4CE7-B8E2-EEEC697206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6043360"/>
        <c:axId val="726047712"/>
      </c:barChart>
      <c:catAx>
        <c:axId val="72604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7712"/>
        <c:crosses val="autoZero"/>
        <c:auto val="1"/>
        <c:lblAlgn val="ctr"/>
        <c:lblOffset val="100"/>
        <c:noMultiLvlLbl val="0"/>
      </c:catAx>
      <c:valAx>
        <c:axId val="7260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CHARTS!$R$161</c:f>
              <c:strCache>
                <c:ptCount val="1"/>
                <c:pt idx="0">
                  <c:v>SVM (Base)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CHARTS!$R$162:$R$166</c:f>
              <c:numCache>
                <c:formatCode>0.00</c:formatCode>
                <c:ptCount val="5"/>
                <c:pt idx="0">
                  <c:v>26.362271269571778</c:v>
                </c:pt>
                <c:pt idx="1">
                  <c:v>44.413563090605898</c:v>
                </c:pt>
                <c:pt idx="2">
                  <c:v>42.961441934747889</c:v>
                </c:pt>
                <c:pt idx="3">
                  <c:v>45.498146936995852</c:v>
                </c:pt>
                <c:pt idx="4">
                  <c:v>39.808855807980351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DE-4B5C-9E52-77B242CDDCEC}"/>
            </c:ext>
          </c:extLst>
        </c:ser>
        <c:ser>
          <c:idx val="1"/>
          <c:order val="1"/>
          <c:tx>
            <c:strRef>
              <c:f>CHARTS!$S$161</c:f>
              <c:strCache>
                <c:ptCount val="1"/>
                <c:pt idx="0">
                  <c:v>SVM (PCA)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CHARTS!$S$162:$S$166</c:f>
              <c:numCache>
                <c:formatCode>0.00</c:formatCode>
                <c:ptCount val="5"/>
                <c:pt idx="0">
                  <c:v>26.362271269571778</c:v>
                </c:pt>
                <c:pt idx="1">
                  <c:v>44.413563090605898</c:v>
                </c:pt>
                <c:pt idx="2">
                  <c:v>42.961441934747889</c:v>
                </c:pt>
                <c:pt idx="3">
                  <c:v>45.498146936995852</c:v>
                </c:pt>
                <c:pt idx="4">
                  <c:v>39.808855807980351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DE-4B5C-9E52-77B242CDDCEC}"/>
            </c:ext>
          </c:extLst>
        </c:ser>
        <c:ser>
          <c:idx val="2"/>
          <c:order val="2"/>
          <c:tx>
            <c:strRef>
              <c:f>CHARTS!$T$161</c:f>
              <c:strCache>
                <c:ptCount val="1"/>
                <c:pt idx="0">
                  <c:v>MLP (Base)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CHARTS!$T$162:$T$166</c:f>
              <c:numCache>
                <c:formatCode>0.00</c:formatCode>
                <c:ptCount val="5"/>
                <c:pt idx="0">
                  <c:v>38.362071567989588</c:v>
                </c:pt>
                <c:pt idx="1">
                  <c:v>44.413563090605898</c:v>
                </c:pt>
                <c:pt idx="2">
                  <c:v>35.408172710596865</c:v>
                </c:pt>
                <c:pt idx="3">
                  <c:v>45.48806585259485</c:v>
                </c:pt>
                <c:pt idx="4">
                  <c:v>40.917968305446799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ADE-4B5C-9E52-77B242CDDCEC}"/>
            </c:ext>
          </c:extLst>
        </c:ser>
        <c:ser>
          <c:idx val="3"/>
          <c:order val="3"/>
          <c:tx>
            <c:strRef>
              <c:f>CHARTS!$U$161</c:f>
              <c:strCache>
                <c:ptCount val="1"/>
                <c:pt idx="0">
                  <c:v>MLP (PCA)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CHARTS!$U$162:$U$166</c:f>
              <c:numCache>
                <c:formatCode>0.00</c:formatCode>
                <c:ptCount val="5"/>
                <c:pt idx="0">
                  <c:v>26.514429857464364</c:v>
                </c:pt>
                <c:pt idx="1">
                  <c:v>47.066604552673375</c:v>
                </c:pt>
                <c:pt idx="2">
                  <c:v>50.672168508287299</c:v>
                </c:pt>
                <c:pt idx="3">
                  <c:v>47.723208198264139</c:v>
                </c:pt>
                <c:pt idx="4">
                  <c:v>42.994102779172295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ADE-4B5C-9E52-77B242CDDC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6043904"/>
        <c:axId val="726053152"/>
      </c:barChart>
      <c:catAx>
        <c:axId val="72604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3152"/>
        <c:crosses val="autoZero"/>
        <c:auto val="1"/>
        <c:lblAlgn val="ctr"/>
        <c:lblOffset val="100"/>
        <c:noMultiLvlLbl val="0"/>
      </c:catAx>
      <c:valAx>
        <c:axId val="7260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77880627516977E-2"/>
          <c:y val="5.3297801465689541E-2"/>
          <c:w val="0.90563026186612172"/>
          <c:h val="0.74206801764702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CHARTS!$V$161</c:f>
              <c:strCache>
                <c:ptCount val="1"/>
                <c:pt idx="0">
                  <c:v>SVM (Base)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CHARTS!$V$162:$V$166</c:f>
              <c:numCache>
                <c:formatCode>0.00</c:formatCode>
                <c:ptCount val="5"/>
                <c:pt idx="0">
                  <c:v>28.287604938271603</c:v>
                </c:pt>
                <c:pt idx="1">
                  <c:v>38.79723853683668</c:v>
                </c:pt>
                <c:pt idx="2">
                  <c:v>23.353977758768178</c:v>
                </c:pt>
                <c:pt idx="3">
                  <c:v>40.460224635892374</c:v>
                </c:pt>
                <c:pt idx="4">
                  <c:v>32.724761467442207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78-4848-988B-44C46297AB0C}"/>
            </c:ext>
          </c:extLst>
        </c:ser>
        <c:ser>
          <c:idx val="1"/>
          <c:order val="1"/>
          <c:tx>
            <c:strRef>
              <c:f>CHARTS!$W$161</c:f>
              <c:strCache>
                <c:ptCount val="1"/>
                <c:pt idx="0">
                  <c:v>SVM (PCA)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CHARTS!$W$162:$W$166</c:f>
              <c:numCache>
                <c:formatCode>0.00</c:formatCode>
                <c:ptCount val="5"/>
                <c:pt idx="0">
                  <c:v>28.287604938271603</c:v>
                </c:pt>
                <c:pt idx="1">
                  <c:v>38.79723853683668</c:v>
                </c:pt>
                <c:pt idx="2">
                  <c:v>23.364651560495936</c:v>
                </c:pt>
                <c:pt idx="3">
                  <c:v>38.522479896238657</c:v>
                </c:pt>
                <c:pt idx="4">
                  <c:v>32.24299373296072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978-4848-988B-44C46297AB0C}"/>
            </c:ext>
          </c:extLst>
        </c:ser>
        <c:ser>
          <c:idx val="2"/>
          <c:order val="2"/>
          <c:tx>
            <c:strRef>
              <c:f>CHARTS!$X$161</c:f>
              <c:strCache>
                <c:ptCount val="1"/>
                <c:pt idx="0">
                  <c:v>MLP (Base)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CHARTS!$X$162:$X$166</c:f>
              <c:numCache>
                <c:formatCode>0.00</c:formatCode>
                <c:ptCount val="5"/>
                <c:pt idx="0">
                  <c:v>40.673863552550706</c:v>
                </c:pt>
                <c:pt idx="1">
                  <c:v>44.19</c:v>
                </c:pt>
                <c:pt idx="2">
                  <c:v>26.150222222222222</c:v>
                </c:pt>
                <c:pt idx="3">
                  <c:v>40.541779640128169</c:v>
                </c:pt>
                <c:pt idx="4">
                  <c:v>37.888966353725273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978-4848-988B-44C46297AB0C}"/>
            </c:ext>
          </c:extLst>
        </c:ser>
        <c:ser>
          <c:idx val="3"/>
          <c:order val="3"/>
          <c:tx>
            <c:strRef>
              <c:f>CHARTS!$Y$161</c:f>
              <c:strCache>
                <c:ptCount val="1"/>
                <c:pt idx="0">
                  <c:v>MLP (PCA)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CHARTS!$Y$162:$Y$166</c:f>
              <c:numCache>
                <c:formatCode>0.00</c:formatCode>
                <c:ptCount val="5"/>
                <c:pt idx="0">
                  <c:v>42.965566091625732</c:v>
                </c:pt>
                <c:pt idx="1">
                  <c:v>44.174999434069051</c:v>
                </c:pt>
                <c:pt idx="2">
                  <c:v>45.905168344700662</c:v>
                </c:pt>
                <c:pt idx="3">
                  <c:v>31.424770087509945</c:v>
                </c:pt>
                <c:pt idx="4">
                  <c:v>41.117625989476352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978-4848-988B-44C46297AB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6044448"/>
        <c:axId val="726056960"/>
      </c:barChart>
      <c:catAx>
        <c:axId val="72604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6960"/>
        <c:crosses val="autoZero"/>
        <c:auto val="1"/>
        <c:lblAlgn val="ctr"/>
        <c:lblOffset val="100"/>
        <c:noMultiLvlLbl val="0"/>
      </c:catAx>
      <c:valAx>
        <c:axId val="7260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CHARTS!$Z$161</c:f>
              <c:strCache>
                <c:ptCount val="1"/>
                <c:pt idx="0">
                  <c:v>SVM (Base)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CHARTS!$Z$162:$Z$166</c:f>
              <c:numCache>
                <c:formatCode>0.00</c:formatCode>
                <c:ptCount val="5"/>
                <c:pt idx="0">
                  <c:v>35.140744584252168</c:v>
                </c:pt>
                <c:pt idx="1">
                  <c:v>41.684161418241189</c:v>
                </c:pt>
                <c:pt idx="2">
                  <c:v>37.5</c:v>
                </c:pt>
                <c:pt idx="3">
                  <c:v>45.024738867509626</c:v>
                </c:pt>
                <c:pt idx="4">
                  <c:v>39.837411217500744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E4-4919-B41F-A90DF0E3D657}"/>
            </c:ext>
          </c:extLst>
        </c:ser>
        <c:ser>
          <c:idx val="1"/>
          <c:order val="1"/>
          <c:tx>
            <c:strRef>
              <c:f>CHARTS!$AA$161</c:f>
              <c:strCache>
                <c:ptCount val="1"/>
                <c:pt idx="0">
                  <c:v>SVM (PCA)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CHARTS!$AA$162:$AA$166</c:f>
              <c:numCache>
                <c:formatCode>0.00</c:formatCode>
                <c:ptCount val="5"/>
                <c:pt idx="0">
                  <c:v>35.140744584252168</c:v>
                </c:pt>
                <c:pt idx="1">
                  <c:v>41.684161418241189</c:v>
                </c:pt>
                <c:pt idx="2">
                  <c:v>37.5</c:v>
                </c:pt>
                <c:pt idx="3">
                  <c:v>45.024738867509626</c:v>
                </c:pt>
                <c:pt idx="4">
                  <c:v>39.837411217500744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AE4-4919-B41F-A90DF0E3D657}"/>
            </c:ext>
          </c:extLst>
        </c:ser>
        <c:ser>
          <c:idx val="2"/>
          <c:order val="2"/>
          <c:tx>
            <c:strRef>
              <c:f>CHARTS!$AB$161</c:f>
              <c:strCache>
                <c:ptCount val="1"/>
                <c:pt idx="0">
                  <c:v>MLP (Base)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CHARTS!$AB$162:$AB$166</c:f>
              <c:numCache>
                <c:formatCode>0.00</c:formatCode>
                <c:ptCount val="5"/>
                <c:pt idx="0">
                  <c:v>43.984749346368083</c:v>
                </c:pt>
                <c:pt idx="1">
                  <c:v>41.684161418241189</c:v>
                </c:pt>
                <c:pt idx="2">
                  <c:v>51.124995599022007</c:v>
                </c:pt>
                <c:pt idx="3">
                  <c:v>45.024738867509626</c:v>
                </c:pt>
                <c:pt idx="4">
                  <c:v>45.45466130778523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E4-4919-B41F-A90DF0E3D657}"/>
            </c:ext>
          </c:extLst>
        </c:ser>
        <c:ser>
          <c:idx val="3"/>
          <c:order val="3"/>
          <c:tx>
            <c:strRef>
              <c:f>CHARTS!$AC$161</c:f>
              <c:strCache>
                <c:ptCount val="1"/>
                <c:pt idx="0">
                  <c:v>MLP (PCA)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CHARTS!$AC$162:$AC$166</c:f>
              <c:numCache>
                <c:formatCode>0.00</c:formatCode>
                <c:ptCount val="5"/>
                <c:pt idx="0">
                  <c:v>47.394024686148327</c:v>
                </c:pt>
                <c:pt idx="1">
                  <c:v>40.158901892430286</c:v>
                </c:pt>
                <c:pt idx="2">
                  <c:v>37.5</c:v>
                </c:pt>
                <c:pt idx="3">
                  <c:v>45.024738867509626</c:v>
                </c:pt>
                <c:pt idx="4">
                  <c:v>42.519416361522062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AE4-4919-B41F-A90DF0E3D6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6054240"/>
        <c:axId val="726048256"/>
      </c:barChart>
      <c:catAx>
        <c:axId val="72605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8256"/>
        <c:crosses val="autoZero"/>
        <c:auto val="1"/>
        <c:lblAlgn val="ctr"/>
        <c:lblOffset val="100"/>
        <c:noMultiLvlLbl val="0"/>
      </c:catAx>
      <c:valAx>
        <c:axId val="7260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77880627516977E-2"/>
          <c:y val="7.5505218743060182E-2"/>
          <c:w val="0.90563026186612172"/>
          <c:h val="0.71986060036965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CHARTS!$AD$161</c:f>
              <c:strCache>
                <c:ptCount val="1"/>
                <c:pt idx="0">
                  <c:v>SVM (Base)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CHARTS!$AD$162:$AD$166</c:f>
              <c:numCache>
                <c:formatCode>0.00</c:formatCode>
                <c:ptCount val="5"/>
                <c:pt idx="0">
                  <c:v>50.470716196136706</c:v>
                </c:pt>
                <c:pt idx="1">
                  <c:v>27.272033619587063</c:v>
                </c:pt>
                <c:pt idx="2">
                  <c:v>30.294933157286678</c:v>
                </c:pt>
                <c:pt idx="3">
                  <c:v>46.706459177147735</c:v>
                </c:pt>
                <c:pt idx="4">
                  <c:v>38.686035537539546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E35-4475-9D0A-B18DDB71312D}"/>
            </c:ext>
          </c:extLst>
        </c:ser>
        <c:ser>
          <c:idx val="1"/>
          <c:order val="1"/>
          <c:tx>
            <c:strRef>
              <c:f>CHARTS!$AE$161</c:f>
              <c:strCache>
                <c:ptCount val="1"/>
                <c:pt idx="0">
                  <c:v>SVM (PCA)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CHARTS!$AE$162:$AE$166</c:f>
              <c:numCache>
                <c:formatCode>0.00</c:formatCode>
                <c:ptCount val="5"/>
                <c:pt idx="0">
                  <c:v>40.666903999050668</c:v>
                </c:pt>
                <c:pt idx="1">
                  <c:v>16.0915688101895</c:v>
                </c:pt>
                <c:pt idx="2">
                  <c:v>30.284933135215454</c:v>
                </c:pt>
                <c:pt idx="3">
                  <c:v>46.706459177147735</c:v>
                </c:pt>
                <c:pt idx="4">
                  <c:v>33.437466280400841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35-4475-9D0A-B18DDB71312D}"/>
            </c:ext>
          </c:extLst>
        </c:ser>
        <c:ser>
          <c:idx val="2"/>
          <c:order val="2"/>
          <c:tx>
            <c:strRef>
              <c:f>CHARTS!$AF$161</c:f>
              <c:strCache>
                <c:ptCount val="1"/>
                <c:pt idx="0">
                  <c:v>MLP (Base)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CHARTS!$AF$162:$AF$166</c:f>
              <c:numCache>
                <c:formatCode>0.00</c:formatCode>
                <c:ptCount val="5"/>
                <c:pt idx="0">
                  <c:v>40.666903999050668</c:v>
                </c:pt>
                <c:pt idx="1">
                  <c:v>29.695161828495166</c:v>
                </c:pt>
                <c:pt idx="2">
                  <c:v>35.425545654139221</c:v>
                </c:pt>
                <c:pt idx="3">
                  <c:v>46.706459177147735</c:v>
                </c:pt>
                <c:pt idx="4">
                  <c:v>38.123517664708196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E35-4475-9D0A-B18DDB71312D}"/>
            </c:ext>
          </c:extLst>
        </c:ser>
        <c:ser>
          <c:idx val="3"/>
          <c:order val="3"/>
          <c:tx>
            <c:strRef>
              <c:f>CHARTS!$AG$161</c:f>
              <c:strCache>
                <c:ptCount val="1"/>
                <c:pt idx="0">
                  <c:v>MLP (PCA)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CHARTS!$AG$162:$AG$166</c:f>
              <c:numCache>
                <c:formatCode>0.00</c:formatCode>
                <c:ptCount val="5"/>
                <c:pt idx="0">
                  <c:v>56.661580381471381</c:v>
                </c:pt>
                <c:pt idx="1">
                  <c:v>41.967429785225391</c:v>
                </c:pt>
                <c:pt idx="2">
                  <c:v>44.579979811574695</c:v>
                </c:pt>
                <c:pt idx="3">
                  <c:v>51.33054322429907</c:v>
                </c:pt>
                <c:pt idx="4">
                  <c:v>48.634883300642635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E35-4475-9D0A-B18DDB7131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6050976"/>
        <c:axId val="726049344"/>
      </c:barChart>
      <c:catAx>
        <c:axId val="72605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9344"/>
        <c:crosses val="autoZero"/>
        <c:auto val="1"/>
        <c:lblAlgn val="ctr"/>
        <c:lblOffset val="100"/>
        <c:noMultiLvlLbl val="0"/>
      </c:catAx>
      <c:valAx>
        <c:axId val="7260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CHARTS!$AH$161</c:f>
              <c:strCache>
                <c:ptCount val="1"/>
                <c:pt idx="0">
                  <c:v>SVM (Base)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CHARTS!$AH$162:$AH$166</c:f>
              <c:numCache>
                <c:formatCode>0.00</c:formatCode>
                <c:ptCount val="5"/>
                <c:pt idx="0">
                  <c:v>46.38499514929395</c:v>
                </c:pt>
                <c:pt idx="1">
                  <c:v>45.499206593406598</c:v>
                </c:pt>
                <c:pt idx="2">
                  <c:v>58.598805664562363</c:v>
                </c:pt>
                <c:pt idx="3">
                  <c:v>52.870011316484344</c:v>
                </c:pt>
                <c:pt idx="4">
                  <c:v>50.838254680936814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26-43A2-B632-599FD9F6B89B}"/>
            </c:ext>
          </c:extLst>
        </c:ser>
        <c:ser>
          <c:idx val="1"/>
          <c:order val="1"/>
          <c:tx>
            <c:strRef>
              <c:f>CHARTS!$AI$161</c:f>
              <c:strCache>
                <c:ptCount val="1"/>
                <c:pt idx="0">
                  <c:v>SVM (PCA)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CHARTS!$AI$162:$AI$166</c:f>
              <c:numCache>
                <c:formatCode>0.00</c:formatCode>
                <c:ptCount val="5"/>
                <c:pt idx="0">
                  <c:v>56.009285841813956</c:v>
                </c:pt>
                <c:pt idx="1">
                  <c:v>49.669991946849201</c:v>
                </c:pt>
                <c:pt idx="2">
                  <c:v>58.192286941580754</c:v>
                </c:pt>
                <c:pt idx="3">
                  <c:v>51.361665855794492</c:v>
                </c:pt>
                <c:pt idx="4">
                  <c:v>53.808307646509597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526-43A2-B632-599FD9F6B89B}"/>
            </c:ext>
          </c:extLst>
        </c:ser>
        <c:ser>
          <c:idx val="2"/>
          <c:order val="2"/>
          <c:tx>
            <c:strRef>
              <c:f>CHARTS!$AJ$161</c:f>
              <c:strCache>
                <c:ptCount val="1"/>
                <c:pt idx="0">
                  <c:v>MLP (Base)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CHARTS!$AJ$162:$AJ$166</c:f>
              <c:numCache>
                <c:formatCode>0.00</c:formatCode>
                <c:ptCount val="5"/>
                <c:pt idx="0">
                  <c:v>42.864112912632685</c:v>
                </c:pt>
                <c:pt idx="1">
                  <c:v>48.494851015568614</c:v>
                </c:pt>
                <c:pt idx="2">
                  <c:v>53.689908735332466</c:v>
                </c:pt>
                <c:pt idx="3">
                  <c:v>57.913497366830697</c:v>
                </c:pt>
                <c:pt idx="4">
                  <c:v>50.740592507591117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526-43A2-B632-599FD9F6B89B}"/>
            </c:ext>
          </c:extLst>
        </c:ser>
        <c:ser>
          <c:idx val="3"/>
          <c:order val="3"/>
          <c:tx>
            <c:strRef>
              <c:f>CHARTS!$AK$161</c:f>
              <c:strCache>
                <c:ptCount val="1"/>
                <c:pt idx="0">
                  <c:v>MLP (PCA)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CHARTS!$AK$162:$AK$166</c:f>
              <c:numCache>
                <c:formatCode>0.00</c:formatCode>
                <c:ptCount val="5"/>
                <c:pt idx="0">
                  <c:v>45.054986128065693</c:v>
                </c:pt>
                <c:pt idx="1">
                  <c:v>46.754550315474283</c:v>
                </c:pt>
                <c:pt idx="2">
                  <c:v>48.424999483737736</c:v>
                </c:pt>
                <c:pt idx="3">
                  <c:v>42.162011146685636</c:v>
                </c:pt>
                <c:pt idx="4">
                  <c:v>45.599136768490837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526-43A2-B632-599FD9F6B8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6056416"/>
        <c:axId val="726042272"/>
      </c:barChart>
      <c:catAx>
        <c:axId val="7260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42272"/>
        <c:crosses val="autoZero"/>
        <c:auto val="1"/>
        <c:lblAlgn val="ctr"/>
        <c:lblOffset val="100"/>
        <c:noMultiLvlLbl val="0"/>
      </c:catAx>
      <c:valAx>
        <c:axId val="7260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77880627516977E-2"/>
          <c:y val="7.5505218743060182E-2"/>
          <c:w val="0.90563026186612172"/>
          <c:h val="0.71986060036965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CHARTS!$AL$161</c:f>
              <c:strCache>
                <c:ptCount val="1"/>
                <c:pt idx="0">
                  <c:v>SVM (Base)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CHARTS!$AL$162:$AL$166</c:f>
              <c:numCache>
                <c:formatCode>0.00</c:formatCode>
                <c:ptCount val="5"/>
                <c:pt idx="0">
                  <c:v>46.711694734598176</c:v>
                </c:pt>
                <c:pt idx="1">
                  <c:v>35.525467440361062</c:v>
                </c:pt>
                <c:pt idx="2">
                  <c:v>32.279081064356433</c:v>
                </c:pt>
                <c:pt idx="3">
                  <c:v>40.504521656354122</c:v>
                </c:pt>
                <c:pt idx="4">
                  <c:v>38.75519122391745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9B-4A58-B32C-7E563F7D9CC0}"/>
            </c:ext>
          </c:extLst>
        </c:ser>
        <c:ser>
          <c:idx val="1"/>
          <c:order val="1"/>
          <c:tx>
            <c:strRef>
              <c:f>CHARTS!$AM$161</c:f>
              <c:strCache>
                <c:ptCount val="1"/>
                <c:pt idx="0">
                  <c:v>SVM (PCA)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CHARTS!$AM$162:$AM$166</c:f>
              <c:numCache>
                <c:formatCode>0.00</c:formatCode>
                <c:ptCount val="5"/>
                <c:pt idx="0">
                  <c:v>40.383927506855841</c:v>
                </c:pt>
                <c:pt idx="1">
                  <c:v>35.525467440361062</c:v>
                </c:pt>
                <c:pt idx="2">
                  <c:v>32.967231980617804</c:v>
                </c:pt>
                <c:pt idx="3">
                  <c:v>40.504521656354122</c:v>
                </c:pt>
                <c:pt idx="4">
                  <c:v>37.345287146047205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C9B-4A58-B32C-7E563F7D9CC0}"/>
            </c:ext>
          </c:extLst>
        </c:ser>
        <c:ser>
          <c:idx val="2"/>
          <c:order val="2"/>
          <c:tx>
            <c:strRef>
              <c:f>CHARTS!$AN$161</c:f>
              <c:strCache>
                <c:ptCount val="1"/>
                <c:pt idx="0">
                  <c:v>MLP (Base)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CHARTS!$AN$162:$AN$166</c:f>
              <c:numCache>
                <c:formatCode>0.00</c:formatCode>
                <c:ptCount val="5"/>
                <c:pt idx="0">
                  <c:v>30.405971719829004</c:v>
                </c:pt>
                <c:pt idx="1">
                  <c:v>30.986887508626637</c:v>
                </c:pt>
                <c:pt idx="2">
                  <c:v>41.948217810286785</c:v>
                </c:pt>
                <c:pt idx="3">
                  <c:v>40.504521656354122</c:v>
                </c:pt>
                <c:pt idx="4">
                  <c:v>35.961399673774139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C9B-4A58-B32C-7E563F7D9CC0}"/>
            </c:ext>
          </c:extLst>
        </c:ser>
        <c:ser>
          <c:idx val="3"/>
          <c:order val="3"/>
          <c:tx>
            <c:strRef>
              <c:f>CHARTS!$AO$161</c:f>
              <c:strCache>
                <c:ptCount val="1"/>
                <c:pt idx="0">
                  <c:v>MLP (PCA)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CHARTS!$AO$162:$AO$166</c:f>
              <c:numCache>
                <c:formatCode>0.00</c:formatCode>
                <c:ptCount val="5"/>
                <c:pt idx="0">
                  <c:v>40.383927506855841</c:v>
                </c:pt>
                <c:pt idx="1">
                  <c:v>36.956055728391718</c:v>
                </c:pt>
                <c:pt idx="2">
                  <c:v>41.948217810286785</c:v>
                </c:pt>
                <c:pt idx="3">
                  <c:v>40.504521656354122</c:v>
                </c:pt>
                <c:pt idx="4">
                  <c:v>39.948180675472116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C9B-4A58-B32C-7E563F7D9C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739520"/>
        <c:axId val="1522741696"/>
      </c:barChart>
      <c:catAx>
        <c:axId val="15227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41696"/>
        <c:crosses val="autoZero"/>
        <c:auto val="1"/>
        <c:lblAlgn val="ctr"/>
        <c:lblOffset val="100"/>
        <c:noMultiLvlLbl val="0"/>
      </c:catAx>
      <c:valAx>
        <c:axId val="15227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CHARTS!$AP$161</c:f>
              <c:strCache>
                <c:ptCount val="1"/>
                <c:pt idx="0">
                  <c:v>SVM (Base)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CHARTS!$AP$162:$AP$166</c:f>
              <c:numCache>
                <c:formatCode>0.00</c:formatCode>
                <c:ptCount val="5"/>
                <c:pt idx="0">
                  <c:v>23.747459685863873</c:v>
                </c:pt>
                <c:pt idx="1">
                  <c:v>34.05433922447903</c:v>
                </c:pt>
                <c:pt idx="2">
                  <c:v>18.659644850329784</c:v>
                </c:pt>
                <c:pt idx="3">
                  <c:v>41.731732898263601</c:v>
                </c:pt>
                <c:pt idx="4">
                  <c:v>29.548294164734074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55-4C9A-971B-B4BF6FE4EFD9}"/>
            </c:ext>
          </c:extLst>
        </c:ser>
        <c:ser>
          <c:idx val="1"/>
          <c:order val="1"/>
          <c:tx>
            <c:strRef>
              <c:f>CHARTS!$AQ$161</c:f>
              <c:strCache>
                <c:ptCount val="1"/>
                <c:pt idx="0">
                  <c:v>SVM (PCA)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CHARTS!$AQ$162:$AQ$166</c:f>
              <c:numCache>
                <c:formatCode>0.00</c:formatCode>
                <c:ptCount val="5"/>
                <c:pt idx="0">
                  <c:v>23.592418300653595</c:v>
                </c:pt>
                <c:pt idx="1">
                  <c:v>34.05433922447903</c:v>
                </c:pt>
                <c:pt idx="2">
                  <c:v>18.659644850329784</c:v>
                </c:pt>
                <c:pt idx="3">
                  <c:v>41.731732898263601</c:v>
                </c:pt>
                <c:pt idx="4">
                  <c:v>29.509533818431503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55-4C9A-971B-B4BF6FE4EFD9}"/>
            </c:ext>
          </c:extLst>
        </c:ser>
        <c:ser>
          <c:idx val="2"/>
          <c:order val="2"/>
          <c:tx>
            <c:strRef>
              <c:f>CHARTS!$AR$161</c:f>
              <c:strCache>
                <c:ptCount val="1"/>
                <c:pt idx="0">
                  <c:v>MLP (Base)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CHARTS!$AR$162:$AR$166</c:f>
              <c:numCache>
                <c:formatCode>0.00</c:formatCode>
                <c:ptCount val="5"/>
                <c:pt idx="0">
                  <c:v>23.029556650246302</c:v>
                </c:pt>
                <c:pt idx="1">
                  <c:v>34.05433922447903</c:v>
                </c:pt>
                <c:pt idx="2">
                  <c:v>43.518424502712477</c:v>
                </c:pt>
                <c:pt idx="3">
                  <c:v>41.731732898263601</c:v>
                </c:pt>
                <c:pt idx="4">
                  <c:v>35.583513318925355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55-4C9A-971B-B4BF6FE4EFD9}"/>
            </c:ext>
          </c:extLst>
        </c:ser>
        <c:ser>
          <c:idx val="3"/>
          <c:order val="3"/>
          <c:tx>
            <c:strRef>
              <c:f>CHARTS!$AS$161</c:f>
              <c:strCache>
                <c:ptCount val="1"/>
                <c:pt idx="0">
                  <c:v>MLP (PCA)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CHARTS!$AS$162:$AS$166</c:f>
              <c:numCache>
                <c:formatCode>0.00</c:formatCode>
                <c:ptCount val="5"/>
                <c:pt idx="0">
                  <c:v>24.423644136807816</c:v>
                </c:pt>
                <c:pt idx="1">
                  <c:v>34.038683029823169</c:v>
                </c:pt>
                <c:pt idx="2">
                  <c:v>43.572960162509872</c:v>
                </c:pt>
                <c:pt idx="3">
                  <c:v>45.392378015199917</c:v>
                </c:pt>
                <c:pt idx="4">
                  <c:v>36.856916336085192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55-4C9A-971B-B4BF6FE4E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750944"/>
        <c:axId val="1522742784"/>
      </c:barChart>
      <c:catAx>
        <c:axId val="15227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42784"/>
        <c:crosses val="autoZero"/>
        <c:auto val="1"/>
        <c:lblAlgn val="ctr"/>
        <c:lblOffset val="100"/>
        <c:noMultiLvlLbl val="0"/>
      </c:catAx>
      <c:valAx>
        <c:axId val="15227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CHARTS!$AT$161</c:f>
              <c:strCache>
                <c:ptCount val="1"/>
                <c:pt idx="0">
                  <c:v>SVM (Base)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CHARTS!$AT$162:$AT$166</c:f>
              <c:numCache>
                <c:formatCode>0.00</c:formatCode>
                <c:ptCount val="5"/>
                <c:pt idx="0">
                  <c:v>47.753396029258099</c:v>
                </c:pt>
                <c:pt idx="1">
                  <c:v>47.769769142379616</c:v>
                </c:pt>
                <c:pt idx="2">
                  <c:v>47.017060506516898</c:v>
                </c:pt>
                <c:pt idx="3">
                  <c:v>49.879711307137136</c:v>
                </c:pt>
                <c:pt idx="4">
                  <c:v>48.104984246322942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E9-4458-B6A6-6E8AB48A2727}"/>
            </c:ext>
          </c:extLst>
        </c:ser>
        <c:ser>
          <c:idx val="1"/>
          <c:order val="1"/>
          <c:tx>
            <c:strRef>
              <c:f>CHARTS!$AU$161</c:f>
              <c:strCache>
                <c:ptCount val="1"/>
                <c:pt idx="0">
                  <c:v>SVM (PCA)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CHARTS!$AU$162:$AU$166</c:f>
              <c:numCache>
                <c:formatCode>0.00</c:formatCode>
                <c:ptCount val="5"/>
                <c:pt idx="0">
                  <c:v>47.753396029258099</c:v>
                </c:pt>
                <c:pt idx="1">
                  <c:v>47.769769142379616</c:v>
                </c:pt>
                <c:pt idx="2">
                  <c:v>47.017060506516898</c:v>
                </c:pt>
                <c:pt idx="3">
                  <c:v>49.879711307137136</c:v>
                </c:pt>
                <c:pt idx="4">
                  <c:v>48.104984246322942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0E9-4458-B6A6-6E8AB48A2727}"/>
            </c:ext>
          </c:extLst>
        </c:ser>
        <c:ser>
          <c:idx val="2"/>
          <c:order val="2"/>
          <c:tx>
            <c:strRef>
              <c:f>CHARTS!$AV$161</c:f>
              <c:strCache>
                <c:ptCount val="1"/>
                <c:pt idx="0">
                  <c:v>MLP (Base)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CHARTS!$AV$162:$AV$166</c:f>
              <c:numCache>
                <c:formatCode>0.00</c:formatCode>
                <c:ptCount val="5"/>
                <c:pt idx="0">
                  <c:v>47.753396029258099</c:v>
                </c:pt>
                <c:pt idx="1">
                  <c:v>47.769769142379616</c:v>
                </c:pt>
                <c:pt idx="2">
                  <c:v>47.017060506516898</c:v>
                </c:pt>
                <c:pt idx="3">
                  <c:v>49.879711307137136</c:v>
                </c:pt>
                <c:pt idx="4">
                  <c:v>48.104984246322942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0E9-4458-B6A6-6E8AB48A2727}"/>
            </c:ext>
          </c:extLst>
        </c:ser>
        <c:ser>
          <c:idx val="3"/>
          <c:order val="3"/>
          <c:tx>
            <c:strRef>
              <c:f>CHARTS!$AW$161</c:f>
              <c:strCache>
                <c:ptCount val="1"/>
                <c:pt idx="0">
                  <c:v>MLP (PCA)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CHARTS!$AW$162:$AW$166</c:f>
              <c:numCache>
                <c:formatCode>0.00</c:formatCode>
                <c:ptCount val="5"/>
                <c:pt idx="0">
                  <c:v>47.753396029258099</c:v>
                </c:pt>
                <c:pt idx="1">
                  <c:v>47.769769142379616</c:v>
                </c:pt>
                <c:pt idx="2">
                  <c:v>46.921697111299913</c:v>
                </c:pt>
                <c:pt idx="3">
                  <c:v>49.879711307137136</c:v>
                </c:pt>
                <c:pt idx="4">
                  <c:v>48.081143397518694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0E9-4458-B6A6-6E8AB48A27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737344"/>
        <c:axId val="1522744416"/>
      </c:barChart>
      <c:catAx>
        <c:axId val="152273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44416"/>
        <c:crosses val="autoZero"/>
        <c:auto val="1"/>
        <c:lblAlgn val="ctr"/>
        <c:lblOffset val="100"/>
        <c:noMultiLvlLbl val="0"/>
      </c:catAx>
      <c:valAx>
        <c:axId val="15227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CHARTS!$AX$161</c:f>
              <c:strCache>
                <c:ptCount val="1"/>
                <c:pt idx="0">
                  <c:v>SVM (Base)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CHARTS!$AX$162:$AX$166</c:f>
              <c:numCache>
                <c:formatCode>0.00</c:formatCode>
                <c:ptCount val="5"/>
                <c:pt idx="0">
                  <c:v>51.073625061184536</c:v>
                </c:pt>
                <c:pt idx="1">
                  <c:v>35.586940151728008</c:v>
                </c:pt>
                <c:pt idx="2">
                  <c:v>39.551996131060328</c:v>
                </c:pt>
                <c:pt idx="3">
                  <c:v>43.349195558576938</c:v>
                </c:pt>
                <c:pt idx="4">
                  <c:v>42.390439225637451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23-46AB-820F-61E321CF6914}"/>
            </c:ext>
          </c:extLst>
        </c:ser>
        <c:ser>
          <c:idx val="1"/>
          <c:order val="1"/>
          <c:tx>
            <c:strRef>
              <c:f>CHARTS!$AY$161</c:f>
              <c:strCache>
                <c:ptCount val="1"/>
                <c:pt idx="0">
                  <c:v>SVM (PCA)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CHARTS!$AY$162:$AY$166</c:f>
              <c:numCache>
                <c:formatCode>0.00</c:formatCode>
                <c:ptCount val="5"/>
                <c:pt idx="0">
                  <c:v>50.843618841577339</c:v>
                </c:pt>
                <c:pt idx="1">
                  <c:v>34.848526753693875</c:v>
                </c:pt>
                <c:pt idx="2">
                  <c:v>39.562432007736007</c:v>
                </c:pt>
                <c:pt idx="3">
                  <c:v>43.349195558576938</c:v>
                </c:pt>
                <c:pt idx="4">
                  <c:v>42.150943290396043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C23-46AB-820F-61E321CF6914}"/>
            </c:ext>
          </c:extLst>
        </c:ser>
        <c:ser>
          <c:idx val="2"/>
          <c:order val="2"/>
          <c:tx>
            <c:strRef>
              <c:f>CHARTS!$AZ$161</c:f>
              <c:strCache>
                <c:ptCount val="1"/>
                <c:pt idx="0">
                  <c:v>MLP (Base)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CHARTS!$AZ$162:$AZ$166</c:f>
              <c:numCache>
                <c:formatCode>0.00</c:formatCode>
                <c:ptCount val="5"/>
                <c:pt idx="0">
                  <c:v>34.529265418357994</c:v>
                </c:pt>
                <c:pt idx="1">
                  <c:v>34.457600464239079</c:v>
                </c:pt>
                <c:pt idx="2">
                  <c:v>39.562432007736007</c:v>
                </c:pt>
                <c:pt idx="3">
                  <c:v>43.349195558576938</c:v>
                </c:pt>
                <c:pt idx="4">
                  <c:v>37.974623362227504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C23-46AB-820F-61E321CF6914}"/>
            </c:ext>
          </c:extLst>
        </c:ser>
        <c:ser>
          <c:idx val="3"/>
          <c:order val="3"/>
          <c:tx>
            <c:strRef>
              <c:f>CHARTS!$BA$161</c:f>
              <c:strCache>
                <c:ptCount val="1"/>
                <c:pt idx="0">
                  <c:v>MLP (PCA)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CHARTS!$A$162:$A$166</c:f>
              <c:strCache>
                <c:ptCount val="5"/>
                <c:pt idx="0">
                  <c:v>Aptitude</c:v>
                </c:pt>
                <c:pt idx="1">
                  <c:v>Attention</c:v>
                </c:pt>
                <c:pt idx="2">
                  <c:v>Pleasantness</c:v>
                </c:pt>
                <c:pt idx="3">
                  <c:v>Sensitivity</c:v>
                </c:pt>
                <c:pt idx="4">
                  <c:v>Average</c:v>
                </c:pt>
              </c:strCache>
            </c:strRef>
          </c:cat>
          <c:val>
            <c:numRef>
              <c:f>CHARTS!$BA$162:$BA$166</c:f>
              <c:numCache>
                <c:formatCode>0.00</c:formatCode>
                <c:ptCount val="5"/>
                <c:pt idx="0">
                  <c:v>52.334999522308209</c:v>
                </c:pt>
                <c:pt idx="1">
                  <c:v>34.979082463913102</c:v>
                </c:pt>
                <c:pt idx="2">
                  <c:v>50.234318702100126</c:v>
                </c:pt>
                <c:pt idx="3">
                  <c:v>48.43651294748787</c:v>
                </c:pt>
                <c:pt idx="4">
                  <c:v>46.496228408952327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C23-46AB-820F-61E321CF69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744960"/>
        <c:axId val="1522748224"/>
      </c:barChart>
      <c:catAx>
        <c:axId val="1522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48224"/>
        <c:crosses val="autoZero"/>
        <c:auto val="1"/>
        <c:lblAlgn val="ctr"/>
        <c:lblOffset val="100"/>
        <c:noMultiLvlLbl val="0"/>
      </c:catAx>
      <c:valAx>
        <c:axId val="15227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4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PCA_HoE!$R$186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PCA_HoE!$O$187:$P$211</c:f>
              <c:multiLvlStrCache>
                <c:ptCount val="25"/>
                <c:lvl>
                  <c:pt idx="0">
                    <c:v>ALL</c:v>
                  </c:pt>
                  <c:pt idx="1">
                    <c:v>RF1</c:v>
                  </c:pt>
                  <c:pt idx="2">
                    <c:v>RF2</c:v>
                  </c:pt>
                  <c:pt idx="3">
                    <c:v>RF3</c:v>
                  </c:pt>
                  <c:pt idx="4">
                    <c:v>RF4</c:v>
                  </c:pt>
                  <c:pt idx="5">
                    <c:v>ALL</c:v>
                  </c:pt>
                  <c:pt idx="6">
                    <c:v>RF1</c:v>
                  </c:pt>
                  <c:pt idx="7">
                    <c:v>RF2</c:v>
                  </c:pt>
                  <c:pt idx="8">
                    <c:v>RF3</c:v>
                  </c:pt>
                  <c:pt idx="9">
                    <c:v>RF4</c:v>
                  </c:pt>
                  <c:pt idx="10">
                    <c:v>ALL</c:v>
                  </c:pt>
                  <c:pt idx="11">
                    <c:v>RF1</c:v>
                  </c:pt>
                  <c:pt idx="12">
                    <c:v>RF2</c:v>
                  </c:pt>
                  <c:pt idx="13">
                    <c:v>RF3</c:v>
                  </c:pt>
                  <c:pt idx="14">
                    <c:v>RF4</c:v>
                  </c:pt>
                  <c:pt idx="15">
                    <c:v>ALL</c:v>
                  </c:pt>
                  <c:pt idx="16">
                    <c:v>RF1</c:v>
                  </c:pt>
                  <c:pt idx="17">
                    <c:v>RF2</c:v>
                  </c:pt>
                  <c:pt idx="18">
                    <c:v>RF3</c:v>
                  </c:pt>
                  <c:pt idx="19">
                    <c:v>RF4</c:v>
                  </c:pt>
                  <c:pt idx="20">
                    <c:v>ALL</c:v>
                  </c:pt>
                  <c:pt idx="21">
                    <c:v>RF1</c:v>
                  </c:pt>
                  <c:pt idx="22">
                    <c:v>RF2</c:v>
                  </c:pt>
                  <c:pt idx="23">
                    <c:v>RF3</c:v>
                  </c:pt>
                  <c:pt idx="24">
                    <c:v>RF4</c:v>
                  </c:pt>
                </c:lvl>
                <c:lvl>
                  <c:pt idx="0">
                    <c:v>AP</c:v>
                  </c:pt>
                  <c:pt idx="5">
                    <c:v>AT</c:v>
                  </c:pt>
                  <c:pt idx="10">
                    <c:v>PL</c:v>
                  </c:pt>
                  <c:pt idx="15">
                    <c:v>SE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PCA_HoE!$R$187:$R$211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45.7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11.425000000000001</c:v>
                </c:pt>
                <c:pt idx="24" formatCode="0.0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6D-4E05-8E84-773B9DE90A6D}"/>
            </c:ext>
          </c:extLst>
        </c:ser>
        <c:ser>
          <c:idx val="2"/>
          <c:order val="2"/>
          <c:tx>
            <c:strRef>
              <c:f>PCA_HoE!$S$186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PCA_HoE!$O$187:$P$211</c:f>
              <c:multiLvlStrCache>
                <c:ptCount val="25"/>
                <c:lvl>
                  <c:pt idx="0">
                    <c:v>ALL</c:v>
                  </c:pt>
                  <c:pt idx="1">
                    <c:v>RF1</c:v>
                  </c:pt>
                  <c:pt idx="2">
                    <c:v>RF2</c:v>
                  </c:pt>
                  <c:pt idx="3">
                    <c:v>RF3</c:v>
                  </c:pt>
                  <c:pt idx="4">
                    <c:v>RF4</c:v>
                  </c:pt>
                  <c:pt idx="5">
                    <c:v>ALL</c:v>
                  </c:pt>
                  <c:pt idx="6">
                    <c:v>RF1</c:v>
                  </c:pt>
                  <c:pt idx="7">
                    <c:v>RF2</c:v>
                  </c:pt>
                  <c:pt idx="8">
                    <c:v>RF3</c:v>
                  </c:pt>
                  <c:pt idx="9">
                    <c:v>RF4</c:v>
                  </c:pt>
                  <c:pt idx="10">
                    <c:v>ALL</c:v>
                  </c:pt>
                  <c:pt idx="11">
                    <c:v>RF1</c:v>
                  </c:pt>
                  <c:pt idx="12">
                    <c:v>RF2</c:v>
                  </c:pt>
                  <c:pt idx="13">
                    <c:v>RF3</c:v>
                  </c:pt>
                  <c:pt idx="14">
                    <c:v>RF4</c:v>
                  </c:pt>
                  <c:pt idx="15">
                    <c:v>ALL</c:v>
                  </c:pt>
                  <c:pt idx="16">
                    <c:v>RF1</c:v>
                  </c:pt>
                  <c:pt idx="17">
                    <c:v>RF2</c:v>
                  </c:pt>
                  <c:pt idx="18">
                    <c:v>RF3</c:v>
                  </c:pt>
                  <c:pt idx="19">
                    <c:v>RF4</c:v>
                  </c:pt>
                  <c:pt idx="20">
                    <c:v>ALL</c:v>
                  </c:pt>
                  <c:pt idx="21">
                    <c:v>RF1</c:v>
                  </c:pt>
                  <c:pt idx="22">
                    <c:v>RF2</c:v>
                  </c:pt>
                  <c:pt idx="23">
                    <c:v>RF3</c:v>
                  </c:pt>
                  <c:pt idx="24">
                    <c:v>RF4</c:v>
                  </c:pt>
                </c:lvl>
                <c:lvl>
                  <c:pt idx="0">
                    <c:v>AP</c:v>
                  </c:pt>
                  <c:pt idx="5">
                    <c:v>AT</c:v>
                  </c:pt>
                  <c:pt idx="10">
                    <c:v>PL</c:v>
                  </c:pt>
                  <c:pt idx="15">
                    <c:v>SE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PCA_HoE!$S$187:$S$211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12.5</c:v>
                </c:pt>
                <c:pt idx="24" formatCode="0.0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6D-4E05-8E84-773B9DE90A6D}"/>
            </c:ext>
          </c:extLst>
        </c:ser>
        <c:ser>
          <c:idx val="3"/>
          <c:order val="3"/>
          <c:tx>
            <c:strRef>
              <c:f>PCA_HoE!$T$186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PCA_HoE!$O$187:$P$211</c:f>
              <c:multiLvlStrCache>
                <c:ptCount val="25"/>
                <c:lvl>
                  <c:pt idx="0">
                    <c:v>ALL</c:v>
                  </c:pt>
                  <c:pt idx="1">
                    <c:v>RF1</c:v>
                  </c:pt>
                  <c:pt idx="2">
                    <c:v>RF2</c:v>
                  </c:pt>
                  <c:pt idx="3">
                    <c:v>RF3</c:v>
                  </c:pt>
                  <c:pt idx="4">
                    <c:v>RF4</c:v>
                  </c:pt>
                  <c:pt idx="5">
                    <c:v>ALL</c:v>
                  </c:pt>
                  <c:pt idx="6">
                    <c:v>RF1</c:v>
                  </c:pt>
                  <c:pt idx="7">
                    <c:v>RF2</c:v>
                  </c:pt>
                  <c:pt idx="8">
                    <c:v>RF3</c:v>
                  </c:pt>
                  <c:pt idx="9">
                    <c:v>RF4</c:v>
                  </c:pt>
                  <c:pt idx="10">
                    <c:v>ALL</c:v>
                  </c:pt>
                  <c:pt idx="11">
                    <c:v>RF1</c:v>
                  </c:pt>
                  <c:pt idx="12">
                    <c:v>RF2</c:v>
                  </c:pt>
                  <c:pt idx="13">
                    <c:v>RF3</c:v>
                  </c:pt>
                  <c:pt idx="14">
                    <c:v>RF4</c:v>
                  </c:pt>
                  <c:pt idx="15">
                    <c:v>ALL</c:v>
                  </c:pt>
                  <c:pt idx="16">
                    <c:v>RF1</c:v>
                  </c:pt>
                  <c:pt idx="17">
                    <c:v>RF2</c:v>
                  </c:pt>
                  <c:pt idx="18">
                    <c:v>RF3</c:v>
                  </c:pt>
                  <c:pt idx="19">
                    <c:v>RF4</c:v>
                  </c:pt>
                  <c:pt idx="20">
                    <c:v>ALL</c:v>
                  </c:pt>
                  <c:pt idx="21">
                    <c:v>RF1</c:v>
                  </c:pt>
                  <c:pt idx="22">
                    <c:v>RF2</c:v>
                  </c:pt>
                  <c:pt idx="23">
                    <c:v>RF3</c:v>
                  </c:pt>
                  <c:pt idx="24">
                    <c:v>RF4</c:v>
                  </c:pt>
                </c:lvl>
                <c:lvl>
                  <c:pt idx="0">
                    <c:v>AP</c:v>
                  </c:pt>
                  <c:pt idx="5">
                    <c:v>AT</c:v>
                  </c:pt>
                  <c:pt idx="10">
                    <c:v>PL</c:v>
                  </c:pt>
                  <c:pt idx="15">
                    <c:v>SE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PCA_HoE!$T$187:$T$211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6D-4E05-8E84-773B9DE90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251648"/>
        <c:axId val="134424947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PCA_HoE!$Q$186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PCA_HoE!$O$187:$P$211</c15:sqref>
                        </c15:formulaRef>
                      </c:ext>
                    </c:extLst>
                    <c:multiLvlStrCache>
                      <c:ptCount val="25"/>
                      <c:lvl>
                        <c:pt idx="0">
                          <c:v>ALL</c:v>
                        </c:pt>
                        <c:pt idx="1">
                          <c:v>RF1</c:v>
                        </c:pt>
                        <c:pt idx="2">
                          <c:v>RF2</c:v>
                        </c:pt>
                        <c:pt idx="3">
                          <c:v>RF3</c:v>
                        </c:pt>
                        <c:pt idx="4">
                          <c:v>RF4</c:v>
                        </c:pt>
                        <c:pt idx="5">
                          <c:v>ALL</c:v>
                        </c:pt>
                        <c:pt idx="6">
                          <c:v>RF1</c:v>
                        </c:pt>
                        <c:pt idx="7">
                          <c:v>RF2</c:v>
                        </c:pt>
                        <c:pt idx="8">
                          <c:v>RF3</c:v>
                        </c:pt>
                        <c:pt idx="9">
                          <c:v>RF4</c:v>
                        </c:pt>
                        <c:pt idx="10">
                          <c:v>ALL</c:v>
                        </c:pt>
                        <c:pt idx="11">
                          <c:v>RF1</c:v>
                        </c:pt>
                        <c:pt idx="12">
                          <c:v>RF2</c:v>
                        </c:pt>
                        <c:pt idx="13">
                          <c:v>RF3</c:v>
                        </c:pt>
                        <c:pt idx="14">
                          <c:v>RF4</c:v>
                        </c:pt>
                        <c:pt idx="15">
                          <c:v>ALL</c:v>
                        </c:pt>
                        <c:pt idx="16">
                          <c:v>RF1</c:v>
                        </c:pt>
                        <c:pt idx="17">
                          <c:v>RF2</c:v>
                        </c:pt>
                        <c:pt idx="18">
                          <c:v>RF3</c:v>
                        </c:pt>
                        <c:pt idx="19">
                          <c:v>RF4</c:v>
                        </c:pt>
                        <c:pt idx="20">
                          <c:v>ALL</c:v>
                        </c:pt>
                        <c:pt idx="21">
                          <c:v>RF1</c:v>
                        </c:pt>
                        <c:pt idx="22">
                          <c:v>RF2</c:v>
                        </c:pt>
                        <c:pt idx="23">
                          <c:v>RF3</c:v>
                        </c:pt>
                        <c:pt idx="24">
                          <c:v>RF4</c:v>
                        </c:pt>
                      </c:lvl>
                      <c:lvl>
                        <c:pt idx="0">
                          <c:v>AP</c:v>
                        </c:pt>
                        <c:pt idx="5">
                          <c:v>AT</c:v>
                        </c:pt>
                        <c:pt idx="10">
                          <c:v>PL</c:v>
                        </c:pt>
                        <c:pt idx="15">
                          <c:v>SE</c:v>
                        </c:pt>
                        <c:pt idx="20">
                          <c:v>AVG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PCA_HoE!$Q$187:$Q$211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91.39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 formatCode="0.00">
                        <c:v>0</c:v>
                      </c:pt>
                      <c:pt idx="21" formatCode="0.00">
                        <c:v>0</c:v>
                      </c:pt>
                      <c:pt idx="22" formatCode="0.00">
                        <c:v>0</c:v>
                      </c:pt>
                      <c:pt idx="23" formatCode="0.00">
                        <c:v>22.8475</c:v>
                      </c:pt>
                      <c:pt idx="24" formatCode="0.00">
                        <c:v>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9B6D-4E05-8E84-773B9DE90A6D}"/>
                  </c:ext>
                </c:extLst>
              </c15:ser>
            </c15:filteredBarSeries>
          </c:ext>
        </c:extLst>
      </c:barChart>
      <c:catAx>
        <c:axId val="13442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49472"/>
        <c:crosses val="autoZero"/>
        <c:auto val="1"/>
        <c:lblAlgn val="ctr"/>
        <c:lblOffset val="100"/>
        <c:noMultiLvlLbl val="0"/>
      </c:catAx>
      <c:valAx>
        <c:axId val="13442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77880627516977E-2"/>
          <c:y val="7.5505218743060182E-2"/>
          <c:w val="0.90563026186612172"/>
          <c:h val="0.71986060036965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CHARTS!$B$222</c:f>
              <c:strCache>
                <c:ptCount val="1"/>
                <c:pt idx="0">
                  <c:v>SVM (Base)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CHARTS!$B$223:$B$227</c:f>
              <c:numCache>
                <c:formatCode>0.00</c:formatCode>
                <c:ptCount val="5"/>
                <c:pt idx="0">
                  <c:v>45.593035908596299</c:v>
                </c:pt>
                <c:pt idx="1">
                  <c:v>49.939991990388471</c:v>
                </c:pt>
                <c:pt idx="2">
                  <c:v>37.210089993284086</c:v>
                </c:pt>
                <c:pt idx="3">
                  <c:v>49.464321811198708</c:v>
                </c:pt>
                <c:pt idx="4">
                  <c:v>45.551859925866893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6A-4E08-9ED6-50DF501B3125}"/>
            </c:ext>
          </c:extLst>
        </c:ser>
        <c:ser>
          <c:idx val="1"/>
          <c:order val="1"/>
          <c:tx>
            <c:strRef>
              <c:f>CHARTS!$C$222</c:f>
              <c:strCache>
                <c:ptCount val="1"/>
                <c:pt idx="0">
                  <c:v>SVM (PCA)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CHARTS!$C$223:$C$227</c:f>
              <c:numCache>
                <c:formatCode>0.00</c:formatCode>
                <c:ptCount val="5"/>
                <c:pt idx="0">
                  <c:v>45.593035908596299</c:v>
                </c:pt>
                <c:pt idx="1">
                  <c:v>46.780805641628369</c:v>
                </c:pt>
                <c:pt idx="2">
                  <c:v>37.087239148018327</c:v>
                </c:pt>
                <c:pt idx="3">
                  <c:v>49.464321811198708</c:v>
                </c:pt>
                <c:pt idx="4">
                  <c:v>44.731350627360428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6A-4E08-9ED6-50DF501B3125}"/>
            </c:ext>
          </c:extLst>
        </c:ser>
        <c:ser>
          <c:idx val="2"/>
          <c:order val="2"/>
          <c:tx>
            <c:strRef>
              <c:f>CHARTS!$D$222</c:f>
              <c:strCache>
                <c:ptCount val="1"/>
                <c:pt idx="0">
                  <c:v>MLP (Base)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CHARTS!$D$223:$D$227</c:f>
              <c:numCache>
                <c:formatCode>0.00</c:formatCode>
                <c:ptCount val="5"/>
                <c:pt idx="0">
                  <c:v>56.179998220007121</c:v>
                </c:pt>
                <c:pt idx="1">
                  <c:v>46.785831819638858</c:v>
                </c:pt>
                <c:pt idx="2">
                  <c:v>53.069932165065005</c:v>
                </c:pt>
                <c:pt idx="3">
                  <c:v>56.318063199005856</c:v>
                </c:pt>
                <c:pt idx="4">
                  <c:v>53.088456350929206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E6A-4E08-9ED6-50DF501B3125}"/>
            </c:ext>
          </c:extLst>
        </c:ser>
        <c:ser>
          <c:idx val="3"/>
          <c:order val="3"/>
          <c:tx>
            <c:strRef>
              <c:f>CHARTS!$E$222</c:f>
              <c:strCache>
                <c:ptCount val="1"/>
                <c:pt idx="0">
                  <c:v>MLP (PCA)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CHARTS!$E$223:$E$227</c:f>
              <c:numCache>
                <c:formatCode>0.00</c:formatCode>
                <c:ptCount val="5"/>
                <c:pt idx="0">
                  <c:v>46.144140845070424</c:v>
                </c:pt>
                <c:pt idx="1">
                  <c:v>49.169949155989414</c:v>
                </c:pt>
                <c:pt idx="2">
                  <c:v>53.484894830326262</c:v>
                </c:pt>
                <c:pt idx="3">
                  <c:v>49.464321811198708</c:v>
                </c:pt>
                <c:pt idx="4">
                  <c:v>49.565826660646202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E6A-4E08-9ED6-50DF501B31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749312"/>
        <c:axId val="1522740064"/>
      </c:barChart>
      <c:catAx>
        <c:axId val="15227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40064"/>
        <c:crosses val="autoZero"/>
        <c:auto val="1"/>
        <c:lblAlgn val="ctr"/>
        <c:lblOffset val="100"/>
        <c:noMultiLvlLbl val="0"/>
      </c:catAx>
      <c:valAx>
        <c:axId val="15227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4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CHARTS!$F$222</c:f>
              <c:strCache>
                <c:ptCount val="1"/>
                <c:pt idx="0">
                  <c:v>SVM (Base)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CHARTS!$F$223:$F$227</c:f>
              <c:numCache>
                <c:formatCode>0.00</c:formatCode>
                <c:ptCount val="5"/>
                <c:pt idx="0">
                  <c:v>46.552645644040624</c:v>
                </c:pt>
                <c:pt idx="1">
                  <c:v>47.814999477151531</c:v>
                </c:pt>
                <c:pt idx="2">
                  <c:v>70.359884877771464</c:v>
                </c:pt>
                <c:pt idx="3">
                  <c:v>49.789114279975898</c:v>
                </c:pt>
                <c:pt idx="4">
                  <c:v>53.629161069734884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20-4559-B5E3-0CAFBBEC6EDF}"/>
            </c:ext>
          </c:extLst>
        </c:ser>
        <c:ser>
          <c:idx val="1"/>
          <c:order val="1"/>
          <c:tx>
            <c:strRef>
              <c:f>CHARTS!$G$222</c:f>
              <c:strCache>
                <c:ptCount val="1"/>
                <c:pt idx="0">
                  <c:v>SVM (PCA)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CHARTS!$G$223:$G$227</c:f>
              <c:numCache>
                <c:formatCode>0.00</c:formatCode>
                <c:ptCount val="5"/>
                <c:pt idx="0">
                  <c:v>46.552645644040624</c:v>
                </c:pt>
                <c:pt idx="1">
                  <c:v>51.869998072103328</c:v>
                </c:pt>
                <c:pt idx="2">
                  <c:v>67.180000000000007</c:v>
                </c:pt>
                <c:pt idx="3">
                  <c:v>49.789114279975898</c:v>
                </c:pt>
                <c:pt idx="4">
                  <c:v>53.84793949902997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520-4559-B5E3-0CAFBBEC6EDF}"/>
            </c:ext>
          </c:extLst>
        </c:ser>
        <c:ser>
          <c:idx val="2"/>
          <c:order val="2"/>
          <c:tx>
            <c:strRef>
              <c:f>CHARTS!$H$222</c:f>
              <c:strCache>
                <c:ptCount val="1"/>
                <c:pt idx="0">
                  <c:v>MLP (Base)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CHARTS!$H$223:$H$227</c:f>
              <c:numCache>
                <c:formatCode>0.00</c:formatCode>
                <c:ptCount val="5"/>
                <c:pt idx="0">
                  <c:v>49.773982923154193</c:v>
                </c:pt>
                <c:pt idx="1">
                  <c:v>53.469812979240693</c:v>
                </c:pt>
                <c:pt idx="2">
                  <c:v>59.445046179680944</c:v>
                </c:pt>
                <c:pt idx="3">
                  <c:v>49.789114279975898</c:v>
                </c:pt>
                <c:pt idx="4">
                  <c:v>53.119489090512936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520-4559-B5E3-0CAFBBEC6EDF}"/>
            </c:ext>
          </c:extLst>
        </c:ser>
        <c:ser>
          <c:idx val="3"/>
          <c:order val="3"/>
          <c:tx>
            <c:strRef>
              <c:f>CHARTS!$I$222</c:f>
              <c:strCache>
                <c:ptCount val="1"/>
                <c:pt idx="0">
                  <c:v>MLP (PCA)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CHARTS!$I$223:$I$227</c:f>
              <c:numCache>
                <c:formatCode>0.00</c:formatCode>
                <c:ptCount val="5"/>
                <c:pt idx="0">
                  <c:v>46.548310883044692</c:v>
                </c:pt>
                <c:pt idx="1">
                  <c:v>47.649991605456449</c:v>
                </c:pt>
                <c:pt idx="2">
                  <c:v>51.749302415458942</c:v>
                </c:pt>
                <c:pt idx="3">
                  <c:v>49.789114279975898</c:v>
                </c:pt>
                <c:pt idx="4">
                  <c:v>48.934179795984001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520-4559-B5E3-0CAFBBEC6E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740608"/>
        <c:axId val="1522748768"/>
      </c:barChart>
      <c:catAx>
        <c:axId val="15227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48768"/>
        <c:crosses val="autoZero"/>
        <c:auto val="1"/>
        <c:lblAlgn val="ctr"/>
        <c:lblOffset val="100"/>
        <c:noMultiLvlLbl val="0"/>
      </c:catAx>
      <c:valAx>
        <c:axId val="15227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CHARTS!$J$222</c:f>
              <c:strCache>
                <c:ptCount val="1"/>
                <c:pt idx="0">
                  <c:v>SVM (Base)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CHARTS!$J$223:$J$227</c:f>
              <c:numCache>
                <c:formatCode>0.00</c:formatCode>
                <c:ptCount val="5"/>
                <c:pt idx="0">
                  <c:v>44.530729975593523</c:v>
                </c:pt>
                <c:pt idx="1">
                  <c:v>58.186823872406102</c:v>
                </c:pt>
                <c:pt idx="2">
                  <c:v>42.444796230859836</c:v>
                </c:pt>
                <c:pt idx="3">
                  <c:v>49.114593934459599</c:v>
                </c:pt>
                <c:pt idx="4">
                  <c:v>48.569236003329763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3A-42A5-B8DB-0D33E43B323A}"/>
            </c:ext>
          </c:extLst>
        </c:ser>
        <c:ser>
          <c:idx val="1"/>
          <c:order val="1"/>
          <c:tx>
            <c:strRef>
              <c:f>CHARTS!$K$222</c:f>
              <c:strCache>
                <c:ptCount val="1"/>
                <c:pt idx="0">
                  <c:v>SVM (PCA)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CHARTS!$K$223:$K$227</c:f>
              <c:numCache>
                <c:formatCode>0.00</c:formatCode>
                <c:ptCount val="5"/>
                <c:pt idx="0">
                  <c:v>44.530729975593523</c:v>
                </c:pt>
                <c:pt idx="1">
                  <c:v>58.383767620674924</c:v>
                </c:pt>
                <c:pt idx="2">
                  <c:v>42.505236414961189</c:v>
                </c:pt>
                <c:pt idx="3">
                  <c:v>49.114593934459599</c:v>
                </c:pt>
                <c:pt idx="4">
                  <c:v>48.633581986422314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3A-42A5-B8DB-0D33E43B323A}"/>
            </c:ext>
          </c:extLst>
        </c:ser>
        <c:ser>
          <c:idx val="2"/>
          <c:order val="2"/>
          <c:tx>
            <c:strRef>
              <c:f>CHARTS!$L$222</c:f>
              <c:strCache>
                <c:ptCount val="1"/>
                <c:pt idx="0">
                  <c:v>MLP (Base)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CHARTS!$L$223:$L$227</c:f>
              <c:numCache>
                <c:formatCode>0.00</c:formatCode>
                <c:ptCount val="5"/>
                <c:pt idx="0">
                  <c:v>55.901296842858422</c:v>
                </c:pt>
                <c:pt idx="1">
                  <c:v>49.039997960848289</c:v>
                </c:pt>
                <c:pt idx="2">
                  <c:v>43.810799180327862</c:v>
                </c:pt>
                <c:pt idx="3">
                  <c:v>49.114593934459599</c:v>
                </c:pt>
                <c:pt idx="4">
                  <c:v>49.466671979623541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23A-42A5-B8DB-0D33E43B323A}"/>
            </c:ext>
          </c:extLst>
        </c:ser>
        <c:ser>
          <c:idx val="3"/>
          <c:order val="3"/>
          <c:tx>
            <c:strRef>
              <c:f>CHARTS!$M$222</c:f>
              <c:strCache>
                <c:ptCount val="1"/>
                <c:pt idx="0">
                  <c:v>MLP (PCA)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CHARTS!$M$223:$M$227</c:f>
              <c:numCache>
                <c:formatCode>0.00</c:formatCode>
                <c:ptCount val="5"/>
                <c:pt idx="0">
                  <c:v>44.880431830829167</c:v>
                </c:pt>
                <c:pt idx="1">
                  <c:v>50.104999501047793</c:v>
                </c:pt>
                <c:pt idx="2">
                  <c:v>45.428435643564356</c:v>
                </c:pt>
                <c:pt idx="3">
                  <c:v>49.114593934459599</c:v>
                </c:pt>
                <c:pt idx="4">
                  <c:v>47.382115227475225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23A-42A5-B8DB-0D33E43B32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747680"/>
        <c:axId val="1522746592"/>
      </c:barChart>
      <c:catAx>
        <c:axId val="15227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46592"/>
        <c:crosses val="autoZero"/>
        <c:auto val="1"/>
        <c:lblAlgn val="ctr"/>
        <c:lblOffset val="100"/>
        <c:noMultiLvlLbl val="0"/>
      </c:catAx>
      <c:valAx>
        <c:axId val="15227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4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77880627516977E-2"/>
          <c:y val="5.7739284921163668E-2"/>
          <c:w val="0.90563026186612172"/>
          <c:h val="0.737626534191553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CHARTS!$N$222</c:f>
              <c:strCache>
                <c:ptCount val="1"/>
                <c:pt idx="0">
                  <c:v>SVM (Base)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CHARTS!$N$223:$N$227</c:f>
              <c:numCache>
                <c:formatCode>0.00</c:formatCode>
                <c:ptCount val="5"/>
                <c:pt idx="0">
                  <c:v>46.114883069296262</c:v>
                </c:pt>
                <c:pt idx="1">
                  <c:v>62.924332141438228</c:v>
                </c:pt>
                <c:pt idx="2">
                  <c:v>42.65295979369359</c:v>
                </c:pt>
                <c:pt idx="3">
                  <c:v>48.654754569726848</c:v>
                </c:pt>
                <c:pt idx="4">
                  <c:v>50.086732393538725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0D-4DBC-AB76-9ED2B6CB337D}"/>
            </c:ext>
          </c:extLst>
        </c:ser>
        <c:ser>
          <c:idx val="1"/>
          <c:order val="1"/>
          <c:tx>
            <c:strRef>
              <c:f>CHARTS!$O$222</c:f>
              <c:strCache>
                <c:ptCount val="1"/>
                <c:pt idx="0">
                  <c:v>SVM (PCA)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CHARTS!$O$223:$O$227</c:f>
              <c:numCache>
                <c:formatCode>0.00</c:formatCode>
                <c:ptCount val="5"/>
                <c:pt idx="0">
                  <c:v>46.114883069296262</c:v>
                </c:pt>
                <c:pt idx="1">
                  <c:v>62.274025369299935</c:v>
                </c:pt>
                <c:pt idx="2">
                  <c:v>42.378150070788109</c:v>
                </c:pt>
                <c:pt idx="3">
                  <c:v>48.654754569726848</c:v>
                </c:pt>
                <c:pt idx="4">
                  <c:v>49.855453269777783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0D-4DBC-AB76-9ED2B6CB337D}"/>
            </c:ext>
          </c:extLst>
        </c:ser>
        <c:ser>
          <c:idx val="2"/>
          <c:order val="2"/>
          <c:tx>
            <c:strRef>
              <c:f>CHARTS!$P$222</c:f>
              <c:strCache>
                <c:ptCount val="1"/>
                <c:pt idx="0">
                  <c:v>MLP (Base)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CHARTS!$P$223:$P$227</c:f>
              <c:numCache>
                <c:formatCode>0.00</c:formatCode>
                <c:ptCount val="5"/>
                <c:pt idx="0">
                  <c:v>49.36495897903373</c:v>
                </c:pt>
                <c:pt idx="1">
                  <c:v>56.402638064001422</c:v>
                </c:pt>
                <c:pt idx="2">
                  <c:v>45.459980202375718</c:v>
                </c:pt>
                <c:pt idx="3">
                  <c:v>48.645283483976996</c:v>
                </c:pt>
                <c:pt idx="4">
                  <c:v>49.968215182346967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00D-4DBC-AB76-9ED2B6CB337D}"/>
            </c:ext>
          </c:extLst>
        </c:ser>
        <c:ser>
          <c:idx val="3"/>
          <c:order val="3"/>
          <c:tx>
            <c:strRef>
              <c:f>CHARTS!$Q$222</c:f>
              <c:strCache>
                <c:ptCount val="1"/>
                <c:pt idx="0">
                  <c:v>MLP (PCA)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CHARTS!$Q$223:$Q$227</c:f>
              <c:numCache>
                <c:formatCode>0.00</c:formatCode>
                <c:ptCount val="5"/>
                <c:pt idx="0">
                  <c:v>48.205799626633478</c:v>
                </c:pt>
                <c:pt idx="1">
                  <c:v>62.157918341102722</c:v>
                </c:pt>
                <c:pt idx="2">
                  <c:v>39.469625126646399</c:v>
                </c:pt>
                <c:pt idx="3">
                  <c:v>48.247272350564586</c:v>
                </c:pt>
                <c:pt idx="4">
                  <c:v>49.520153861236793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00D-4DBC-AB76-9ED2B6CB33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6429184"/>
        <c:axId val="1406410688"/>
      </c:barChart>
      <c:catAx>
        <c:axId val="140642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10688"/>
        <c:crosses val="autoZero"/>
        <c:auto val="1"/>
        <c:lblAlgn val="ctr"/>
        <c:lblOffset val="100"/>
        <c:noMultiLvlLbl val="0"/>
      </c:catAx>
      <c:valAx>
        <c:axId val="14064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2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CHARTS!$R$222</c:f>
              <c:strCache>
                <c:ptCount val="1"/>
                <c:pt idx="0">
                  <c:v>SVM (Base)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CHARTS!$R$223:$R$227</c:f>
              <c:numCache>
                <c:formatCode>0.00</c:formatCode>
                <c:ptCount val="5"/>
                <c:pt idx="0">
                  <c:v>47.627526971823613</c:v>
                </c:pt>
                <c:pt idx="1">
                  <c:v>19.199778464708913</c:v>
                </c:pt>
                <c:pt idx="2">
                  <c:v>33.541295385024604</c:v>
                </c:pt>
                <c:pt idx="3">
                  <c:v>46.898895497026338</c:v>
                </c:pt>
                <c:pt idx="4">
                  <c:v>36.816874079645864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59-4518-A028-8E6D46D006DA}"/>
            </c:ext>
          </c:extLst>
        </c:ser>
        <c:ser>
          <c:idx val="1"/>
          <c:order val="1"/>
          <c:tx>
            <c:strRef>
              <c:f>CHARTS!$S$222</c:f>
              <c:strCache>
                <c:ptCount val="1"/>
                <c:pt idx="0">
                  <c:v>SVM (PCA)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CHARTS!$S$223:$S$227</c:f>
              <c:numCache>
                <c:formatCode>0.00</c:formatCode>
                <c:ptCount val="5"/>
                <c:pt idx="0">
                  <c:v>47.627526971823613</c:v>
                </c:pt>
                <c:pt idx="1">
                  <c:v>19.199778464708913</c:v>
                </c:pt>
                <c:pt idx="2">
                  <c:v>37.369502957090724</c:v>
                </c:pt>
                <c:pt idx="3">
                  <c:v>46.898895497026338</c:v>
                </c:pt>
                <c:pt idx="4">
                  <c:v>37.773925972662397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59-4518-A028-8E6D46D006DA}"/>
            </c:ext>
          </c:extLst>
        </c:ser>
        <c:ser>
          <c:idx val="2"/>
          <c:order val="2"/>
          <c:tx>
            <c:strRef>
              <c:f>CHARTS!$T$222</c:f>
              <c:strCache>
                <c:ptCount val="1"/>
                <c:pt idx="0">
                  <c:v>MLP (Base)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CHARTS!$T$223:$T$227</c:f>
              <c:numCache>
                <c:formatCode>0.00</c:formatCode>
                <c:ptCount val="5"/>
                <c:pt idx="0">
                  <c:v>47.525669291338581</c:v>
                </c:pt>
                <c:pt idx="1">
                  <c:v>48.094987004886164</c:v>
                </c:pt>
                <c:pt idx="2">
                  <c:v>37.954428642714575</c:v>
                </c:pt>
                <c:pt idx="3">
                  <c:v>46.898895497026338</c:v>
                </c:pt>
                <c:pt idx="4">
                  <c:v>45.118495108991411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859-4518-A028-8E6D46D006DA}"/>
            </c:ext>
          </c:extLst>
        </c:ser>
        <c:ser>
          <c:idx val="3"/>
          <c:order val="3"/>
          <c:tx>
            <c:strRef>
              <c:f>CHARTS!$U$222</c:f>
              <c:strCache>
                <c:ptCount val="1"/>
                <c:pt idx="0">
                  <c:v>MLP (PCA)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CHARTS!$U$223:$U$227</c:f>
              <c:numCache>
                <c:formatCode>0.00</c:formatCode>
                <c:ptCount val="5"/>
                <c:pt idx="0">
                  <c:v>47.627526971823613</c:v>
                </c:pt>
                <c:pt idx="1">
                  <c:v>19.498857287963435</c:v>
                </c:pt>
                <c:pt idx="2">
                  <c:v>26.063115845539279</c:v>
                </c:pt>
                <c:pt idx="3">
                  <c:v>46.898895497026338</c:v>
                </c:pt>
                <c:pt idx="4">
                  <c:v>35.022098900588162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859-4518-A028-8E6D46D006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6437344"/>
        <c:axId val="1406437888"/>
      </c:barChart>
      <c:catAx>
        <c:axId val="140643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37888"/>
        <c:crosses val="autoZero"/>
        <c:auto val="1"/>
        <c:lblAlgn val="ctr"/>
        <c:lblOffset val="100"/>
        <c:noMultiLvlLbl val="0"/>
      </c:catAx>
      <c:valAx>
        <c:axId val="14064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3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77880627516977E-2"/>
          <c:y val="5.3297801465689541E-2"/>
          <c:w val="0.90563026186612172"/>
          <c:h val="0.74206801764702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CHARTS!$V$222</c:f>
              <c:strCache>
                <c:ptCount val="1"/>
                <c:pt idx="0">
                  <c:v>SVM (Base)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CHARTS!$V$223:$V$227</c:f>
              <c:numCache>
                <c:formatCode>0.00</c:formatCode>
                <c:ptCount val="5"/>
                <c:pt idx="0">
                  <c:v>46.472540413231989</c:v>
                </c:pt>
                <c:pt idx="1">
                  <c:v>37.724314297071686</c:v>
                </c:pt>
                <c:pt idx="2">
                  <c:v>32.626311763806029</c:v>
                </c:pt>
                <c:pt idx="3">
                  <c:v>49.88975746642614</c:v>
                </c:pt>
                <c:pt idx="4">
                  <c:v>41.678230985133965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8D-4BD2-9585-EE80190EB04A}"/>
            </c:ext>
          </c:extLst>
        </c:ser>
        <c:ser>
          <c:idx val="1"/>
          <c:order val="1"/>
          <c:tx>
            <c:strRef>
              <c:f>CHARTS!$W$222</c:f>
              <c:strCache>
                <c:ptCount val="1"/>
                <c:pt idx="0">
                  <c:v>SVM (PCA)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CHARTS!$W$223:$W$227</c:f>
              <c:numCache>
                <c:formatCode>0.00</c:formatCode>
                <c:ptCount val="5"/>
                <c:pt idx="0">
                  <c:v>46.472540413231989</c:v>
                </c:pt>
                <c:pt idx="1">
                  <c:v>37.724314297071686</c:v>
                </c:pt>
                <c:pt idx="2">
                  <c:v>32.626311763806029</c:v>
                </c:pt>
                <c:pt idx="3">
                  <c:v>49.88975746642614</c:v>
                </c:pt>
                <c:pt idx="4">
                  <c:v>41.678230985133965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D8D-4BD2-9585-EE80190EB04A}"/>
            </c:ext>
          </c:extLst>
        </c:ser>
        <c:ser>
          <c:idx val="2"/>
          <c:order val="2"/>
          <c:tx>
            <c:strRef>
              <c:f>CHARTS!$X$222</c:f>
              <c:strCache>
                <c:ptCount val="1"/>
                <c:pt idx="0">
                  <c:v>MLP (Base)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CHARTS!$X$223:$X$227</c:f>
              <c:numCache>
                <c:formatCode>0.00</c:formatCode>
                <c:ptCount val="5"/>
                <c:pt idx="0">
                  <c:v>48.886727347105747</c:v>
                </c:pt>
                <c:pt idx="1">
                  <c:v>37.538710708577518</c:v>
                </c:pt>
                <c:pt idx="2">
                  <c:v>54.152784961027052</c:v>
                </c:pt>
                <c:pt idx="3">
                  <c:v>49.88975746642614</c:v>
                </c:pt>
                <c:pt idx="4">
                  <c:v>47.616995120784111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D8D-4BD2-9585-EE80190EB04A}"/>
            </c:ext>
          </c:extLst>
        </c:ser>
        <c:ser>
          <c:idx val="3"/>
          <c:order val="3"/>
          <c:tx>
            <c:strRef>
              <c:f>CHARTS!$Y$222</c:f>
              <c:strCache>
                <c:ptCount val="1"/>
                <c:pt idx="0">
                  <c:v>MLP (PCA)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CHARTS!$Y$223:$Y$227</c:f>
              <c:numCache>
                <c:formatCode>0.00</c:formatCode>
                <c:ptCount val="5"/>
                <c:pt idx="0">
                  <c:v>46.472540413231989</c:v>
                </c:pt>
                <c:pt idx="1">
                  <c:v>48.44252861709807</c:v>
                </c:pt>
                <c:pt idx="2">
                  <c:v>38.484921397947254</c:v>
                </c:pt>
                <c:pt idx="3">
                  <c:v>49.88975746642614</c:v>
                </c:pt>
                <c:pt idx="4">
                  <c:v>45.822436973675863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D8D-4BD2-9585-EE80190EB0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6442240"/>
        <c:axId val="1406433536"/>
      </c:barChart>
      <c:catAx>
        <c:axId val="140644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33536"/>
        <c:crosses val="autoZero"/>
        <c:auto val="1"/>
        <c:lblAlgn val="ctr"/>
        <c:lblOffset val="100"/>
        <c:noMultiLvlLbl val="0"/>
      </c:catAx>
      <c:valAx>
        <c:axId val="14064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CHARTS!$Z$222</c:f>
              <c:strCache>
                <c:ptCount val="1"/>
                <c:pt idx="0">
                  <c:v>SVM (Base)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CHARTS!$Z$223:$Z$227</c:f>
              <c:numCache>
                <c:formatCode>0.00</c:formatCode>
                <c:ptCount val="5"/>
                <c:pt idx="0">
                  <c:v>45.414847161572055</c:v>
                </c:pt>
                <c:pt idx="1">
                  <c:v>31.084767572784305</c:v>
                </c:pt>
                <c:pt idx="2">
                  <c:v>38.213900300928948</c:v>
                </c:pt>
                <c:pt idx="3">
                  <c:v>49.819349658771579</c:v>
                </c:pt>
                <c:pt idx="4">
                  <c:v>41.133216173514221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62-4778-89C7-F0388EA10322}"/>
            </c:ext>
          </c:extLst>
        </c:ser>
        <c:ser>
          <c:idx val="1"/>
          <c:order val="1"/>
          <c:tx>
            <c:strRef>
              <c:f>CHARTS!$AA$222</c:f>
              <c:strCache>
                <c:ptCount val="1"/>
                <c:pt idx="0">
                  <c:v>SVM (PCA)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CHARTS!$AA$223:$AA$227</c:f>
              <c:numCache>
                <c:formatCode>0.00</c:formatCode>
                <c:ptCount val="5"/>
                <c:pt idx="0">
                  <c:v>45.414847161572055</c:v>
                </c:pt>
                <c:pt idx="1">
                  <c:v>31.084767572784305</c:v>
                </c:pt>
                <c:pt idx="2">
                  <c:v>38.213900300928948</c:v>
                </c:pt>
                <c:pt idx="3">
                  <c:v>49.819349658771579</c:v>
                </c:pt>
                <c:pt idx="4">
                  <c:v>41.133216173514221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762-4778-89C7-F0388EA10322}"/>
            </c:ext>
          </c:extLst>
        </c:ser>
        <c:ser>
          <c:idx val="2"/>
          <c:order val="2"/>
          <c:tx>
            <c:strRef>
              <c:f>CHARTS!$AB$222</c:f>
              <c:strCache>
                <c:ptCount val="1"/>
                <c:pt idx="0">
                  <c:v>MLP (Base)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CHARTS!$AB$223:$AB$227</c:f>
              <c:numCache>
                <c:formatCode>0.00</c:formatCode>
                <c:ptCount val="5"/>
                <c:pt idx="0">
                  <c:v>49.444732531095156</c:v>
                </c:pt>
                <c:pt idx="1">
                  <c:v>51.71478681233684</c:v>
                </c:pt>
                <c:pt idx="2">
                  <c:v>38.213900300928948</c:v>
                </c:pt>
                <c:pt idx="3">
                  <c:v>49.819349658771579</c:v>
                </c:pt>
                <c:pt idx="4">
                  <c:v>47.298192325783134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762-4778-89C7-F0388EA10322}"/>
            </c:ext>
          </c:extLst>
        </c:ser>
        <c:ser>
          <c:idx val="3"/>
          <c:order val="3"/>
          <c:tx>
            <c:strRef>
              <c:f>CHARTS!$AC$222</c:f>
              <c:strCache>
                <c:ptCount val="1"/>
                <c:pt idx="0">
                  <c:v>MLP (PCA)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CHARTS!$AC$223:$AC$227</c:f>
              <c:numCache>
                <c:formatCode>0.00</c:formatCode>
                <c:ptCount val="5"/>
                <c:pt idx="0">
                  <c:v>45.414847161572055</c:v>
                </c:pt>
                <c:pt idx="1">
                  <c:v>31.673320707070708</c:v>
                </c:pt>
                <c:pt idx="2">
                  <c:v>38.668251874838369</c:v>
                </c:pt>
                <c:pt idx="3">
                  <c:v>49.819349658771579</c:v>
                </c:pt>
                <c:pt idx="4">
                  <c:v>41.393942350563179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762-4778-89C7-F0388EA103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6418848"/>
        <c:axId val="1406438432"/>
      </c:barChart>
      <c:catAx>
        <c:axId val="14064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38432"/>
        <c:crosses val="autoZero"/>
        <c:auto val="1"/>
        <c:lblAlgn val="ctr"/>
        <c:lblOffset val="100"/>
        <c:noMultiLvlLbl val="0"/>
      </c:catAx>
      <c:valAx>
        <c:axId val="14064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77880627516977E-2"/>
          <c:y val="5.7739284921163668E-2"/>
          <c:w val="0.90563026186612172"/>
          <c:h val="0.737626534191553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CHARTS!$AD$222</c:f>
              <c:strCache>
                <c:ptCount val="1"/>
                <c:pt idx="0">
                  <c:v>SVM (Base)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CHARTS!$AD$223:$AD$227</c:f>
              <c:numCache>
                <c:formatCode>0.00</c:formatCode>
                <c:ptCount val="5"/>
                <c:pt idx="0">
                  <c:v>40.595734643734637</c:v>
                </c:pt>
                <c:pt idx="1">
                  <c:v>41.65827776445191</c:v>
                </c:pt>
                <c:pt idx="2">
                  <c:v>41.225077013521457</c:v>
                </c:pt>
                <c:pt idx="3">
                  <c:v>47.731549236880618</c:v>
                </c:pt>
                <c:pt idx="4">
                  <c:v>42.802659664647159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CC-44A2-BFFA-84C3E7F6D421}"/>
            </c:ext>
          </c:extLst>
        </c:ser>
        <c:ser>
          <c:idx val="1"/>
          <c:order val="1"/>
          <c:tx>
            <c:strRef>
              <c:f>CHARTS!$AE$222</c:f>
              <c:strCache>
                <c:ptCount val="1"/>
                <c:pt idx="0">
                  <c:v>SVM (PCA)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CHARTS!$AE$223:$AE$227</c:f>
              <c:numCache>
                <c:formatCode>0.00</c:formatCode>
                <c:ptCount val="5"/>
                <c:pt idx="0">
                  <c:v>40.945681208871562</c:v>
                </c:pt>
                <c:pt idx="1">
                  <c:v>41.610570570570573</c:v>
                </c:pt>
                <c:pt idx="2">
                  <c:v>41.214771257203338</c:v>
                </c:pt>
                <c:pt idx="3">
                  <c:v>47.731549236880618</c:v>
                </c:pt>
                <c:pt idx="4">
                  <c:v>42.875643068381521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ACC-44A2-BFFA-84C3E7F6D421}"/>
            </c:ext>
          </c:extLst>
        </c:ser>
        <c:ser>
          <c:idx val="2"/>
          <c:order val="2"/>
          <c:tx>
            <c:strRef>
              <c:f>CHARTS!$AF$222</c:f>
              <c:strCache>
                <c:ptCount val="1"/>
                <c:pt idx="0">
                  <c:v>MLP (Base)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CHARTS!$AF$223:$AF$227</c:f>
              <c:numCache>
                <c:formatCode>0.00</c:formatCode>
                <c:ptCount val="5"/>
                <c:pt idx="0">
                  <c:v>39.954746164400646</c:v>
                </c:pt>
                <c:pt idx="1">
                  <c:v>50.816771591579773</c:v>
                </c:pt>
                <c:pt idx="2">
                  <c:v>40.706304801670143</c:v>
                </c:pt>
                <c:pt idx="3">
                  <c:v>47.731549236880618</c:v>
                </c:pt>
                <c:pt idx="4">
                  <c:v>44.802342948632798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ACC-44A2-BFFA-84C3E7F6D421}"/>
            </c:ext>
          </c:extLst>
        </c:ser>
        <c:ser>
          <c:idx val="3"/>
          <c:order val="3"/>
          <c:tx>
            <c:strRef>
              <c:f>CHARTS!$AG$222</c:f>
              <c:strCache>
                <c:ptCount val="1"/>
                <c:pt idx="0">
                  <c:v>MLP (PCA)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CHARTS!$AG$223:$AG$227</c:f>
              <c:numCache>
                <c:formatCode>0.00</c:formatCode>
                <c:ptCount val="5"/>
                <c:pt idx="0">
                  <c:v>24.323719226856564</c:v>
                </c:pt>
                <c:pt idx="1">
                  <c:v>46.033509948096892</c:v>
                </c:pt>
                <c:pt idx="2">
                  <c:v>48.874160359991819</c:v>
                </c:pt>
                <c:pt idx="3">
                  <c:v>47.731549236880618</c:v>
                </c:pt>
                <c:pt idx="4">
                  <c:v>41.740734692956472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ACC-44A2-BFFA-84C3E7F6D4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6413952"/>
        <c:axId val="1406439520"/>
      </c:barChart>
      <c:catAx>
        <c:axId val="140641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39520"/>
        <c:crosses val="autoZero"/>
        <c:auto val="1"/>
        <c:lblAlgn val="ctr"/>
        <c:lblOffset val="100"/>
        <c:noMultiLvlLbl val="0"/>
      </c:catAx>
      <c:valAx>
        <c:axId val="14064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1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CHARTS!$AH$222</c:f>
              <c:strCache>
                <c:ptCount val="1"/>
                <c:pt idx="0">
                  <c:v>SVM (Base)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CHARTS!$AH$223:$AH$227</c:f>
              <c:numCache>
                <c:formatCode>0.00</c:formatCode>
                <c:ptCount val="5"/>
                <c:pt idx="0">
                  <c:v>46.438136047134442</c:v>
                </c:pt>
                <c:pt idx="1">
                  <c:v>38.755512003919648</c:v>
                </c:pt>
                <c:pt idx="2">
                  <c:v>39.784949101420139</c:v>
                </c:pt>
                <c:pt idx="3">
                  <c:v>49.728534084053884</c:v>
                </c:pt>
                <c:pt idx="4">
                  <c:v>43.676782809132028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C43-89C4-3C2B82313322}"/>
            </c:ext>
          </c:extLst>
        </c:ser>
        <c:ser>
          <c:idx val="1"/>
          <c:order val="1"/>
          <c:tx>
            <c:strRef>
              <c:f>CHARTS!$AI$222</c:f>
              <c:strCache>
                <c:ptCount val="1"/>
                <c:pt idx="0">
                  <c:v>SVM (PCA)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CHARTS!$AI$223:$AI$227</c:f>
              <c:numCache>
                <c:formatCode>0.00</c:formatCode>
                <c:ptCount val="5"/>
                <c:pt idx="0">
                  <c:v>46.438136047134442</c:v>
                </c:pt>
                <c:pt idx="1">
                  <c:v>38.755512003919648</c:v>
                </c:pt>
                <c:pt idx="2">
                  <c:v>40.299997518610432</c:v>
                </c:pt>
                <c:pt idx="3">
                  <c:v>49.728534084053884</c:v>
                </c:pt>
                <c:pt idx="4">
                  <c:v>43.8055449134296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B11-4C43-89C4-3C2B82313322}"/>
            </c:ext>
          </c:extLst>
        </c:ser>
        <c:ser>
          <c:idx val="2"/>
          <c:order val="2"/>
          <c:tx>
            <c:strRef>
              <c:f>CHARTS!$AJ$222</c:f>
              <c:strCache>
                <c:ptCount val="1"/>
                <c:pt idx="0">
                  <c:v>MLP (Base)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CHARTS!$AJ$223:$AJ$227</c:f>
              <c:numCache>
                <c:formatCode>0.00</c:formatCode>
                <c:ptCount val="5"/>
                <c:pt idx="0">
                  <c:v>50.68771947129612</c:v>
                </c:pt>
                <c:pt idx="1">
                  <c:v>47.591723558449743</c:v>
                </c:pt>
                <c:pt idx="2">
                  <c:v>60.197552104957232</c:v>
                </c:pt>
                <c:pt idx="3">
                  <c:v>49.728534084053884</c:v>
                </c:pt>
                <c:pt idx="4">
                  <c:v>52.051382304689241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B11-4C43-89C4-3C2B82313322}"/>
            </c:ext>
          </c:extLst>
        </c:ser>
        <c:ser>
          <c:idx val="3"/>
          <c:order val="3"/>
          <c:tx>
            <c:strRef>
              <c:f>CHARTS!$AK$222</c:f>
              <c:strCache>
                <c:ptCount val="1"/>
                <c:pt idx="0">
                  <c:v>MLP (PCA)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CHARTS!$AK$223:$AK$227</c:f>
              <c:numCache>
                <c:formatCode>0.00</c:formatCode>
                <c:ptCount val="5"/>
                <c:pt idx="0">
                  <c:v>46.433822584101144</c:v>
                </c:pt>
                <c:pt idx="1">
                  <c:v>52.73543533870204</c:v>
                </c:pt>
                <c:pt idx="2">
                  <c:v>58.904877344877342</c:v>
                </c:pt>
                <c:pt idx="3">
                  <c:v>49.728534084053884</c:v>
                </c:pt>
                <c:pt idx="4">
                  <c:v>51.950667337933602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B11-4C43-89C4-3C2B823133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6416128"/>
        <c:axId val="1406423744"/>
      </c:barChart>
      <c:catAx>
        <c:axId val="14064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23744"/>
        <c:crosses val="autoZero"/>
        <c:auto val="1"/>
        <c:lblAlgn val="ctr"/>
        <c:lblOffset val="100"/>
        <c:noMultiLvlLbl val="0"/>
      </c:catAx>
      <c:valAx>
        <c:axId val="14064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1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77880627516977E-2"/>
          <c:y val="5.3297801465689541E-2"/>
          <c:w val="0.90563026186612172"/>
          <c:h val="0.74206801764702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CHARTS!$AL$222</c:f>
              <c:strCache>
                <c:ptCount val="1"/>
                <c:pt idx="0">
                  <c:v>SVM (Base)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CHARTS!$AL$223:$AL$227</c:f>
              <c:numCache>
                <c:formatCode>0.00</c:formatCode>
                <c:ptCount val="5"/>
                <c:pt idx="0">
                  <c:v>46.757533808966031</c:v>
                </c:pt>
                <c:pt idx="1">
                  <c:v>35.643803646563811</c:v>
                </c:pt>
                <c:pt idx="2">
                  <c:v>41.98189835228591</c:v>
                </c:pt>
                <c:pt idx="3">
                  <c:v>49.884734890247564</c:v>
                </c:pt>
                <c:pt idx="4">
                  <c:v>43.566992674515831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C3-4F8B-9DDC-297AE0A70A70}"/>
            </c:ext>
          </c:extLst>
        </c:ser>
        <c:ser>
          <c:idx val="1"/>
          <c:order val="1"/>
          <c:tx>
            <c:strRef>
              <c:f>CHARTS!$AM$222</c:f>
              <c:strCache>
                <c:ptCount val="1"/>
                <c:pt idx="0">
                  <c:v>SVM (PCA)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CHARTS!$AM$223:$AM$227</c:f>
              <c:numCache>
                <c:formatCode>0.00</c:formatCode>
                <c:ptCount val="5"/>
                <c:pt idx="0">
                  <c:v>46.757533808966031</c:v>
                </c:pt>
                <c:pt idx="1">
                  <c:v>35.643803646563811</c:v>
                </c:pt>
                <c:pt idx="2">
                  <c:v>41.98189835228591</c:v>
                </c:pt>
                <c:pt idx="3">
                  <c:v>49.884734890247564</c:v>
                </c:pt>
                <c:pt idx="4">
                  <c:v>43.566992674515831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C3-4F8B-9DDC-297AE0A70A70}"/>
            </c:ext>
          </c:extLst>
        </c:ser>
        <c:ser>
          <c:idx val="2"/>
          <c:order val="2"/>
          <c:tx>
            <c:strRef>
              <c:f>CHARTS!$AN$222</c:f>
              <c:strCache>
                <c:ptCount val="1"/>
                <c:pt idx="0">
                  <c:v>MLP (Base)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CHARTS!$AN$223:$AN$227</c:f>
              <c:numCache>
                <c:formatCode>0.00</c:formatCode>
                <c:ptCount val="5"/>
                <c:pt idx="0">
                  <c:v>46.757533808966031</c:v>
                </c:pt>
                <c:pt idx="1">
                  <c:v>37.091092098641163</c:v>
                </c:pt>
                <c:pt idx="2">
                  <c:v>41.98189835228591</c:v>
                </c:pt>
                <c:pt idx="3">
                  <c:v>49.884734890247564</c:v>
                </c:pt>
                <c:pt idx="4">
                  <c:v>43.928814787535167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C3-4F8B-9DDC-297AE0A70A70}"/>
            </c:ext>
          </c:extLst>
        </c:ser>
        <c:ser>
          <c:idx val="3"/>
          <c:order val="3"/>
          <c:tx>
            <c:strRef>
              <c:f>CHARTS!$AO$222</c:f>
              <c:strCache>
                <c:ptCount val="1"/>
                <c:pt idx="0">
                  <c:v>MLP (PCA)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CHARTS!$AO$223:$AO$227</c:f>
              <c:numCache>
                <c:formatCode>0.00</c:formatCode>
                <c:ptCount val="5"/>
                <c:pt idx="0">
                  <c:v>46.757533808966031</c:v>
                </c:pt>
                <c:pt idx="1">
                  <c:v>35.643803646563811</c:v>
                </c:pt>
                <c:pt idx="2">
                  <c:v>59.928689413531323</c:v>
                </c:pt>
                <c:pt idx="3">
                  <c:v>49.884734890247564</c:v>
                </c:pt>
                <c:pt idx="4">
                  <c:v>48.053690439827179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4C3-4F8B-9DDC-297AE0A70A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6415584"/>
        <c:axId val="1406438976"/>
      </c:barChart>
      <c:catAx>
        <c:axId val="14064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38976"/>
        <c:crosses val="autoZero"/>
        <c:auto val="1"/>
        <c:lblAlgn val="ctr"/>
        <c:lblOffset val="100"/>
        <c:noMultiLvlLbl val="0"/>
      </c:catAx>
      <c:valAx>
        <c:axId val="14064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BaseFeat_ELR!$D$186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BaseFeat_ELR!$A$187:$B$201</c:f>
              <c:multiLvlStrCache>
                <c:ptCount val="15"/>
                <c:lvl>
                  <c:pt idx="0">
                    <c:v>ALL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ALL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ALL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ALL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ALL</c:v>
                  </c:pt>
                  <c:pt idx="13">
                    <c:v>FEMALE</c:v>
                  </c:pt>
                  <c:pt idx="14">
                    <c:v>MALE</c:v>
                  </c:pt>
                </c:lvl>
                <c:lvl>
                  <c:pt idx="0">
                    <c:v>AE</c:v>
                  </c:pt>
                  <c:pt idx="3">
                    <c:v>EV</c:v>
                  </c:pt>
                  <c:pt idx="6">
                    <c:v>NA</c:v>
                  </c:pt>
                  <c:pt idx="9">
                    <c:v>OT</c:v>
                  </c:pt>
                  <c:pt idx="12">
                    <c:v>AVG</c:v>
                  </c:pt>
                </c:lvl>
              </c:multiLvlStrCache>
            </c:multiLvlStrRef>
          </c:cat>
          <c:val>
            <c:numRef>
              <c:f>BaseFeat_ELR!$D$187:$D$201</c:f>
              <c:numCache>
                <c:formatCode>0.00</c:formatCode>
                <c:ptCount val="15"/>
                <c:pt idx="0">
                  <c:v>47.27</c:v>
                </c:pt>
                <c:pt idx="1">
                  <c:v>50.4</c:v>
                </c:pt>
                <c:pt idx="2">
                  <c:v>53.11</c:v>
                </c:pt>
                <c:pt idx="3">
                  <c:v>49.79</c:v>
                </c:pt>
                <c:pt idx="4">
                  <c:v>53.43</c:v>
                </c:pt>
                <c:pt idx="5">
                  <c:v>43.04</c:v>
                </c:pt>
                <c:pt idx="6">
                  <c:v>32.36</c:v>
                </c:pt>
                <c:pt idx="7">
                  <c:v>57.31</c:v>
                </c:pt>
                <c:pt idx="8">
                  <c:v>49.03</c:v>
                </c:pt>
                <c:pt idx="9">
                  <c:v>48.94</c:v>
                </c:pt>
                <c:pt idx="10">
                  <c:v>49.58</c:v>
                </c:pt>
                <c:pt idx="11">
                  <c:v>48.26</c:v>
                </c:pt>
                <c:pt idx="12">
                  <c:v>44.59</c:v>
                </c:pt>
                <c:pt idx="13">
                  <c:v>52.679999999999993</c:v>
                </c:pt>
                <c:pt idx="14">
                  <c:v>48.36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3E-4978-AC85-62581BFB0382}"/>
            </c:ext>
          </c:extLst>
        </c:ser>
        <c:ser>
          <c:idx val="2"/>
          <c:order val="2"/>
          <c:tx>
            <c:strRef>
              <c:f>BaseFeat_ELR!$E$186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BaseFeat_ELR!$A$187:$B$201</c:f>
              <c:multiLvlStrCache>
                <c:ptCount val="15"/>
                <c:lvl>
                  <c:pt idx="0">
                    <c:v>ALL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ALL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ALL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ALL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ALL</c:v>
                  </c:pt>
                  <c:pt idx="13">
                    <c:v>FEMALE</c:v>
                  </c:pt>
                  <c:pt idx="14">
                    <c:v>MALE</c:v>
                  </c:pt>
                </c:lvl>
                <c:lvl>
                  <c:pt idx="0">
                    <c:v>AE</c:v>
                  </c:pt>
                  <c:pt idx="3">
                    <c:v>EV</c:v>
                  </c:pt>
                  <c:pt idx="6">
                    <c:v>NA</c:v>
                  </c:pt>
                  <c:pt idx="9">
                    <c:v>OT</c:v>
                  </c:pt>
                  <c:pt idx="12">
                    <c:v>AVG</c:v>
                  </c:pt>
                </c:lvl>
              </c:multiLvlStrCache>
            </c:multiLvlStrRef>
          </c:cat>
          <c:val>
            <c:numRef>
              <c:f>BaseFeat_ELR!$E$187:$E$201</c:f>
              <c:numCache>
                <c:formatCode>0.00</c:formatCode>
                <c:ptCount val="15"/>
                <c:pt idx="0">
                  <c:v>49.94</c:v>
                </c:pt>
                <c:pt idx="1">
                  <c:v>50.42</c:v>
                </c:pt>
                <c:pt idx="2">
                  <c:v>53.39</c:v>
                </c:pt>
                <c:pt idx="3">
                  <c:v>49.88</c:v>
                </c:pt>
                <c:pt idx="4">
                  <c:v>52.41</c:v>
                </c:pt>
                <c:pt idx="5">
                  <c:v>42.38</c:v>
                </c:pt>
                <c:pt idx="6">
                  <c:v>44.31</c:v>
                </c:pt>
                <c:pt idx="7">
                  <c:v>55.5</c:v>
                </c:pt>
                <c:pt idx="8">
                  <c:v>49.05</c:v>
                </c:pt>
                <c:pt idx="9">
                  <c:v>50</c:v>
                </c:pt>
                <c:pt idx="10">
                  <c:v>50</c:v>
                </c:pt>
                <c:pt idx="11">
                  <c:v>49.99</c:v>
                </c:pt>
                <c:pt idx="12">
                  <c:v>48.532499999999999</c:v>
                </c:pt>
                <c:pt idx="13">
                  <c:v>52.082499999999996</c:v>
                </c:pt>
                <c:pt idx="14">
                  <c:v>48.702500000000001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3E-4978-AC85-62581BFB0382}"/>
            </c:ext>
          </c:extLst>
        </c:ser>
        <c:ser>
          <c:idx val="3"/>
          <c:order val="3"/>
          <c:tx>
            <c:strRef>
              <c:f>BaseFeat_ELR!$F$186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BaseFeat_ELR!$A$187:$B$201</c:f>
              <c:multiLvlStrCache>
                <c:ptCount val="15"/>
                <c:lvl>
                  <c:pt idx="0">
                    <c:v>ALL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ALL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ALL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ALL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ALL</c:v>
                  </c:pt>
                  <c:pt idx="13">
                    <c:v>FEMALE</c:v>
                  </c:pt>
                  <c:pt idx="14">
                    <c:v>MALE</c:v>
                  </c:pt>
                </c:lvl>
                <c:lvl>
                  <c:pt idx="0">
                    <c:v>AE</c:v>
                  </c:pt>
                  <c:pt idx="3">
                    <c:v>EV</c:v>
                  </c:pt>
                  <c:pt idx="6">
                    <c:v>NA</c:v>
                  </c:pt>
                  <c:pt idx="9">
                    <c:v>OT</c:v>
                  </c:pt>
                  <c:pt idx="12">
                    <c:v>AVG</c:v>
                  </c:pt>
                </c:lvl>
              </c:multiLvlStrCache>
            </c:multiLvlStrRef>
          </c:cat>
          <c:val>
            <c:numRef>
              <c:f>BaseFeat_ELR!$F$187:$F$201</c:f>
              <c:numCache>
                <c:formatCode>0.00</c:formatCode>
                <c:ptCount val="15"/>
                <c:pt idx="0">
                  <c:v>48.568332476082709</c:v>
                </c:pt>
                <c:pt idx="1">
                  <c:v>50.40999801626662</c:v>
                </c:pt>
                <c:pt idx="2">
                  <c:v>53.249631924882628</c:v>
                </c:pt>
                <c:pt idx="3">
                  <c:v>49.834959365907494</c:v>
                </c:pt>
                <c:pt idx="4">
                  <c:v>52.9150850340136</c:v>
                </c:pt>
                <c:pt idx="5">
                  <c:v>42.707450245844065</c:v>
                </c:pt>
                <c:pt idx="6">
                  <c:v>37.403719838267897</c:v>
                </c:pt>
                <c:pt idx="7">
                  <c:v>56.390479567414232</c:v>
                </c:pt>
                <c:pt idx="8">
                  <c:v>35.83064601646435</c:v>
                </c:pt>
                <c:pt idx="9">
                  <c:v>49.464321811198708</c:v>
                </c:pt>
                <c:pt idx="10">
                  <c:v>49.789114279975898</c:v>
                </c:pt>
                <c:pt idx="11">
                  <c:v>49.109768956743004</c:v>
                </c:pt>
                <c:pt idx="12">
                  <c:v>46.317833372864207</c:v>
                </c:pt>
                <c:pt idx="13">
                  <c:v>52.376169224417588</c:v>
                </c:pt>
                <c:pt idx="14">
                  <c:v>45.224374285983515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3E-4978-AC85-62581BFB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247296"/>
        <c:axId val="134424892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BaseFeat_ELR!$C$186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BaseFeat_ELR!$A$187:$B$201</c15:sqref>
                        </c15:formulaRef>
                      </c:ext>
                    </c:extLst>
                    <c:multiLvlStrCache>
                      <c:ptCount val="15"/>
                      <c:lvl>
                        <c:pt idx="0">
                          <c:v>ALL</c:v>
                        </c:pt>
                        <c:pt idx="1">
                          <c:v>FEMALE</c:v>
                        </c:pt>
                        <c:pt idx="2">
                          <c:v>MALE</c:v>
                        </c:pt>
                        <c:pt idx="3">
                          <c:v>ALL</c:v>
                        </c:pt>
                        <c:pt idx="4">
                          <c:v>FEMALE</c:v>
                        </c:pt>
                        <c:pt idx="5">
                          <c:v>MALE</c:v>
                        </c:pt>
                        <c:pt idx="6">
                          <c:v>ALL</c:v>
                        </c:pt>
                        <c:pt idx="7">
                          <c:v>FEMALE</c:v>
                        </c:pt>
                        <c:pt idx="8">
                          <c:v>MALE</c:v>
                        </c:pt>
                        <c:pt idx="9">
                          <c:v>ALL</c:v>
                        </c:pt>
                        <c:pt idx="10">
                          <c:v>FEMALE</c:v>
                        </c:pt>
                        <c:pt idx="11">
                          <c:v>MALE</c:v>
                        </c:pt>
                        <c:pt idx="12">
                          <c:v>ALL</c:v>
                        </c:pt>
                        <c:pt idx="13">
                          <c:v>FEMALE</c:v>
                        </c:pt>
                        <c:pt idx="14">
                          <c:v>MALE</c:v>
                        </c:pt>
                      </c:lvl>
                      <c:lvl>
                        <c:pt idx="0">
                          <c:v>AE</c:v>
                        </c:pt>
                        <c:pt idx="3">
                          <c:v>EV</c:v>
                        </c:pt>
                        <c:pt idx="6">
                          <c:v>NA</c:v>
                        </c:pt>
                        <c:pt idx="9">
                          <c:v>OT</c:v>
                        </c:pt>
                        <c:pt idx="12">
                          <c:v>AVG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BaseFeat_ELR!$C$187:$C$201</c15:sqref>
                        </c15:formulaRef>
                      </c:ext>
                    </c:extLst>
                    <c:numCache>
                      <c:formatCode>0.00</c:formatCode>
                      <c:ptCount val="15"/>
                      <c:pt idx="0">
                        <c:v>83.56</c:v>
                      </c:pt>
                      <c:pt idx="1">
                        <c:v>77.180000000000007</c:v>
                      </c:pt>
                      <c:pt idx="2">
                        <c:v>68.98</c:v>
                      </c:pt>
                      <c:pt idx="3">
                        <c:v>57.9</c:v>
                      </c:pt>
                      <c:pt idx="4">
                        <c:v>49.11</c:v>
                      </c:pt>
                      <c:pt idx="5">
                        <c:v>39.659999999999997</c:v>
                      </c:pt>
                      <c:pt idx="6">
                        <c:v>47.13</c:v>
                      </c:pt>
                      <c:pt idx="7">
                        <c:v>57.84</c:v>
                      </c:pt>
                      <c:pt idx="8">
                        <c:v>55.95</c:v>
                      </c:pt>
                      <c:pt idx="9">
                        <c:v>97.87</c:v>
                      </c:pt>
                      <c:pt idx="10">
                        <c:v>99.16</c:v>
                      </c:pt>
                      <c:pt idx="11">
                        <c:v>96.51</c:v>
                      </c:pt>
                      <c:pt idx="12">
                        <c:v>71.615000000000009</c:v>
                      </c:pt>
                      <c:pt idx="13">
                        <c:v>70.822499999999991</c:v>
                      </c:pt>
                      <c:pt idx="14">
                        <c:v>65.275000000000006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A13E-4978-AC85-62581BFB0382}"/>
                  </c:ext>
                </c:extLst>
              </c15:ser>
            </c15:filteredBarSeries>
          </c:ext>
        </c:extLst>
      </c:barChart>
      <c:catAx>
        <c:axId val="134424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48928"/>
        <c:crosses val="autoZero"/>
        <c:auto val="1"/>
        <c:lblAlgn val="ctr"/>
        <c:lblOffset val="100"/>
        <c:noMultiLvlLbl val="0"/>
      </c:catAx>
      <c:valAx>
        <c:axId val="13442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77880627516977E-2"/>
          <c:y val="8.4388185654008435E-2"/>
          <c:w val="0.90563026186612172"/>
          <c:h val="0.71097763345870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CHARTS!$AP$222</c:f>
              <c:strCache>
                <c:ptCount val="1"/>
                <c:pt idx="0">
                  <c:v>SVM (Base)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CHARTS!$AP$223:$AP$227</c:f>
              <c:numCache>
                <c:formatCode>0.00</c:formatCode>
                <c:ptCount val="5"/>
                <c:pt idx="0">
                  <c:v>43.77600359833577</c:v>
                </c:pt>
                <c:pt idx="1">
                  <c:v>40.126930906478272</c:v>
                </c:pt>
                <c:pt idx="2">
                  <c:v>22.596519057061027</c:v>
                </c:pt>
                <c:pt idx="3">
                  <c:v>49.387589837028045</c:v>
                </c:pt>
                <c:pt idx="4">
                  <c:v>38.971760849725783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D-4E7E-A955-29B48E86993E}"/>
            </c:ext>
          </c:extLst>
        </c:ser>
        <c:ser>
          <c:idx val="1"/>
          <c:order val="1"/>
          <c:tx>
            <c:strRef>
              <c:f>CHARTS!$AQ$222</c:f>
              <c:strCache>
                <c:ptCount val="1"/>
                <c:pt idx="0">
                  <c:v>SVM (PCA)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CHARTS!$AQ$223:$AQ$227</c:f>
              <c:numCache>
                <c:formatCode>0.00</c:formatCode>
                <c:ptCount val="5"/>
                <c:pt idx="0">
                  <c:v>43.77600359833577</c:v>
                </c:pt>
                <c:pt idx="1">
                  <c:v>40.126930906478272</c:v>
                </c:pt>
                <c:pt idx="2">
                  <c:v>22.596519057061027</c:v>
                </c:pt>
                <c:pt idx="3">
                  <c:v>49.387589837028045</c:v>
                </c:pt>
                <c:pt idx="4">
                  <c:v>38.971760849725783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D-4E7E-A955-29B48E86993E}"/>
            </c:ext>
          </c:extLst>
        </c:ser>
        <c:ser>
          <c:idx val="2"/>
          <c:order val="2"/>
          <c:tx>
            <c:strRef>
              <c:f>CHARTS!$AR$222</c:f>
              <c:strCache>
                <c:ptCount val="1"/>
                <c:pt idx="0">
                  <c:v>MLP (Base)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CHARTS!$AR$223:$AR$227</c:f>
              <c:numCache>
                <c:formatCode>0.00</c:formatCode>
                <c:ptCount val="5"/>
                <c:pt idx="0">
                  <c:v>34.516967425771121</c:v>
                </c:pt>
                <c:pt idx="1">
                  <c:v>40.126930906478272</c:v>
                </c:pt>
                <c:pt idx="2">
                  <c:v>56.696554352533568</c:v>
                </c:pt>
                <c:pt idx="3">
                  <c:v>49.387589837028045</c:v>
                </c:pt>
                <c:pt idx="4">
                  <c:v>45.182010630452751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D-4E7E-A955-29B48E86993E}"/>
            </c:ext>
          </c:extLst>
        </c:ser>
        <c:ser>
          <c:idx val="3"/>
          <c:order val="3"/>
          <c:tx>
            <c:strRef>
              <c:f>CHARTS!$AS$222</c:f>
              <c:strCache>
                <c:ptCount val="1"/>
                <c:pt idx="0">
                  <c:v>MLP (PCA)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CHARTS!$AS$223:$AS$227</c:f>
              <c:numCache>
                <c:formatCode>0.00</c:formatCode>
                <c:ptCount val="5"/>
                <c:pt idx="0">
                  <c:v>43.77600359833577</c:v>
                </c:pt>
                <c:pt idx="1">
                  <c:v>40.126930906478272</c:v>
                </c:pt>
                <c:pt idx="2">
                  <c:v>22.773680297397767</c:v>
                </c:pt>
                <c:pt idx="3">
                  <c:v>49.387589837028045</c:v>
                </c:pt>
                <c:pt idx="4">
                  <c:v>39.016051159809962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23D-4E7E-A955-29B48E8699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6435168"/>
        <c:axId val="1406417760"/>
      </c:barChart>
      <c:catAx>
        <c:axId val="140643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17760"/>
        <c:crosses val="autoZero"/>
        <c:auto val="1"/>
        <c:lblAlgn val="ctr"/>
        <c:lblOffset val="100"/>
        <c:noMultiLvlLbl val="0"/>
      </c:catAx>
      <c:valAx>
        <c:axId val="14064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77880627516977E-2"/>
          <c:y val="7.5505218743060182E-2"/>
          <c:w val="0.90563026186612172"/>
          <c:h val="0.71986060036965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CHARTS!$AT$222</c:f>
              <c:strCache>
                <c:ptCount val="1"/>
                <c:pt idx="0">
                  <c:v>SVM (Base)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CHARTS!$AT$223:$AT$227</c:f>
              <c:numCache>
                <c:formatCode>0.00</c:formatCode>
                <c:ptCount val="5"/>
                <c:pt idx="0">
                  <c:v>48.095089795494651</c:v>
                </c:pt>
                <c:pt idx="1">
                  <c:v>40.828402366863905</c:v>
                </c:pt>
                <c:pt idx="2">
                  <c:v>46.495452113429643</c:v>
                </c:pt>
                <c:pt idx="3">
                  <c:v>49.839486356340288</c:v>
                </c:pt>
                <c:pt idx="4">
                  <c:v>46.314607658032116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8D-4F7C-8314-65251279ADC2}"/>
            </c:ext>
          </c:extLst>
        </c:ser>
        <c:ser>
          <c:idx val="1"/>
          <c:order val="1"/>
          <c:tx>
            <c:strRef>
              <c:f>CHARTS!$AU$222</c:f>
              <c:strCache>
                <c:ptCount val="1"/>
                <c:pt idx="0">
                  <c:v>SVM (PCA)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CHARTS!$AU$223:$AU$227</c:f>
              <c:numCache>
                <c:formatCode>0.00</c:formatCode>
                <c:ptCount val="5"/>
                <c:pt idx="0">
                  <c:v>48.095089795494651</c:v>
                </c:pt>
                <c:pt idx="1">
                  <c:v>40.828402366863905</c:v>
                </c:pt>
                <c:pt idx="2">
                  <c:v>46.495452113429643</c:v>
                </c:pt>
                <c:pt idx="3">
                  <c:v>49.839486356340288</c:v>
                </c:pt>
                <c:pt idx="4">
                  <c:v>46.314607658032116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F8D-4F7C-8314-65251279ADC2}"/>
            </c:ext>
          </c:extLst>
        </c:ser>
        <c:ser>
          <c:idx val="2"/>
          <c:order val="2"/>
          <c:tx>
            <c:strRef>
              <c:f>CHARTS!$AV$222</c:f>
              <c:strCache>
                <c:ptCount val="1"/>
                <c:pt idx="0">
                  <c:v>MLP (Base)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CHARTS!$AV$223:$AV$227</c:f>
              <c:numCache>
                <c:formatCode>0.00</c:formatCode>
                <c:ptCount val="5"/>
                <c:pt idx="0">
                  <c:v>56.798374354033456</c:v>
                </c:pt>
                <c:pt idx="1">
                  <c:v>45.657614980289104</c:v>
                </c:pt>
                <c:pt idx="2">
                  <c:v>46.495452113429643</c:v>
                </c:pt>
                <c:pt idx="3">
                  <c:v>49.839486356340288</c:v>
                </c:pt>
                <c:pt idx="4">
                  <c:v>49.69773195102313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F8D-4F7C-8314-65251279ADC2}"/>
            </c:ext>
          </c:extLst>
        </c:ser>
        <c:ser>
          <c:idx val="3"/>
          <c:order val="3"/>
          <c:tx>
            <c:strRef>
              <c:f>CHARTS!$AW$222</c:f>
              <c:strCache>
                <c:ptCount val="1"/>
                <c:pt idx="0">
                  <c:v>MLP (PCA)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CHARTS!$AW$223:$AW$227</c:f>
              <c:numCache>
                <c:formatCode>0.00</c:formatCode>
                <c:ptCount val="5"/>
                <c:pt idx="0">
                  <c:v>48.095089795494651</c:v>
                </c:pt>
                <c:pt idx="1">
                  <c:v>50.583350464518674</c:v>
                </c:pt>
                <c:pt idx="2">
                  <c:v>46.495452113429643</c:v>
                </c:pt>
                <c:pt idx="3">
                  <c:v>49.839486356340288</c:v>
                </c:pt>
                <c:pt idx="4">
                  <c:v>48.753344682445814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F8D-4F7C-8314-65251279AD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6420480"/>
        <c:axId val="1406426464"/>
      </c:barChart>
      <c:catAx>
        <c:axId val="14064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26464"/>
        <c:crosses val="autoZero"/>
        <c:auto val="1"/>
        <c:lblAlgn val="ctr"/>
        <c:lblOffset val="100"/>
        <c:noMultiLvlLbl val="0"/>
      </c:catAx>
      <c:valAx>
        <c:axId val="14064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CHARTS!$AX$222</c:f>
              <c:strCache>
                <c:ptCount val="1"/>
                <c:pt idx="0">
                  <c:v>SVM (Base)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CHARTS!$AX$223:$AX$227</c:f>
              <c:numCache>
                <c:formatCode>0.00</c:formatCode>
                <c:ptCount val="5"/>
                <c:pt idx="0">
                  <c:v>46.010150091782748</c:v>
                </c:pt>
                <c:pt idx="1">
                  <c:v>36.604539114999362</c:v>
                </c:pt>
                <c:pt idx="2">
                  <c:v>36.759387921653968</c:v>
                </c:pt>
                <c:pt idx="3">
                  <c:v>49.718423169750608</c:v>
                </c:pt>
                <c:pt idx="4">
                  <c:v>42.27312507454667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3F-47E0-8C28-AE9A20518D68}"/>
            </c:ext>
          </c:extLst>
        </c:ser>
        <c:ser>
          <c:idx val="1"/>
          <c:order val="1"/>
          <c:tx>
            <c:strRef>
              <c:f>CHARTS!$AY$222</c:f>
              <c:strCache>
                <c:ptCount val="1"/>
                <c:pt idx="0">
                  <c:v>SVM (PCA)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CHARTS!$AY$223:$AY$227</c:f>
              <c:numCache>
                <c:formatCode>0.00</c:formatCode>
                <c:ptCount val="5"/>
                <c:pt idx="0">
                  <c:v>46.010150091782748</c:v>
                </c:pt>
                <c:pt idx="1">
                  <c:v>36.604539114999362</c:v>
                </c:pt>
                <c:pt idx="2">
                  <c:v>36.759387921653968</c:v>
                </c:pt>
                <c:pt idx="3">
                  <c:v>49.718423169750608</c:v>
                </c:pt>
                <c:pt idx="4">
                  <c:v>42.27312507454667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43F-47E0-8C28-AE9A20518D68}"/>
            </c:ext>
          </c:extLst>
        </c:ser>
        <c:ser>
          <c:idx val="2"/>
          <c:order val="2"/>
          <c:tx>
            <c:strRef>
              <c:f>CHARTS!$AZ$222</c:f>
              <c:strCache>
                <c:ptCount val="1"/>
                <c:pt idx="0">
                  <c:v>MLP (Base)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CHARTS!$AZ$223:$AZ$227</c:f>
              <c:numCache>
                <c:formatCode>0.00</c:formatCode>
                <c:ptCount val="5"/>
                <c:pt idx="0">
                  <c:v>12.87680780623802</c:v>
                </c:pt>
                <c:pt idx="1">
                  <c:v>29.706171798116127</c:v>
                </c:pt>
                <c:pt idx="2">
                  <c:v>63.239644212523721</c:v>
                </c:pt>
                <c:pt idx="3">
                  <c:v>49.718423169750608</c:v>
                </c:pt>
                <c:pt idx="4">
                  <c:v>38.885261746657122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43F-47E0-8C28-AE9A20518D68}"/>
            </c:ext>
          </c:extLst>
        </c:ser>
        <c:ser>
          <c:idx val="3"/>
          <c:order val="3"/>
          <c:tx>
            <c:strRef>
              <c:f>CHARTS!$BA$222</c:f>
              <c:strCache>
                <c:ptCount val="1"/>
                <c:pt idx="0">
                  <c:v>MLP (PCA)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CHARTS!$A$223:$A$227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CHARTS!$BA$223:$BA$227</c:f>
              <c:numCache>
                <c:formatCode>0.00</c:formatCode>
                <c:ptCount val="5"/>
                <c:pt idx="0">
                  <c:v>46.010150091782748</c:v>
                </c:pt>
                <c:pt idx="1">
                  <c:v>51.899803732922848</c:v>
                </c:pt>
                <c:pt idx="2">
                  <c:v>45.442512331469914</c:v>
                </c:pt>
                <c:pt idx="3">
                  <c:v>49.718423169750608</c:v>
                </c:pt>
                <c:pt idx="4">
                  <c:v>48.267722331481536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43F-47E0-8C28-AE9A20518D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6440608"/>
        <c:axId val="1406441152"/>
      </c:barChart>
      <c:catAx>
        <c:axId val="14064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41152"/>
        <c:crosses val="autoZero"/>
        <c:auto val="1"/>
        <c:lblAlgn val="ctr"/>
        <c:lblOffset val="100"/>
        <c:noMultiLvlLbl val="0"/>
      </c:catAx>
      <c:valAx>
        <c:axId val="14064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77880627516977E-2"/>
          <c:y val="4.8856318010215415E-2"/>
          <c:w val="0.90563026186612172"/>
          <c:h val="0.625478027771511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CHARTS!$J$21</c:f>
              <c:strCache>
                <c:ptCount val="1"/>
                <c:pt idx="0">
                  <c:v>Reading Frequency merged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CHARTS!$A$22:$A$26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CHARTS!$J$22:$J$26</c:f>
              <c:numCache>
                <c:formatCode>0.00</c:formatCode>
                <c:ptCount val="5"/>
                <c:pt idx="0">
                  <c:v>46.438136047134442</c:v>
                </c:pt>
                <c:pt idx="1">
                  <c:v>38.752507656498842</c:v>
                </c:pt>
                <c:pt idx="2">
                  <c:v>51.804941607952905</c:v>
                </c:pt>
                <c:pt idx="3">
                  <c:v>49.728534084053884</c:v>
                </c:pt>
                <c:pt idx="4">
                  <c:v>46.681029848910015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7-492F-84AD-9E565B277F50}"/>
            </c:ext>
          </c:extLst>
        </c:ser>
        <c:ser>
          <c:idx val="1"/>
          <c:order val="1"/>
          <c:tx>
            <c:strRef>
              <c:f>CHARTS!$K$21</c:f>
              <c:strCache>
                <c:ptCount val="1"/>
                <c:pt idx="0">
                  <c:v>Reading Frequency: 1-2 books a week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CHARTS!$A$22:$A$26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CHARTS!$K$22:$K$26</c:f>
              <c:numCache>
                <c:formatCode>0.00</c:formatCode>
                <c:ptCount val="5"/>
                <c:pt idx="0">
                  <c:v>48.640361804913148</c:v>
                </c:pt>
                <c:pt idx="1">
                  <c:v>29.098128190584234</c:v>
                </c:pt>
                <c:pt idx="2">
                  <c:v>40.05555971546238</c:v>
                </c:pt>
                <c:pt idx="3">
                  <c:v>49.884734890247564</c:v>
                </c:pt>
                <c:pt idx="4">
                  <c:v>41.919696150301831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B7-492F-84AD-9E565B277F50}"/>
            </c:ext>
          </c:extLst>
        </c:ser>
        <c:ser>
          <c:idx val="2"/>
          <c:order val="2"/>
          <c:tx>
            <c:strRef>
              <c:f>CHARTS!$L$21</c:f>
              <c:strCache>
                <c:ptCount val="1"/>
                <c:pt idx="0">
                  <c:v>Reading Frequency: 1-2 books a month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CHARTS!$A$22:$A$26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CHARTS!$L$22:$L$26</c:f>
              <c:numCache>
                <c:formatCode>0.00</c:formatCode>
                <c:ptCount val="5"/>
                <c:pt idx="0">
                  <c:v>34.496867608883761</c:v>
                </c:pt>
                <c:pt idx="1">
                  <c:v>41.017345197464657</c:v>
                </c:pt>
                <c:pt idx="2">
                  <c:v>77.276088221977872</c:v>
                </c:pt>
                <c:pt idx="3">
                  <c:v>49.387589837028045</c:v>
                </c:pt>
                <c:pt idx="4">
                  <c:v>50.544472716338575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8B7-492F-84AD-9E565B277F50}"/>
            </c:ext>
          </c:extLst>
        </c:ser>
        <c:ser>
          <c:idx val="3"/>
          <c:order val="3"/>
          <c:tx>
            <c:strRef>
              <c:f>CHARTS!$M$21</c:f>
              <c:strCache>
                <c:ptCount val="1"/>
                <c:pt idx="0">
                  <c:v>Reading Frequency: 1-2 books in 6 months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CHARTS!$A$22:$A$26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CHARTS!$M$22:$M$26</c:f>
              <c:numCache>
                <c:formatCode>0.00</c:formatCode>
                <c:ptCount val="5"/>
                <c:pt idx="0">
                  <c:v>48.090463039867117</c:v>
                </c:pt>
                <c:pt idx="1">
                  <c:v>45.672687465790915</c:v>
                </c:pt>
                <c:pt idx="2">
                  <c:v>28.69892247043364</c:v>
                </c:pt>
                <c:pt idx="3">
                  <c:v>49.839486356340288</c:v>
                </c:pt>
                <c:pt idx="4">
                  <c:v>43.075389833107991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8B7-492F-84AD-9E565B277F50}"/>
            </c:ext>
          </c:extLst>
        </c:ser>
        <c:ser>
          <c:idx val="4"/>
          <c:order val="4"/>
          <c:tx>
            <c:strRef>
              <c:f>CHARTS!$N$21</c:f>
              <c:strCache>
                <c:ptCount val="1"/>
                <c:pt idx="0">
                  <c:v>Never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CHARTS!$A$22:$A$26</c:f>
              <c:strCache>
                <c:ptCount val="5"/>
                <c:pt idx="0">
                  <c:v>Aesthetic Feelings</c:v>
                </c:pt>
                <c:pt idx="1">
                  <c:v>Evaluative Feelings</c:v>
                </c:pt>
                <c:pt idx="2">
                  <c:v>Narrative Feelings</c:v>
                </c:pt>
                <c:pt idx="3">
                  <c:v>Others</c:v>
                </c:pt>
                <c:pt idx="4">
                  <c:v>Average</c:v>
                </c:pt>
              </c:strCache>
            </c:strRef>
          </c:cat>
          <c:val>
            <c:numRef>
              <c:f>CHARTS!$N$22:$N$26</c:f>
              <c:numCache>
                <c:formatCode>0.00</c:formatCode>
                <c:ptCount val="5"/>
                <c:pt idx="0">
                  <c:v>12.87680780623802</c:v>
                </c:pt>
                <c:pt idx="1">
                  <c:v>29.706171798116127</c:v>
                </c:pt>
                <c:pt idx="2">
                  <c:v>62.164909515000403</c:v>
                </c:pt>
                <c:pt idx="3">
                  <c:v>31.443849465352034</c:v>
                </c:pt>
                <c:pt idx="4">
                  <c:v>34.04793464617665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8B7-492F-84AD-9E565B277F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6421024"/>
        <c:axId val="1406441696"/>
      </c:barChart>
      <c:catAx>
        <c:axId val="14064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41696"/>
        <c:crosses val="autoZero"/>
        <c:auto val="1"/>
        <c:lblAlgn val="ctr"/>
        <c:lblOffset val="100"/>
        <c:noMultiLvlLbl val="0"/>
      </c:catAx>
      <c:valAx>
        <c:axId val="14064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2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'HoE Chart'!$B$2</c:f>
              <c:strCache>
                <c:ptCount val="1"/>
                <c:pt idx="0">
                  <c:v>Aptitude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'HoE Chart'!$B$3:$B$74</c:f>
              <c:numCache>
                <c:formatCode>0.00</c:formatCode>
                <c:ptCount val="72"/>
                <c:pt idx="0">
                  <c:v>-0.625</c:v>
                </c:pt>
                <c:pt idx="1">
                  <c:v>-0.625</c:v>
                </c:pt>
                <c:pt idx="2">
                  <c:v>-0.34375</c:v>
                </c:pt>
                <c:pt idx="3">
                  <c:v>0.375</c:v>
                </c:pt>
                <c:pt idx="4">
                  <c:v>0.21875</c:v>
                </c:pt>
                <c:pt idx="5">
                  <c:v>-0.21875</c:v>
                </c:pt>
                <c:pt idx="6">
                  <c:v>-0.40625</c:v>
                </c:pt>
                <c:pt idx="7">
                  <c:v>-0.3125</c:v>
                </c:pt>
                <c:pt idx="8">
                  <c:v>0.15625</c:v>
                </c:pt>
                <c:pt idx="9">
                  <c:v>0.4375</c:v>
                </c:pt>
                <c:pt idx="10">
                  <c:v>0.21875</c:v>
                </c:pt>
                <c:pt idx="11">
                  <c:v>1</c:v>
                </c:pt>
                <c:pt idx="12">
                  <c:v>0.21875</c:v>
                </c:pt>
                <c:pt idx="13">
                  <c:v>-0.6875</c:v>
                </c:pt>
                <c:pt idx="14">
                  <c:v>-0.4375</c:v>
                </c:pt>
                <c:pt idx="15">
                  <c:v>-0.25</c:v>
                </c:pt>
                <c:pt idx="16">
                  <c:v>6.25E-2</c:v>
                </c:pt>
                <c:pt idx="17">
                  <c:v>0.1875</c:v>
                </c:pt>
                <c:pt idx="18">
                  <c:v>0.5625</c:v>
                </c:pt>
                <c:pt idx="19">
                  <c:v>-0.78125</c:v>
                </c:pt>
                <c:pt idx="20">
                  <c:v>-0.53125</c:v>
                </c:pt>
                <c:pt idx="21">
                  <c:v>0.40625</c:v>
                </c:pt>
                <c:pt idx="22">
                  <c:v>-0.75</c:v>
                </c:pt>
                <c:pt idx="23">
                  <c:v>9.375E-2</c:v>
                </c:pt>
                <c:pt idx="24">
                  <c:v>0.3125</c:v>
                </c:pt>
                <c:pt idx="25">
                  <c:v>-0.25</c:v>
                </c:pt>
                <c:pt idx="26">
                  <c:v>6.25E-2</c:v>
                </c:pt>
                <c:pt idx="27">
                  <c:v>0.25</c:v>
                </c:pt>
                <c:pt idx="28">
                  <c:v>-0.125</c:v>
                </c:pt>
                <c:pt idx="29">
                  <c:v>0.25</c:v>
                </c:pt>
                <c:pt idx="30">
                  <c:v>9.375E-2</c:v>
                </c:pt>
                <c:pt idx="31">
                  <c:v>0.875</c:v>
                </c:pt>
                <c:pt idx="32">
                  <c:v>-0.1875</c:v>
                </c:pt>
                <c:pt idx="33">
                  <c:v>0.21875</c:v>
                </c:pt>
                <c:pt idx="34">
                  <c:v>0.40625</c:v>
                </c:pt>
                <c:pt idx="35">
                  <c:v>-0.21875</c:v>
                </c:pt>
                <c:pt idx="36">
                  <c:v>-0.65625</c:v>
                </c:pt>
                <c:pt idx="37">
                  <c:v>-0.5625</c:v>
                </c:pt>
                <c:pt idx="38">
                  <c:v>-0.15625</c:v>
                </c:pt>
                <c:pt idx="39">
                  <c:v>0.21875</c:v>
                </c:pt>
                <c:pt idx="40">
                  <c:v>-0.34375</c:v>
                </c:pt>
                <c:pt idx="41">
                  <c:v>-0.40625</c:v>
                </c:pt>
                <c:pt idx="42">
                  <c:v>-0.21875</c:v>
                </c:pt>
                <c:pt idx="43">
                  <c:v>-0.65625</c:v>
                </c:pt>
                <c:pt idx="44">
                  <c:v>-0.15625</c:v>
                </c:pt>
                <c:pt idx="45">
                  <c:v>-0.59375</c:v>
                </c:pt>
                <c:pt idx="46">
                  <c:v>0.15625</c:v>
                </c:pt>
                <c:pt idx="47">
                  <c:v>-0.4375</c:v>
                </c:pt>
                <c:pt idx="48">
                  <c:v>-0.21875</c:v>
                </c:pt>
                <c:pt idx="49">
                  <c:v>-0.21875</c:v>
                </c:pt>
                <c:pt idx="50">
                  <c:v>-0.1875</c:v>
                </c:pt>
                <c:pt idx="51">
                  <c:v>-0.125</c:v>
                </c:pt>
                <c:pt idx="52">
                  <c:v>-0.46875</c:v>
                </c:pt>
                <c:pt idx="53">
                  <c:v>-0.625</c:v>
                </c:pt>
                <c:pt idx="54">
                  <c:v>0.5625</c:v>
                </c:pt>
                <c:pt idx="55">
                  <c:v>-0.125</c:v>
                </c:pt>
                <c:pt idx="56">
                  <c:v>-6.25E-2</c:v>
                </c:pt>
                <c:pt idx="57">
                  <c:v>-0.25</c:v>
                </c:pt>
                <c:pt idx="58">
                  <c:v>-0.40625</c:v>
                </c:pt>
                <c:pt idx="59">
                  <c:v>0.40625</c:v>
                </c:pt>
                <c:pt idx="60">
                  <c:v>3.125E-2</c:v>
                </c:pt>
                <c:pt idx="61">
                  <c:v>-0.1875</c:v>
                </c:pt>
                <c:pt idx="62">
                  <c:v>-0.1875</c:v>
                </c:pt>
                <c:pt idx="63">
                  <c:v>-0.5625</c:v>
                </c:pt>
                <c:pt idx="64">
                  <c:v>-0.1875</c:v>
                </c:pt>
                <c:pt idx="65">
                  <c:v>-0.625</c:v>
                </c:pt>
                <c:pt idx="66">
                  <c:v>-0.53125</c:v>
                </c:pt>
                <c:pt idx="67">
                  <c:v>-0.4375</c:v>
                </c:pt>
                <c:pt idx="68">
                  <c:v>-0.53125</c:v>
                </c:pt>
                <c:pt idx="69">
                  <c:v>-0.375</c:v>
                </c:pt>
                <c:pt idx="70">
                  <c:v>-0.3125</c:v>
                </c:pt>
                <c:pt idx="71">
                  <c:v>-0.34375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39-42F5-8FAB-BCE14793BDC7}"/>
            </c:ext>
          </c:extLst>
        </c:ser>
        <c:ser>
          <c:idx val="4"/>
          <c:order val="1"/>
          <c:tx>
            <c:strRef>
              <c:f>'HoE Chart'!$C$2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'HoE Chart'!$C$3:$C$74</c:f>
              <c:numCache>
                <c:formatCode>0.00</c:formatCode>
                <c:ptCount val="72"/>
                <c:pt idx="0">
                  <c:v>-0.59375</c:v>
                </c:pt>
                <c:pt idx="1">
                  <c:v>-0.5625</c:v>
                </c:pt>
                <c:pt idx="2">
                  <c:v>-0.1875</c:v>
                </c:pt>
                <c:pt idx="3">
                  <c:v>-1.0625</c:v>
                </c:pt>
                <c:pt idx="4">
                  <c:v>-0.75</c:v>
                </c:pt>
                <c:pt idx="5">
                  <c:v>-0.75</c:v>
                </c:pt>
                <c:pt idx="6">
                  <c:v>-0.3125</c:v>
                </c:pt>
                <c:pt idx="7">
                  <c:v>-0.5625</c:v>
                </c:pt>
                <c:pt idx="8">
                  <c:v>-1.03125</c:v>
                </c:pt>
                <c:pt idx="9">
                  <c:v>-9.375E-2</c:v>
                </c:pt>
                <c:pt idx="10">
                  <c:v>-0.375</c:v>
                </c:pt>
                <c:pt idx="11">
                  <c:v>-0.1875</c:v>
                </c:pt>
                <c:pt idx="12">
                  <c:v>-6.25E-2</c:v>
                </c:pt>
                <c:pt idx="13">
                  <c:v>-0.28125</c:v>
                </c:pt>
                <c:pt idx="14">
                  <c:v>-0.96875</c:v>
                </c:pt>
                <c:pt idx="15">
                  <c:v>-0.9375</c:v>
                </c:pt>
                <c:pt idx="16">
                  <c:v>-0.40625</c:v>
                </c:pt>
                <c:pt idx="17">
                  <c:v>-0.84375</c:v>
                </c:pt>
                <c:pt idx="18">
                  <c:v>-1.28125</c:v>
                </c:pt>
                <c:pt idx="19">
                  <c:v>-1</c:v>
                </c:pt>
                <c:pt idx="20">
                  <c:v>-0.84375</c:v>
                </c:pt>
                <c:pt idx="21">
                  <c:v>-0.6875</c:v>
                </c:pt>
                <c:pt idx="22">
                  <c:v>-0.625</c:v>
                </c:pt>
                <c:pt idx="23">
                  <c:v>-0.4375</c:v>
                </c:pt>
                <c:pt idx="24">
                  <c:v>-0.71875</c:v>
                </c:pt>
                <c:pt idx="25">
                  <c:v>-1.0625</c:v>
                </c:pt>
                <c:pt idx="26">
                  <c:v>-0.875</c:v>
                </c:pt>
                <c:pt idx="27">
                  <c:v>-0.40625</c:v>
                </c:pt>
                <c:pt idx="28">
                  <c:v>-0.71875</c:v>
                </c:pt>
                <c:pt idx="29">
                  <c:v>-0.5</c:v>
                </c:pt>
                <c:pt idx="30">
                  <c:v>-1.09375</c:v>
                </c:pt>
                <c:pt idx="31">
                  <c:v>-0.21875</c:v>
                </c:pt>
                <c:pt idx="32">
                  <c:v>-0.1875</c:v>
                </c:pt>
                <c:pt idx="33">
                  <c:v>-1.15625</c:v>
                </c:pt>
                <c:pt idx="34">
                  <c:v>-0.28125</c:v>
                </c:pt>
                <c:pt idx="35">
                  <c:v>-0.28125</c:v>
                </c:pt>
                <c:pt idx="36">
                  <c:v>-0.34375</c:v>
                </c:pt>
                <c:pt idx="37">
                  <c:v>-0.21875</c:v>
                </c:pt>
                <c:pt idx="38">
                  <c:v>-0.15625</c:v>
                </c:pt>
                <c:pt idx="39">
                  <c:v>-1.4375</c:v>
                </c:pt>
                <c:pt idx="40">
                  <c:v>-1.21875</c:v>
                </c:pt>
                <c:pt idx="41">
                  <c:v>-0.46875</c:v>
                </c:pt>
                <c:pt idx="42">
                  <c:v>-9.375E-2</c:v>
                </c:pt>
                <c:pt idx="43">
                  <c:v>-0.3125</c:v>
                </c:pt>
                <c:pt idx="44">
                  <c:v>-0.28125</c:v>
                </c:pt>
                <c:pt idx="45">
                  <c:v>-0.6875</c:v>
                </c:pt>
                <c:pt idx="46">
                  <c:v>-3.125E-2</c:v>
                </c:pt>
                <c:pt idx="47">
                  <c:v>-0.5625</c:v>
                </c:pt>
                <c:pt idx="48">
                  <c:v>-0.5</c:v>
                </c:pt>
                <c:pt idx="49">
                  <c:v>-0.84375</c:v>
                </c:pt>
                <c:pt idx="50">
                  <c:v>-0.6875</c:v>
                </c:pt>
                <c:pt idx="51">
                  <c:v>-0.1875</c:v>
                </c:pt>
                <c:pt idx="52">
                  <c:v>-0.25</c:v>
                </c:pt>
                <c:pt idx="53">
                  <c:v>9.375E-2</c:v>
                </c:pt>
                <c:pt idx="54">
                  <c:v>9.375E-2</c:v>
                </c:pt>
                <c:pt idx="55">
                  <c:v>-9.375E-2</c:v>
                </c:pt>
                <c:pt idx="56">
                  <c:v>-0.4375</c:v>
                </c:pt>
                <c:pt idx="57">
                  <c:v>-0.75</c:v>
                </c:pt>
                <c:pt idx="58">
                  <c:v>0.1875</c:v>
                </c:pt>
                <c:pt idx="59">
                  <c:v>0.15625</c:v>
                </c:pt>
                <c:pt idx="60">
                  <c:v>-0.15625</c:v>
                </c:pt>
                <c:pt idx="61">
                  <c:v>-0.3125</c:v>
                </c:pt>
                <c:pt idx="62">
                  <c:v>-0.40625</c:v>
                </c:pt>
                <c:pt idx="63">
                  <c:v>-0.65625</c:v>
                </c:pt>
                <c:pt idx="64">
                  <c:v>-0.78125</c:v>
                </c:pt>
                <c:pt idx="65">
                  <c:v>-0.90625</c:v>
                </c:pt>
                <c:pt idx="66">
                  <c:v>-0.75</c:v>
                </c:pt>
                <c:pt idx="67">
                  <c:v>-1.09375</c:v>
                </c:pt>
                <c:pt idx="68">
                  <c:v>-0.625</c:v>
                </c:pt>
                <c:pt idx="69">
                  <c:v>-0.84375</c:v>
                </c:pt>
                <c:pt idx="70">
                  <c:v>-1</c:v>
                </c:pt>
                <c:pt idx="71">
                  <c:v>-1.09375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39-42F5-8FAB-BCE14793BDC7}"/>
            </c:ext>
          </c:extLst>
        </c:ser>
        <c:ser>
          <c:idx val="0"/>
          <c:order val="2"/>
          <c:tx>
            <c:strRef>
              <c:f>'HoE Chart'!$D$2</c:f>
              <c:strCache>
                <c:ptCount val="1"/>
                <c:pt idx="0">
                  <c:v>Pleasantness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'HoE Chart'!$D$3:$D$74</c:f>
              <c:numCache>
                <c:formatCode>0.00</c:formatCode>
                <c:ptCount val="72"/>
                <c:pt idx="0">
                  <c:v>-0.375</c:v>
                </c:pt>
                <c:pt idx="1">
                  <c:v>0.21875</c:v>
                </c:pt>
                <c:pt idx="2">
                  <c:v>-0.125</c:v>
                </c:pt>
                <c:pt idx="3">
                  <c:v>1.21875</c:v>
                </c:pt>
                <c:pt idx="4">
                  <c:v>0.59375</c:v>
                </c:pt>
                <c:pt idx="5">
                  <c:v>0.3125</c:v>
                </c:pt>
                <c:pt idx="6">
                  <c:v>-0.4375</c:v>
                </c:pt>
                <c:pt idx="7">
                  <c:v>3.125E-2</c:v>
                </c:pt>
                <c:pt idx="8">
                  <c:v>0.59375</c:v>
                </c:pt>
                <c:pt idx="9">
                  <c:v>0.53125</c:v>
                </c:pt>
                <c:pt idx="10">
                  <c:v>0.59375</c:v>
                </c:pt>
                <c:pt idx="11">
                  <c:v>1.78125</c:v>
                </c:pt>
                <c:pt idx="12">
                  <c:v>0.53125</c:v>
                </c:pt>
                <c:pt idx="13">
                  <c:v>-0.5</c:v>
                </c:pt>
                <c:pt idx="14">
                  <c:v>0.28125</c:v>
                </c:pt>
                <c:pt idx="15">
                  <c:v>-0.6875</c:v>
                </c:pt>
                <c:pt idx="16">
                  <c:v>0.65625</c:v>
                </c:pt>
                <c:pt idx="17">
                  <c:v>0.5625</c:v>
                </c:pt>
                <c:pt idx="18">
                  <c:v>0.4375</c:v>
                </c:pt>
                <c:pt idx="19">
                  <c:v>-0.5625</c:v>
                </c:pt>
                <c:pt idx="20">
                  <c:v>-0.4375</c:v>
                </c:pt>
                <c:pt idx="21">
                  <c:v>0.125</c:v>
                </c:pt>
                <c:pt idx="22">
                  <c:v>-0.75</c:v>
                </c:pt>
                <c:pt idx="23">
                  <c:v>0.15625</c:v>
                </c:pt>
                <c:pt idx="24">
                  <c:v>0.71875</c:v>
                </c:pt>
                <c:pt idx="25">
                  <c:v>0.25</c:v>
                </c:pt>
                <c:pt idx="26">
                  <c:v>0.6875</c:v>
                </c:pt>
                <c:pt idx="27">
                  <c:v>0.25</c:v>
                </c:pt>
                <c:pt idx="28">
                  <c:v>0.59375</c:v>
                </c:pt>
                <c:pt idx="29">
                  <c:v>0.71875</c:v>
                </c:pt>
                <c:pt idx="30">
                  <c:v>0.21875</c:v>
                </c:pt>
                <c:pt idx="31">
                  <c:v>0.96875</c:v>
                </c:pt>
                <c:pt idx="32">
                  <c:v>0.28125</c:v>
                </c:pt>
                <c:pt idx="33">
                  <c:v>0.375</c:v>
                </c:pt>
                <c:pt idx="34">
                  <c:v>0.3125</c:v>
                </c:pt>
                <c:pt idx="35">
                  <c:v>3.125E-2</c:v>
                </c:pt>
                <c:pt idx="36">
                  <c:v>-0.9375</c:v>
                </c:pt>
                <c:pt idx="37">
                  <c:v>-0.46875</c:v>
                </c:pt>
                <c:pt idx="38">
                  <c:v>0.15625</c:v>
                </c:pt>
                <c:pt idx="39">
                  <c:v>0.3125</c:v>
                </c:pt>
                <c:pt idx="40">
                  <c:v>-0.375</c:v>
                </c:pt>
                <c:pt idx="41">
                  <c:v>-0.5</c:v>
                </c:pt>
                <c:pt idx="42">
                  <c:v>0.125</c:v>
                </c:pt>
                <c:pt idx="43">
                  <c:v>-0.15625</c:v>
                </c:pt>
                <c:pt idx="44">
                  <c:v>0</c:v>
                </c:pt>
                <c:pt idx="45">
                  <c:v>-0.5</c:v>
                </c:pt>
                <c:pt idx="46">
                  <c:v>0.375</c:v>
                </c:pt>
                <c:pt idx="47">
                  <c:v>-0.28125</c:v>
                </c:pt>
                <c:pt idx="48">
                  <c:v>6.25E-2</c:v>
                </c:pt>
                <c:pt idx="49">
                  <c:v>0.125</c:v>
                </c:pt>
                <c:pt idx="50">
                  <c:v>-0.28125</c:v>
                </c:pt>
                <c:pt idx="51">
                  <c:v>-0.5625</c:v>
                </c:pt>
                <c:pt idx="52">
                  <c:v>-0.34375</c:v>
                </c:pt>
                <c:pt idx="53">
                  <c:v>-0.125</c:v>
                </c:pt>
                <c:pt idx="54">
                  <c:v>0.125</c:v>
                </c:pt>
                <c:pt idx="55">
                  <c:v>0.375</c:v>
                </c:pt>
                <c:pt idx="56">
                  <c:v>3.125E-2</c:v>
                </c:pt>
                <c:pt idx="57">
                  <c:v>-0.34375</c:v>
                </c:pt>
                <c:pt idx="58">
                  <c:v>-0.3125</c:v>
                </c:pt>
                <c:pt idx="59">
                  <c:v>0.90625</c:v>
                </c:pt>
                <c:pt idx="60">
                  <c:v>-0.21875</c:v>
                </c:pt>
                <c:pt idx="61">
                  <c:v>-0.40625</c:v>
                </c:pt>
                <c:pt idx="62">
                  <c:v>-0.40625</c:v>
                </c:pt>
                <c:pt idx="63">
                  <c:v>-0.5625</c:v>
                </c:pt>
                <c:pt idx="64">
                  <c:v>0.125</c:v>
                </c:pt>
                <c:pt idx="65">
                  <c:v>-0.625</c:v>
                </c:pt>
                <c:pt idx="66">
                  <c:v>-0.28125</c:v>
                </c:pt>
                <c:pt idx="67">
                  <c:v>-0.375</c:v>
                </c:pt>
                <c:pt idx="68">
                  <c:v>-0.53125</c:v>
                </c:pt>
                <c:pt idx="69">
                  <c:v>-0.28125</c:v>
                </c:pt>
                <c:pt idx="70">
                  <c:v>-0.15625</c:v>
                </c:pt>
                <c:pt idx="71">
                  <c:v>-0.28125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739-42F5-8FAB-BCE14793BDC7}"/>
            </c:ext>
          </c:extLst>
        </c:ser>
        <c:ser>
          <c:idx val="1"/>
          <c:order val="3"/>
          <c:tx>
            <c:strRef>
              <c:f>'HoE Chart'!$E$2</c:f>
              <c:strCache>
                <c:ptCount val="1"/>
                <c:pt idx="0">
                  <c:v>Sensitivity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'HoE Chart'!$E$3:$E$74</c:f>
              <c:numCache>
                <c:formatCode>0.00</c:formatCode>
                <c:ptCount val="72"/>
                <c:pt idx="0">
                  <c:v>-0.75</c:v>
                </c:pt>
                <c:pt idx="1">
                  <c:v>-0.875</c:v>
                </c:pt>
                <c:pt idx="2">
                  <c:v>-0.8125</c:v>
                </c:pt>
                <c:pt idx="3">
                  <c:v>-1.15625</c:v>
                </c:pt>
                <c:pt idx="4">
                  <c:v>-1.3125</c:v>
                </c:pt>
                <c:pt idx="5">
                  <c:v>-1.0625</c:v>
                </c:pt>
                <c:pt idx="6">
                  <c:v>-0.9375</c:v>
                </c:pt>
                <c:pt idx="7">
                  <c:v>-1.09375</c:v>
                </c:pt>
                <c:pt idx="8">
                  <c:v>-0.78125</c:v>
                </c:pt>
                <c:pt idx="9">
                  <c:v>-1.25</c:v>
                </c:pt>
                <c:pt idx="10">
                  <c:v>-1.5625</c:v>
                </c:pt>
                <c:pt idx="11">
                  <c:v>-0.78125</c:v>
                </c:pt>
                <c:pt idx="12">
                  <c:v>-0.40625</c:v>
                </c:pt>
                <c:pt idx="13">
                  <c:v>-0.375</c:v>
                </c:pt>
                <c:pt idx="14">
                  <c:v>-0.53125</c:v>
                </c:pt>
                <c:pt idx="15">
                  <c:v>-0.6875</c:v>
                </c:pt>
                <c:pt idx="16">
                  <c:v>-1.28125</c:v>
                </c:pt>
                <c:pt idx="17">
                  <c:v>-1.25</c:v>
                </c:pt>
                <c:pt idx="18">
                  <c:v>-1.375</c:v>
                </c:pt>
                <c:pt idx="19">
                  <c:v>-1.15625</c:v>
                </c:pt>
                <c:pt idx="20">
                  <c:v>-1.34375</c:v>
                </c:pt>
                <c:pt idx="21">
                  <c:v>-0.90625</c:v>
                </c:pt>
                <c:pt idx="22">
                  <c:v>-0.5</c:v>
                </c:pt>
                <c:pt idx="23">
                  <c:v>-0.875</c:v>
                </c:pt>
                <c:pt idx="24">
                  <c:v>-1.25</c:v>
                </c:pt>
                <c:pt idx="25">
                  <c:v>-1.21875</c:v>
                </c:pt>
                <c:pt idx="26">
                  <c:v>-0.90625</c:v>
                </c:pt>
                <c:pt idx="27">
                  <c:v>-0.84375</c:v>
                </c:pt>
                <c:pt idx="28">
                  <c:v>-1.15625</c:v>
                </c:pt>
                <c:pt idx="29">
                  <c:v>-1.09375</c:v>
                </c:pt>
                <c:pt idx="30">
                  <c:v>-1.625</c:v>
                </c:pt>
                <c:pt idx="31">
                  <c:v>-1.125</c:v>
                </c:pt>
                <c:pt idx="32">
                  <c:v>-0.65625</c:v>
                </c:pt>
                <c:pt idx="33">
                  <c:v>-1.25</c:v>
                </c:pt>
                <c:pt idx="34">
                  <c:v>-0.8125</c:v>
                </c:pt>
                <c:pt idx="35">
                  <c:v>-0.9375</c:v>
                </c:pt>
                <c:pt idx="36">
                  <c:v>-9.375E-2</c:v>
                </c:pt>
                <c:pt idx="37">
                  <c:v>-0.59375</c:v>
                </c:pt>
                <c:pt idx="38">
                  <c:v>-0.78125</c:v>
                </c:pt>
                <c:pt idx="39">
                  <c:v>-1.53125</c:v>
                </c:pt>
                <c:pt idx="40">
                  <c:v>-1</c:v>
                </c:pt>
                <c:pt idx="41">
                  <c:v>-0.8125</c:v>
                </c:pt>
                <c:pt idx="42">
                  <c:v>-0.1875</c:v>
                </c:pt>
                <c:pt idx="43">
                  <c:v>9.375E-2</c:v>
                </c:pt>
                <c:pt idx="44">
                  <c:v>0.375</c:v>
                </c:pt>
                <c:pt idx="45">
                  <c:v>0.5625</c:v>
                </c:pt>
                <c:pt idx="46">
                  <c:v>-0.78125</c:v>
                </c:pt>
                <c:pt idx="47">
                  <c:v>-1.15625</c:v>
                </c:pt>
                <c:pt idx="48">
                  <c:v>-1.34375</c:v>
                </c:pt>
                <c:pt idx="49">
                  <c:v>-1.03125</c:v>
                </c:pt>
                <c:pt idx="50">
                  <c:v>-0.28125</c:v>
                </c:pt>
                <c:pt idx="51">
                  <c:v>-0.78125</c:v>
                </c:pt>
                <c:pt idx="52">
                  <c:v>-0.1875</c:v>
                </c:pt>
                <c:pt idx="53">
                  <c:v>-0.5</c:v>
                </c:pt>
                <c:pt idx="54">
                  <c:v>-0.5</c:v>
                </c:pt>
                <c:pt idx="55">
                  <c:v>-0.9375</c:v>
                </c:pt>
                <c:pt idx="56">
                  <c:v>-1.15625</c:v>
                </c:pt>
                <c:pt idx="57">
                  <c:v>-1.59375</c:v>
                </c:pt>
                <c:pt idx="58">
                  <c:v>0.375</c:v>
                </c:pt>
                <c:pt idx="59">
                  <c:v>-0.25</c:v>
                </c:pt>
                <c:pt idx="60">
                  <c:v>-0.6875</c:v>
                </c:pt>
                <c:pt idx="61">
                  <c:v>6.25E-2</c:v>
                </c:pt>
                <c:pt idx="62">
                  <c:v>-0.78125</c:v>
                </c:pt>
                <c:pt idx="63">
                  <c:v>-0.90625</c:v>
                </c:pt>
                <c:pt idx="64">
                  <c:v>-1.5</c:v>
                </c:pt>
                <c:pt idx="65">
                  <c:v>-1.75</c:v>
                </c:pt>
                <c:pt idx="66">
                  <c:v>-0.375</c:v>
                </c:pt>
                <c:pt idx="67">
                  <c:v>-1.625</c:v>
                </c:pt>
                <c:pt idx="68">
                  <c:v>-1.46875</c:v>
                </c:pt>
                <c:pt idx="69">
                  <c:v>-1.78125</c:v>
                </c:pt>
                <c:pt idx="70">
                  <c:v>-0.625</c:v>
                </c:pt>
                <c:pt idx="71">
                  <c:v>-0.84375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739-42F5-8FAB-BCE14793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428640"/>
        <c:axId val="1406422656"/>
      </c:lineChart>
      <c:catAx>
        <c:axId val="140642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22656"/>
        <c:crosses val="autoZero"/>
        <c:auto val="1"/>
        <c:lblAlgn val="ctr"/>
        <c:lblOffset val="100"/>
        <c:noMultiLvlLbl val="0"/>
      </c:catAx>
      <c:valAx>
        <c:axId val="1406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'HoE Chart'!$B$2</c:f>
              <c:strCache>
                <c:ptCount val="1"/>
                <c:pt idx="0">
                  <c:v>Aptitude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'HoE Chart'!$B$3:$B$74</c:f>
              <c:numCache>
                <c:formatCode>0.00</c:formatCode>
                <c:ptCount val="72"/>
                <c:pt idx="0">
                  <c:v>-0.625</c:v>
                </c:pt>
                <c:pt idx="1">
                  <c:v>-0.625</c:v>
                </c:pt>
                <c:pt idx="2">
                  <c:v>-0.34375</c:v>
                </c:pt>
                <c:pt idx="3">
                  <c:v>0.375</c:v>
                </c:pt>
                <c:pt idx="4">
                  <c:v>0.21875</c:v>
                </c:pt>
                <c:pt idx="5">
                  <c:v>-0.21875</c:v>
                </c:pt>
                <c:pt idx="6">
                  <c:v>-0.40625</c:v>
                </c:pt>
                <c:pt idx="7">
                  <c:v>-0.3125</c:v>
                </c:pt>
                <c:pt idx="8">
                  <c:v>0.15625</c:v>
                </c:pt>
                <c:pt idx="9">
                  <c:v>0.4375</c:v>
                </c:pt>
                <c:pt idx="10">
                  <c:v>0.21875</c:v>
                </c:pt>
                <c:pt idx="11">
                  <c:v>1</c:v>
                </c:pt>
                <c:pt idx="12">
                  <c:v>0.21875</c:v>
                </c:pt>
                <c:pt idx="13">
                  <c:v>-0.6875</c:v>
                </c:pt>
                <c:pt idx="14">
                  <c:v>-0.4375</c:v>
                </c:pt>
                <c:pt idx="15">
                  <c:v>-0.25</c:v>
                </c:pt>
                <c:pt idx="16">
                  <c:v>6.25E-2</c:v>
                </c:pt>
                <c:pt idx="17">
                  <c:v>0.1875</c:v>
                </c:pt>
                <c:pt idx="18">
                  <c:v>0.5625</c:v>
                </c:pt>
                <c:pt idx="19">
                  <c:v>-0.78125</c:v>
                </c:pt>
                <c:pt idx="20">
                  <c:v>-0.53125</c:v>
                </c:pt>
                <c:pt idx="21">
                  <c:v>0.40625</c:v>
                </c:pt>
                <c:pt idx="22">
                  <c:v>-0.75</c:v>
                </c:pt>
                <c:pt idx="23">
                  <c:v>9.375E-2</c:v>
                </c:pt>
                <c:pt idx="24">
                  <c:v>0.3125</c:v>
                </c:pt>
                <c:pt idx="25">
                  <c:v>-0.25</c:v>
                </c:pt>
                <c:pt idx="26">
                  <c:v>6.25E-2</c:v>
                </c:pt>
                <c:pt idx="27">
                  <c:v>0.25</c:v>
                </c:pt>
                <c:pt idx="28">
                  <c:v>-0.125</c:v>
                </c:pt>
                <c:pt idx="29">
                  <c:v>0.25</c:v>
                </c:pt>
                <c:pt idx="30">
                  <c:v>9.375E-2</c:v>
                </c:pt>
                <c:pt idx="31">
                  <c:v>0.875</c:v>
                </c:pt>
                <c:pt idx="32">
                  <c:v>-0.1875</c:v>
                </c:pt>
                <c:pt idx="33">
                  <c:v>0.21875</c:v>
                </c:pt>
                <c:pt idx="34">
                  <c:v>0.40625</c:v>
                </c:pt>
                <c:pt idx="35">
                  <c:v>-0.21875</c:v>
                </c:pt>
                <c:pt idx="36">
                  <c:v>-0.65625</c:v>
                </c:pt>
                <c:pt idx="37">
                  <c:v>-0.5625</c:v>
                </c:pt>
                <c:pt idx="38">
                  <c:v>-0.15625</c:v>
                </c:pt>
                <c:pt idx="39">
                  <c:v>0.21875</c:v>
                </c:pt>
                <c:pt idx="40">
                  <c:v>-0.34375</c:v>
                </c:pt>
                <c:pt idx="41">
                  <c:v>-0.40625</c:v>
                </c:pt>
                <c:pt idx="42">
                  <c:v>-0.21875</c:v>
                </c:pt>
                <c:pt idx="43">
                  <c:v>-0.65625</c:v>
                </c:pt>
                <c:pt idx="44">
                  <c:v>-0.15625</c:v>
                </c:pt>
                <c:pt idx="45">
                  <c:v>-0.59375</c:v>
                </c:pt>
                <c:pt idx="46">
                  <c:v>0.15625</c:v>
                </c:pt>
                <c:pt idx="47">
                  <c:v>-0.4375</c:v>
                </c:pt>
                <c:pt idx="48">
                  <c:v>-0.21875</c:v>
                </c:pt>
                <c:pt idx="49">
                  <c:v>-0.21875</c:v>
                </c:pt>
                <c:pt idx="50">
                  <c:v>-0.1875</c:v>
                </c:pt>
                <c:pt idx="51">
                  <c:v>-0.125</c:v>
                </c:pt>
                <c:pt idx="52">
                  <c:v>-0.46875</c:v>
                </c:pt>
                <c:pt idx="53">
                  <c:v>-0.625</c:v>
                </c:pt>
                <c:pt idx="54">
                  <c:v>0.5625</c:v>
                </c:pt>
                <c:pt idx="55">
                  <c:v>-0.125</c:v>
                </c:pt>
                <c:pt idx="56">
                  <c:v>-6.25E-2</c:v>
                </c:pt>
                <c:pt idx="57">
                  <c:v>-0.25</c:v>
                </c:pt>
                <c:pt idx="58">
                  <c:v>-0.40625</c:v>
                </c:pt>
                <c:pt idx="59">
                  <c:v>0.40625</c:v>
                </c:pt>
                <c:pt idx="60">
                  <c:v>3.125E-2</c:v>
                </c:pt>
                <c:pt idx="61">
                  <c:v>-0.1875</c:v>
                </c:pt>
                <c:pt idx="62">
                  <c:v>-0.1875</c:v>
                </c:pt>
                <c:pt idx="63">
                  <c:v>-0.5625</c:v>
                </c:pt>
                <c:pt idx="64">
                  <c:v>-0.1875</c:v>
                </c:pt>
                <c:pt idx="65">
                  <c:v>-0.625</c:v>
                </c:pt>
                <c:pt idx="66">
                  <c:v>-0.53125</c:v>
                </c:pt>
                <c:pt idx="67">
                  <c:v>-0.4375</c:v>
                </c:pt>
                <c:pt idx="68">
                  <c:v>-0.53125</c:v>
                </c:pt>
                <c:pt idx="69">
                  <c:v>-0.375</c:v>
                </c:pt>
                <c:pt idx="70">
                  <c:v>-0.3125</c:v>
                </c:pt>
                <c:pt idx="71">
                  <c:v>-0.34375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2D-4307-A172-B6D09ABEC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424832"/>
        <c:axId val="1406423200"/>
      </c:lineChart>
      <c:catAx>
        <c:axId val="140642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23200"/>
        <c:crosses val="autoZero"/>
        <c:auto val="1"/>
        <c:lblAlgn val="ctr"/>
        <c:lblOffset val="100"/>
        <c:noMultiLvlLbl val="0"/>
      </c:catAx>
      <c:valAx>
        <c:axId val="14064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2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'HoE Chart'!$C$2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'HoE Chart'!$C$3:$C$74</c:f>
              <c:numCache>
                <c:formatCode>0.00</c:formatCode>
                <c:ptCount val="72"/>
                <c:pt idx="0">
                  <c:v>-0.59375</c:v>
                </c:pt>
                <c:pt idx="1">
                  <c:v>-0.5625</c:v>
                </c:pt>
                <c:pt idx="2">
                  <c:v>-0.1875</c:v>
                </c:pt>
                <c:pt idx="3">
                  <c:v>-1.0625</c:v>
                </c:pt>
                <c:pt idx="4">
                  <c:v>-0.75</c:v>
                </c:pt>
                <c:pt idx="5">
                  <c:v>-0.75</c:v>
                </c:pt>
                <c:pt idx="6">
                  <c:v>-0.3125</c:v>
                </c:pt>
                <c:pt idx="7">
                  <c:v>-0.5625</c:v>
                </c:pt>
                <c:pt idx="8">
                  <c:v>-1.03125</c:v>
                </c:pt>
                <c:pt idx="9">
                  <c:v>-9.375E-2</c:v>
                </c:pt>
                <c:pt idx="10">
                  <c:v>-0.375</c:v>
                </c:pt>
                <c:pt idx="11">
                  <c:v>-0.1875</c:v>
                </c:pt>
                <c:pt idx="12">
                  <c:v>-6.25E-2</c:v>
                </c:pt>
                <c:pt idx="13">
                  <c:v>-0.28125</c:v>
                </c:pt>
                <c:pt idx="14">
                  <c:v>-0.96875</c:v>
                </c:pt>
                <c:pt idx="15">
                  <c:v>-0.9375</c:v>
                </c:pt>
                <c:pt idx="16">
                  <c:v>-0.40625</c:v>
                </c:pt>
                <c:pt idx="17">
                  <c:v>-0.84375</c:v>
                </c:pt>
                <c:pt idx="18">
                  <c:v>-1.28125</c:v>
                </c:pt>
                <c:pt idx="19">
                  <c:v>-1</c:v>
                </c:pt>
                <c:pt idx="20">
                  <c:v>-0.84375</c:v>
                </c:pt>
                <c:pt idx="21">
                  <c:v>-0.6875</c:v>
                </c:pt>
                <c:pt idx="22">
                  <c:v>-0.625</c:v>
                </c:pt>
                <c:pt idx="23">
                  <c:v>-0.4375</c:v>
                </c:pt>
                <c:pt idx="24">
                  <c:v>-0.71875</c:v>
                </c:pt>
                <c:pt idx="25">
                  <c:v>-1.0625</c:v>
                </c:pt>
                <c:pt idx="26">
                  <c:v>-0.875</c:v>
                </c:pt>
                <c:pt idx="27">
                  <c:v>-0.40625</c:v>
                </c:pt>
                <c:pt idx="28">
                  <c:v>-0.71875</c:v>
                </c:pt>
                <c:pt idx="29">
                  <c:v>-0.5</c:v>
                </c:pt>
                <c:pt idx="30">
                  <c:v>-1.09375</c:v>
                </c:pt>
                <c:pt idx="31">
                  <c:v>-0.21875</c:v>
                </c:pt>
                <c:pt idx="32">
                  <c:v>-0.1875</c:v>
                </c:pt>
                <c:pt idx="33">
                  <c:v>-1.15625</c:v>
                </c:pt>
                <c:pt idx="34">
                  <c:v>-0.28125</c:v>
                </c:pt>
                <c:pt idx="35">
                  <c:v>-0.28125</c:v>
                </c:pt>
                <c:pt idx="36">
                  <c:v>-0.34375</c:v>
                </c:pt>
                <c:pt idx="37">
                  <c:v>-0.21875</c:v>
                </c:pt>
                <c:pt idx="38">
                  <c:v>-0.15625</c:v>
                </c:pt>
                <c:pt idx="39">
                  <c:v>-1.4375</c:v>
                </c:pt>
                <c:pt idx="40">
                  <c:v>-1.21875</c:v>
                </c:pt>
                <c:pt idx="41">
                  <c:v>-0.46875</c:v>
                </c:pt>
                <c:pt idx="42">
                  <c:v>-9.375E-2</c:v>
                </c:pt>
                <c:pt idx="43">
                  <c:v>-0.3125</c:v>
                </c:pt>
                <c:pt idx="44">
                  <c:v>-0.28125</c:v>
                </c:pt>
                <c:pt idx="45">
                  <c:v>-0.6875</c:v>
                </c:pt>
                <c:pt idx="46">
                  <c:v>-3.125E-2</c:v>
                </c:pt>
                <c:pt idx="47">
                  <c:v>-0.5625</c:v>
                </c:pt>
                <c:pt idx="48">
                  <c:v>-0.5</c:v>
                </c:pt>
                <c:pt idx="49">
                  <c:v>-0.84375</c:v>
                </c:pt>
                <c:pt idx="50">
                  <c:v>-0.6875</c:v>
                </c:pt>
                <c:pt idx="51">
                  <c:v>-0.1875</c:v>
                </c:pt>
                <c:pt idx="52">
                  <c:v>-0.25</c:v>
                </c:pt>
                <c:pt idx="53">
                  <c:v>9.375E-2</c:v>
                </c:pt>
                <c:pt idx="54">
                  <c:v>9.375E-2</c:v>
                </c:pt>
                <c:pt idx="55">
                  <c:v>-9.375E-2</c:v>
                </c:pt>
                <c:pt idx="56">
                  <c:v>-0.4375</c:v>
                </c:pt>
                <c:pt idx="57">
                  <c:v>-0.75</c:v>
                </c:pt>
                <c:pt idx="58">
                  <c:v>0.1875</c:v>
                </c:pt>
                <c:pt idx="59">
                  <c:v>0.15625</c:v>
                </c:pt>
                <c:pt idx="60">
                  <c:v>-0.15625</c:v>
                </c:pt>
                <c:pt idx="61">
                  <c:v>-0.3125</c:v>
                </c:pt>
                <c:pt idx="62">
                  <c:v>-0.40625</c:v>
                </c:pt>
                <c:pt idx="63">
                  <c:v>-0.65625</c:v>
                </c:pt>
                <c:pt idx="64">
                  <c:v>-0.78125</c:v>
                </c:pt>
                <c:pt idx="65">
                  <c:v>-0.90625</c:v>
                </c:pt>
                <c:pt idx="66">
                  <c:v>-0.75</c:v>
                </c:pt>
                <c:pt idx="67">
                  <c:v>-1.09375</c:v>
                </c:pt>
                <c:pt idx="68">
                  <c:v>-0.625</c:v>
                </c:pt>
                <c:pt idx="69">
                  <c:v>-0.84375</c:v>
                </c:pt>
                <c:pt idx="70">
                  <c:v>-1</c:v>
                </c:pt>
                <c:pt idx="71">
                  <c:v>-1.09375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85-4D0A-A630-54FAA801E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431360"/>
        <c:axId val="1406431904"/>
      </c:lineChart>
      <c:catAx>
        <c:axId val="140643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31904"/>
        <c:crosses val="autoZero"/>
        <c:auto val="1"/>
        <c:lblAlgn val="ctr"/>
        <c:lblOffset val="100"/>
        <c:noMultiLvlLbl val="0"/>
      </c:catAx>
      <c:valAx>
        <c:axId val="14064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'HoE Chart'!$D$2</c:f>
              <c:strCache>
                <c:ptCount val="1"/>
                <c:pt idx="0">
                  <c:v>Pleasantness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'HoE Chart'!$D$3:$D$74</c:f>
              <c:numCache>
                <c:formatCode>0.00</c:formatCode>
                <c:ptCount val="72"/>
                <c:pt idx="0">
                  <c:v>-0.375</c:v>
                </c:pt>
                <c:pt idx="1">
                  <c:v>0.21875</c:v>
                </c:pt>
                <c:pt idx="2">
                  <c:v>-0.125</c:v>
                </c:pt>
                <c:pt idx="3">
                  <c:v>1.21875</c:v>
                </c:pt>
                <c:pt idx="4">
                  <c:v>0.59375</c:v>
                </c:pt>
                <c:pt idx="5">
                  <c:v>0.3125</c:v>
                </c:pt>
                <c:pt idx="6">
                  <c:v>-0.4375</c:v>
                </c:pt>
                <c:pt idx="7">
                  <c:v>3.125E-2</c:v>
                </c:pt>
                <c:pt idx="8">
                  <c:v>0.59375</c:v>
                </c:pt>
                <c:pt idx="9">
                  <c:v>0.53125</c:v>
                </c:pt>
                <c:pt idx="10">
                  <c:v>0.59375</c:v>
                </c:pt>
                <c:pt idx="11">
                  <c:v>1.78125</c:v>
                </c:pt>
                <c:pt idx="12">
                  <c:v>0.53125</c:v>
                </c:pt>
                <c:pt idx="13">
                  <c:v>-0.5</c:v>
                </c:pt>
                <c:pt idx="14">
                  <c:v>0.28125</c:v>
                </c:pt>
                <c:pt idx="15">
                  <c:v>-0.6875</c:v>
                </c:pt>
                <c:pt idx="16">
                  <c:v>0.65625</c:v>
                </c:pt>
                <c:pt idx="17">
                  <c:v>0.5625</c:v>
                </c:pt>
                <c:pt idx="18">
                  <c:v>0.4375</c:v>
                </c:pt>
                <c:pt idx="19">
                  <c:v>-0.5625</c:v>
                </c:pt>
                <c:pt idx="20">
                  <c:v>-0.4375</c:v>
                </c:pt>
                <c:pt idx="21">
                  <c:v>0.125</c:v>
                </c:pt>
                <c:pt idx="22">
                  <c:v>-0.75</c:v>
                </c:pt>
                <c:pt idx="23">
                  <c:v>0.15625</c:v>
                </c:pt>
                <c:pt idx="24">
                  <c:v>0.71875</c:v>
                </c:pt>
                <c:pt idx="25">
                  <c:v>0.25</c:v>
                </c:pt>
                <c:pt idx="26">
                  <c:v>0.6875</c:v>
                </c:pt>
                <c:pt idx="27">
                  <c:v>0.25</c:v>
                </c:pt>
                <c:pt idx="28">
                  <c:v>0.59375</c:v>
                </c:pt>
                <c:pt idx="29">
                  <c:v>0.71875</c:v>
                </c:pt>
                <c:pt idx="30">
                  <c:v>0.21875</c:v>
                </c:pt>
                <c:pt idx="31">
                  <c:v>0.96875</c:v>
                </c:pt>
                <c:pt idx="32">
                  <c:v>0.28125</c:v>
                </c:pt>
                <c:pt idx="33">
                  <c:v>0.375</c:v>
                </c:pt>
                <c:pt idx="34">
                  <c:v>0.3125</c:v>
                </c:pt>
                <c:pt idx="35">
                  <c:v>3.125E-2</c:v>
                </c:pt>
                <c:pt idx="36">
                  <c:v>-0.9375</c:v>
                </c:pt>
                <c:pt idx="37">
                  <c:v>-0.46875</c:v>
                </c:pt>
                <c:pt idx="38">
                  <c:v>0.15625</c:v>
                </c:pt>
                <c:pt idx="39">
                  <c:v>0.3125</c:v>
                </c:pt>
                <c:pt idx="40">
                  <c:v>-0.375</c:v>
                </c:pt>
                <c:pt idx="41">
                  <c:v>-0.5</c:v>
                </c:pt>
                <c:pt idx="42">
                  <c:v>0.125</c:v>
                </c:pt>
                <c:pt idx="43">
                  <c:v>-0.15625</c:v>
                </c:pt>
                <c:pt idx="44">
                  <c:v>0</c:v>
                </c:pt>
                <c:pt idx="45">
                  <c:v>-0.5</c:v>
                </c:pt>
                <c:pt idx="46">
                  <c:v>0.375</c:v>
                </c:pt>
                <c:pt idx="47">
                  <c:v>-0.28125</c:v>
                </c:pt>
                <c:pt idx="48">
                  <c:v>6.25E-2</c:v>
                </c:pt>
                <c:pt idx="49">
                  <c:v>0.125</c:v>
                </c:pt>
                <c:pt idx="50">
                  <c:v>-0.28125</c:v>
                </c:pt>
                <c:pt idx="51">
                  <c:v>-0.5625</c:v>
                </c:pt>
                <c:pt idx="52">
                  <c:v>-0.34375</c:v>
                </c:pt>
                <c:pt idx="53">
                  <c:v>-0.125</c:v>
                </c:pt>
                <c:pt idx="54">
                  <c:v>0.125</c:v>
                </c:pt>
                <c:pt idx="55">
                  <c:v>0.375</c:v>
                </c:pt>
                <c:pt idx="56">
                  <c:v>3.125E-2</c:v>
                </c:pt>
                <c:pt idx="57">
                  <c:v>-0.34375</c:v>
                </c:pt>
                <c:pt idx="58">
                  <c:v>-0.3125</c:v>
                </c:pt>
                <c:pt idx="59">
                  <c:v>0.90625</c:v>
                </c:pt>
                <c:pt idx="60">
                  <c:v>-0.21875</c:v>
                </c:pt>
                <c:pt idx="61">
                  <c:v>-0.40625</c:v>
                </c:pt>
                <c:pt idx="62">
                  <c:v>-0.40625</c:v>
                </c:pt>
                <c:pt idx="63">
                  <c:v>-0.5625</c:v>
                </c:pt>
                <c:pt idx="64">
                  <c:v>0.125</c:v>
                </c:pt>
                <c:pt idx="65">
                  <c:v>-0.625</c:v>
                </c:pt>
                <c:pt idx="66">
                  <c:v>-0.28125</c:v>
                </c:pt>
                <c:pt idx="67">
                  <c:v>-0.375</c:v>
                </c:pt>
                <c:pt idx="68">
                  <c:v>-0.53125</c:v>
                </c:pt>
                <c:pt idx="69">
                  <c:v>-0.28125</c:v>
                </c:pt>
                <c:pt idx="70">
                  <c:v>-0.15625</c:v>
                </c:pt>
                <c:pt idx="71">
                  <c:v>-0.28125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82-434A-966B-A1FB50F2C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434080"/>
        <c:axId val="1406435712"/>
      </c:lineChart>
      <c:catAx>
        <c:axId val="140643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35712"/>
        <c:crosses val="autoZero"/>
        <c:auto val="1"/>
        <c:lblAlgn val="ctr"/>
        <c:lblOffset val="100"/>
        <c:noMultiLvlLbl val="0"/>
      </c:catAx>
      <c:valAx>
        <c:axId val="14064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'HoE Chart'!$E$2</c:f>
              <c:strCache>
                <c:ptCount val="1"/>
                <c:pt idx="0">
                  <c:v>Sensitivity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'HoE Chart'!$E$3:$E$74</c:f>
              <c:numCache>
                <c:formatCode>0.00</c:formatCode>
                <c:ptCount val="72"/>
                <c:pt idx="0">
                  <c:v>-0.75</c:v>
                </c:pt>
                <c:pt idx="1">
                  <c:v>-0.875</c:v>
                </c:pt>
                <c:pt idx="2">
                  <c:v>-0.8125</c:v>
                </c:pt>
                <c:pt idx="3">
                  <c:v>-1.15625</c:v>
                </c:pt>
                <c:pt idx="4">
                  <c:v>-1.3125</c:v>
                </c:pt>
                <c:pt idx="5">
                  <c:v>-1.0625</c:v>
                </c:pt>
                <c:pt idx="6">
                  <c:v>-0.9375</c:v>
                </c:pt>
                <c:pt idx="7">
                  <c:v>-1.09375</c:v>
                </c:pt>
                <c:pt idx="8">
                  <c:v>-0.78125</c:v>
                </c:pt>
                <c:pt idx="9">
                  <c:v>-1.25</c:v>
                </c:pt>
                <c:pt idx="10">
                  <c:v>-1.5625</c:v>
                </c:pt>
                <c:pt idx="11">
                  <c:v>-0.78125</c:v>
                </c:pt>
                <c:pt idx="12">
                  <c:v>-0.40625</c:v>
                </c:pt>
                <c:pt idx="13">
                  <c:v>-0.375</c:v>
                </c:pt>
                <c:pt idx="14">
                  <c:v>-0.53125</c:v>
                </c:pt>
                <c:pt idx="15">
                  <c:v>-0.6875</c:v>
                </c:pt>
                <c:pt idx="16">
                  <c:v>-1.28125</c:v>
                </c:pt>
                <c:pt idx="17">
                  <c:v>-1.25</c:v>
                </c:pt>
                <c:pt idx="18">
                  <c:v>-1.375</c:v>
                </c:pt>
                <c:pt idx="19">
                  <c:v>-1.15625</c:v>
                </c:pt>
                <c:pt idx="20">
                  <c:v>-1.34375</c:v>
                </c:pt>
                <c:pt idx="21">
                  <c:v>-0.90625</c:v>
                </c:pt>
                <c:pt idx="22">
                  <c:v>-0.5</c:v>
                </c:pt>
                <c:pt idx="23">
                  <c:v>-0.875</c:v>
                </c:pt>
                <c:pt idx="24">
                  <c:v>-1.25</c:v>
                </c:pt>
                <c:pt idx="25">
                  <c:v>-1.21875</c:v>
                </c:pt>
                <c:pt idx="26">
                  <c:v>-0.90625</c:v>
                </c:pt>
                <c:pt idx="27">
                  <c:v>-0.84375</c:v>
                </c:pt>
                <c:pt idx="28">
                  <c:v>-1.15625</c:v>
                </c:pt>
                <c:pt idx="29">
                  <c:v>-1.09375</c:v>
                </c:pt>
                <c:pt idx="30">
                  <c:v>-1.625</c:v>
                </c:pt>
                <c:pt idx="31">
                  <c:v>-1.125</c:v>
                </c:pt>
                <c:pt idx="32">
                  <c:v>-0.65625</c:v>
                </c:pt>
                <c:pt idx="33">
                  <c:v>-1.25</c:v>
                </c:pt>
                <c:pt idx="34">
                  <c:v>-0.8125</c:v>
                </c:pt>
                <c:pt idx="35">
                  <c:v>-0.9375</c:v>
                </c:pt>
                <c:pt idx="36">
                  <c:v>-9.375E-2</c:v>
                </c:pt>
                <c:pt idx="37">
                  <c:v>-0.59375</c:v>
                </c:pt>
                <c:pt idx="38">
                  <c:v>-0.78125</c:v>
                </c:pt>
                <c:pt idx="39">
                  <c:v>-1.53125</c:v>
                </c:pt>
                <c:pt idx="40">
                  <c:v>-1</c:v>
                </c:pt>
                <c:pt idx="41">
                  <c:v>-0.8125</c:v>
                </c:pt>
                <c:pt idx="42">
                  <c:v>-0.1875</c:v>
                </c:pt>
                <c:pt idx="43">
                  <c:v>9.375E-2</c:v>
                </c:pt>
                <c:pt idx="44">
                  <c:v>0.375</c:v>
                </c:pt>
                <c:pt idx="45">
                  <c:v>0.5625</c:v>
                </c:pt>
                <c:pt idx="46">
                  <c:v>-0.78125</c:v>
                </c:pt>
                <c:pt idx="47">
                  <c:v>-1.15625</c:v>
                </c:pt>
                <c:pt idx="48">
                  <c:v>-1.34375</c:v>
                </c:pt>
                <c:pt idx="49">
                  <c:v>-1.03125</c:v>
                </c:pt>
                <c:pt idx="50">
                  <c:v>-0.28125</c:v>
                </c:pt>
                <c:pt idx="51">
                  <c:v>-0.78125</c:v>
                </c:pt>
                <c:pt idx="52">
                  <c:v>-0.1875</c:v>
                </c:pt>
                <c:pt idx="53">
                  <c:v>-0.5</c:v>
                </c:pt>
                <c:pt idx="54">
                  <c:v>-0.5</c:v>
                </c:pt>
                <c:pt idx="55">
                  <c:v>-0.9375</c:v>
                </c:pt>
                <c:pt idx="56">
                  <c:v>-1.15625</c:v>
                </c:pt>
                <c:pt idx="57">
                  <c:v>-1.59375</c:v>
                </c:pt>
                <c:pt idx="58">
                  <c:v>0.375</c:v>
                </c:pt>
                <c:pt idx="59">
                  <c:v>-0.25</c:v>
                </c:pt>
                <c:pt idx="60">
                  <c:v>-0.6875</c:v>
                </c:pt>
                <c:pt idx="61">
                  <c:v>6.25E-2</c:v>
                </c:pt>
                <c:pt idx="62">
                  <c:v>-0.78125</c:v>
                </c:pt>
                <c:pt idx="63">
                  <c:v>-0.90625</c:v>
                </c:pt>
                <c:pt idx="64">
                  <c:v>-1.5</c:v>
                </c:pt>
                <c:pt idx="65">
                  <c:v>-1.75</c:v>
                </c:pt>
                <c:pt idx="66">
                  <c:v>-0.375</c:v>
                </c:pt>
                <c:pt idx="67">
                  <c:v>-1.625</c:v>
                </c:pt>
                <c:pt idx="68">
                  <c:v>-1.46875</c:v>
                </c:pt>
                <c:pt idx="69">
                  <c:v>-1.78125</c:v>
                </c:pt>
                <c:pt idx="70">
                  <c:v>-0.625</c:v>
                </c:pt>
                <c:pt idx="71">
                  <c:v>-0.84375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AF-4604-9337-45BB3096C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062256"/>
        <c:axId val="1409075856"/>
      </c:lineChart>
      <c:catAx>
        <c:axId val="140906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75856"/>
        <c:crosses val="autoZero"/>
        <c:auto val="1"/>
        <c:lblAlgn val="ctr"/>
        <c:lblOffset val="100"/>
        <c:noMultiLvlLbl val="0"/>
      </c:catAx>
      <c:valAx>
        <c:axId val="14090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'HoE Chart (5-Act)'!$B$2</c:f>
              <c:strCache>
                <c:ptCount val="1"/>
                <c:pt idx="0">
                  <c:v>Aptitude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'HoE Chart (5-Act)'!$A$3:$A$19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'HoE Chart (5-Act)'!$B$3:$B$19</c:f>
              <c:numCache>
                <c:formatCode>0.00</c:formatCode>
                <c:ptCount val="17"/>
                <c:pt idx="0">
                  <c:v>-0.625</c:v>
                </c:pt>
                <c:pt idx="1">
                  <c:v>-0.625</c:v>
                </c:pt>
                <c:pt idx="2">
                  <c:v>-0.34375</c:v>
                </c:pt>
                <c:pt idx="3">
                  <c:v>0.375</c:v>
                </c:pt>
                <c:pt idx="4">
                  <c:v>0.21875</c:v>
                </c:pt>
                <c:pt idx="5">
                  <c:v>-0.21875</c:v>
                </c:pt>
                <c:pt idx="6">
                  <c:v>-0.40625</c:v>
                </c:pt>
                <c:pt idx="7">
                  <c:v>-0.3125</c:v>
                </c:pt>
                <c:pt idx="8">
                  <c:v>0.15625</c:v>
                </c:pt>
                <c:pt idx="9">
                  <c:v>0.4375</c:v>
                </c:pt>
                <c:pt idx="10">
                  <c:v>0.21875</c:v>
                </c:pt>
                <c:pt idx="11">
                  <c:v>1</c:v>
                </c:pt>
                <c:pt idx="12">
                  <c:v>0.21875</c:v>
                </c:pt>
                <c:pt idx="13">
                  <c:v>-0.6875</c:v>
                </c:pt>
                <c:pt idx="14">
                  <c:v>-0.4375</c:v>
                </c:pt>
                <c:pt idx="15">
                  <c:v>-0.25</c:v>
                </c:pt>
                <c:pt idx="16">
                  <c:v>6.25E-2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65-4A9F-BFC0-A43CF40214D6}"/>
            </c:ext>
          </c:extLst>
        </c:ser>
        <c:ser>
          <c:idx val="4"/>
          <c:order val="1"/>
          <c:tx>
            <c:strRef>
              <c:f>'HoE Chart (5-Act)'!$C$2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'HoE Chart (5-Act)'!$A$3:$A$19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'HoE Chart (5-Act)'!$C$3:$C$19</c:f>
              <c:numCache>
                <c:formatCode>0.00</c:formatCode>
                <c:ptCount val="17"/>
                <c:pt idx="0">
                  <c:v>-0.59375</c:v>
                </c:pt>
                <c:pt idx="1">
                  <c:v>-0.5625</c:v>
                </c:pt>
                <c:pt idx="2">
                  <c:v>-0.1875</c:v>
                </c:pt>
                <c:pt idx="3">
                  <c:v>-1.0625</c:v>
                </c:pt>
                <c:pt idx="4">
                  <c:v>-0.75</c:v>
                </c:pt>
                <c:pt idx="5">
                  <c:v>-0.75</c:v>
                </c:pt>
                <c:pt idx="6">
                  <c:v>-0.3125</c:v>
                </c:pt>
                <c:pt idx="7">
                  <c:v>-0.5625</c:v>
                </c:pt>
                <c:pt idx="8">
                  <c:v>-1.03125</c:v>
                </c:pt>
                <c:pt idx="9">
                  <c:v>-9.375E-2</c:v>
                </c:pt>
                <c:pt idx="10">
                  <c:v>-0.375</c:v>
                </c:pt>
                <c:pt idx="11">
                  <c:v>-0.1875</c:v>
                </c:pt>
                <c:pt idx="12">
                  <c:v>-6.25E-2</c:v>
                </c:pt>
                <c:pt idx="13">
                  <c:v>-0.28125</c:v>
                </c:pt>
                <c:pt idx="14">
                  <c:v>-0.96875</c:v>
                </c:pt>
                <c:pt idx="15">
                  <c:v>-0.9375</c:v>
                </c:pt>
                <c:pt idx="16">
                  <c:v>-0.40625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65-4A9F-BFC0-A43CF40214D6}"/>
            </c:ext>
          </c:extLst>
        </c:ser>
        <c:ser>
          <c:idx val="0"/>
          <c:order val="2"/>
          <c:tx>
            <c:strRef>
              <c:f>'HoE Chart (5-Act)'!$D$2</c:f>
              <c:strCache>
                <c:ptCount val="1"/>
                <c:pt idx="0">
                  <c:v>Pleasantness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'HoE Chart (5-Act)'!$A$3:$A$19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'HoE Chart (5-Act)'!$D$3:$D$19</c:f>
              <c:numCache>
                <c:formatCode>0.00</c:formatCode>
                <c:ptCount val="17"/>
                <c:pt idx="0">
                  <c:v>-0.375</c:v>
                </c:pt>
                <c:pt idx="1">
                  <c:v>0.21875</c:v>
                </c:pt>
                <c:pt idx="2">
                  <c:v>-0.125</c:v>
                </c:pt>
                <c:pt idx="3">
                  <c:v>1.21875</c:v>
                </c:pt>
                <c:pt idx="4">
                  <c:v>0.59375</c:v>
                </c:pt>
                <c:pt idx="5">
                  <c:v>0.3125</c:v>
                </c:pt>
                <c:pt idx="6">
                  <c:v>-0.4375</c:v>
                </c:pt>
                <c:pt idx="7">
                  <c:v>3.125E-2</c:v>
                </c:pt>
                <c:pt idx="8">
                  <c:v>0.59375</c:v>
                </c:pt>
                <c:pt idx="9">
                  <c:v>0.53125</c:v>
                </c:pt>
                <c:pt idx="10">
                  <c:v>0.59375</c:v>
                </c:pt>
                <c:pt idx="11">
                  <c:v>1.78125</c:v>
                </c:pt>
                <c:pt idx="12">
                  <c:v>0.53125</c:v>
                </c:pt>
                <c:pt idx="13">
                  <c:v>-0.5</c:v>
                </c:pt>
                <c:pt idx="14">
                  <c:v>0.28125</c:v>
                </c:pt>
                <c:pt idx="15">
                  <c:v>-0.6875</c:v>
                </c:pt>
                <c:pt idx="16">
                  <c:v>0.65625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65-4A9F-BFC0-A43CF40214D6}"/>
            </c:ext>
          </c:extLst>
        </c:ser>
        <c:ser>
          <c:idx val="1"/>
          <c:order val="3"/>
          <c:tx>
            <c:strRef>
              <c:f>'HoE Chart (5-Act)'!$E$2</c:f>
              <c:strCache>
                <c:ptCount val="1"/>
                <c:pt idx="0">
                  <c:v>Sensitivity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'HoE Chart (5-Act)'!$A$3:$A$19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'HoE Chart (5-Act)'!$E$3:$E$19</c:f>
              <c:numCache>
                <c:formatCode>0.00</c:formatCode>
                <c:ptCount val="17"/>
                <c:pt idx="0">
                  <c:v>-0.75</c:v>
                </c:pt>
                <c:pt idx="1">
                  <c:v>-0.875</c:v>
                </c:pt>
                <c:pt idx="2">
                  <c:v>-0.8125</c:v>
                </c:pt>
                <c:pt idx="3">
                  <c:v>-1.15625</c:v>
                </c:pt>
                <c:pt idx="4">
                  <c:v>-1.3125</c:v>
                </c:pt>
                <c:pt idx="5">
                  <c:v>-1.0625</c:v>
                </c:pt>
                <c:pt idx="6">
                  <c:v>-0.9375</c:v>
                </c:pt>
                <c:pt idx="7">
                  <c:v>-1.09375</c:v>
                </c:pt>
                <c:pt idx="8">
                  <c:v>-0.78125</c:v>
                </c:pt>
                <c:pt idx="9">
                  <c:v>-1.25</c:v>
                </c:pt>
                <c:pt idx="10">
                  <c:v>-1.5625</c:v>
                </c:pt>
                <c:pt idx="11">
                  <c:v>-0.78125</c:v>
                </c:pt>
                <c:pt idx="12">
                  <c:v>-0.40625</c:v>
                </c:pt>
                <c:pt idx="13">
                  <c:v>-0.375</c:v>
                </c:pt>
                <c:pt idx="14">
                  <c:v>-0.53125</c:v>
                </c:pt>
                <c:pt idx="15">
                  <c:v>-0.6875</c:v>
                </c:pt>
                <c:pt idx="16">
                  <c:v>-1.28125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265-4A9F-BFC0-A43CF4021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085648"/>
        <c:axId val="1409066608"/>
      </c:lineChart>
      <c:catAx>
        <c:axId val="14090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66608"/>
        <c:crosses val="autoZero"/>
        <c:auto val="1"/>
        <c:lblAlgn val="ctr"/>
        <c:lblOffset val="100"/>
        <c:noMultiLvlLbl val="0"/>
      </c:catAx>
      <c:valAx>
        <c:axId val="14090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BaseFeat_ELR!$K$186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BaseFeat_ELR!$H$187:$I$211</c:f>
              <c:multiLvlStrCache>
                <c:ptCount val="25"/>
                <c:lvl>
                  <c:pt idx="0">
                    <c:v>ALL</c:v>
                  </c:pt>
                  <c:pt idx="1">
                    <c:v>RP1</c:v>
                  </c:pt>
                  <c:pt idx="2">
                    <c:v>RP2</c:v>
                  </c:pt>
                  <c:pt idx="3">
                    <c:v>RP3</c:v>
                  </c:pt>
                  <c:pt idx="4">
                    <c:v>RP4</c:v>
                  </c:pt>
                  <c:pt idx="5">
                    <c:v>ALL</c:v>
                  </c:pt>
                  <c:pt idx="6">
                    <c:v>RP1</c:v>
                  </c:pt>
                  <c:pt idx="7">
                    <c:v>RP2</c:v>
                  </c:pt>
                  <c:pt idx="8">
                    <c:v>RP3</c:v>
                  </c:pt>
                  <c:pt idx="9">
                    <c:v>RP4</c:v>
                  </c:pt>
                  <c:pt idx="10">
                    <c:v>ALL</c:v>
                  </c:pt>
                  <c:pt idx="11">
                    <c:v>RP1</c:v>
                  </c:pt>
                  <c:pt idx="12">
                    <c:v>RP2</c:v>
                  </c:pt>
                  <c:pt idx="13">
                    <c:v>RP3</c:v>
                  </c:pt>
                  <c:pt idx="14">
                    <c:v>RP4</c:v>
                  </c:pt>
                  <c:pt idx="15">
                    <c:v>ALL</c:v>
                  </c:pt>
                  <c:pt idx="16">
                    <c:v>RP1</c:v>
                  </c:pt>
                  <c:pt idx="17">
                    <c:v>RP2</c:v>
                  </c:pt>
                  <c:pt idx="18">
                    <c:v>RP3</c:v>
                  </c:pt>
                  <c:pt idx="19">
                    <c:v>RP4</c:v>
                  </c:pt>
                  <c:pt idx="20">
                    <c:v>ALL</c:v>
                  </c:pt>
                  <c:pt idx="21">
                    <c:v>RP1</c:v>
                  </c:pt>
                  <c:pt idx="22">
                    <c:v>RP2</c:v>
                  </c:pt>
                  <c:pt idx="23">
                    <c:v>RP3</c:v>
                  </c:pt>
                  <c:pt idx="24">
                    <c:v>RP4</c:v>
                  </c:pt>
                </c:lvl>
                <c:lvl>
                  <c:pt idx="0">
                    <c:v>AE</c:v>
                  </c:pt>
                  <c:pt idx="5">
                    <c:v>EV</c:v>
                  </c:pt>
                  <c:pt idx="10">
                    <c:v>NA</c:v>
                  </c:pt>
                  <c:pt idx="15">
                    <c:v>OT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BaseFeat_ELR!$K$187:$K$211</c:f>
              <c:numCache>
                <c:formatCode>0.00</c:formatCode>
                <c:ptCount val="25"/>
                <c:pt idx="0">
                  <c:v>50.67</c:v>
                </c:pt>
                <c:pt idx="1">
                  <c:v>49.86</c:v>
                </c:pt>
                <c:pt idx="2">
                  <c:v>48.83</c:v>
                </c:pt>
                <c:pt idx="3">
                  <c:v>46.77</c:v>
                </c:pt>
                <c:pt idx="4">
                  <c:v>40.49</c:v>
                </c:pt>
                <c:pt idx="5">
                  <c:v>72.02</c:v>
                </c:pt>
                <c:pt idx="6">
                  <c:v>19.690000000000001</c:v>
                </c:pt>
                <c:pt idx="7">
                  <c:v>17.93</c:v>
                </c:pt>
                <c:pt idx="8">
                  <c:v>72.64</c:v>
                </c:pt>
                <c:pt idx="9">
                  <c:v>59.13</c:v>
                </c:pt>
                <c:pt idx="10">
                  <c:v>38.97</c:v>
                </c:pt>
                <c:pt idx="11">
                  <c:v>19.489999999999998</c:v>
                </c:pt>
                <c:pt idx="12">
                  <c:v>68.45</c:v>
                </c:pt>
                <c:pt idx="13">
                  <c:v>62.06</c:v>
                </c:pt>
                <c:pt idx="14">
                  <c:v>32.53</c:v>
                </c:pt>
                <c:pt idx="15">
                  <c:v>47.38</c:v>
                </c:pt>
                <c:pt idx="16">
                  <c:v>41.53</c:v>
                </c:pt>
                <c:pt idx="17">
                  <c:v>49.78</c:v>
                </c:pt>
                <c:pt idx="18">
                  <c:v>49.48</c:v>
                </c:pt>
                <c:pt idx="19">
                  <c:v>50.93</c:v>
                </c:pt>
                <c:pt idx="20">
                  <c:v>52.26</c:v>
                </c:pt>
                <c:pt idx="21">
                  <c:v>32.642499999999998</c:v>
                </c:pt>
                <c:pt idx="22">
                  <c:v>46.247499999999995</c:v>
                </c:pt>
                <c:pt idx="23">
                  <c:v>57.737499999999997</c:v>
                </c:pt>
                <c:pt idx="24">
                  <c:v>45.77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3F-41DA-BDF7-259EC02C98E6}"/>
            </c:ext>
          </c:extLst>
        </c:ser>
        <c:ser>
          <c:idx val="2"/>
          <c:order val="2"/>
          <c:tx>
            <c:strRef>
              <c:f>BaseFeat_ELR!$L$186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BaseFeat_ELR!$H$187:$I$211</c:f>
              <c:multiLvlStrCache>
                <c:ptCount val="25"/>
                <c:lvl>
                  <c:pt idx="0">
                    <c:v>ALL</c:v>
                  </c:pt>
                  <c:pt idx="1">
                    <c:v>RP1</c:v>
                  </c:pt>
                  <c:pt idx="2">
                    <c:v>RP2</c:v>
                  </c:pt>
                  <c:pt idx="3">
                    <c:v>RP3</c:v>
                  </c:pt>
                  <c:pt idx="4">
                    <c:v>RP4</c:v>
                  </c:pt>
                  <c:pt idx="5">
                    <c:v>ALL</c:v>
                  </c:pt>
                  <c:pt idx="6">
                    <c:v>RP1</c:v>
                  </c:pt>
                  <c:pt idx="7">
                    <c:v>RP2</c:v>
                  </c:pt>
                  <c:pt idx="8">
                    <c:v>RP3</c:v>
                  </c:pt>
                  <c:pt idx="9">
                    <c:v>RP4</c:v>
                  </c:pt>
                  <c:pt idx="10">
                    <c:v>ALL</c:v>
                  </c:pt>
                  <c:pt idx="11">
                    <c:v>RP1</c:v>
                  </c:pt>
                  <c:pt idx="12">
                    <c:v>RP2</c:v>
                  </c:pt>
                  <c:pt idx="13">
                    <c:v>RP3</c:v>
                  </c:pt>
                  <c:pt idx="14">
                    <c:v>RP4</c:v>
                  </c:pt>
                  <c:pt idx="15">
                    <c:v>ALL</c:v>
                  </c:pt>
                  <c:pt idx="16">
                    <c:v>RP1</c:v>
                  </c:pt>
                  <c:pt idx="17">
                    <c:v>RP2</c:v>
                  </c:pt>
                  <c:pt idx="18">
                    <c:v>RP3</c:v>
                  </c:pt>
                  <c:pt idx="19">
                    <c:v>RP4</c:v>
                  </c:pt>
                  <c:pt idx="20">
                    <c:v>ALL</c:v>
                  </c:pt>
                  <c:pt idx="21">
                    <c:v>RP1</c:v>
                  </c:pt>
                  <c:pt idx="22">
                    <c:v>RP2</c:v>
                  </c:pt>
                  <c:pt idx="23">
                    <c:v>RP3</c:v>
                  </c:pt>
                  <c:pt idx="24">
                    <c:v>RP4</c:v>
                  </c:pt>
                </c:lvl>
                <c:lvl>
                  <c:pt idx="0">
                    <c:v>AE</c:v>
                  </c:pt>
                  <c:pt idx="5">
                    <c:v>EV</c:v>
                  </c:pt>
                  <c:pt idx="10">
                    <c:v>NA</c:v>
                  </c:pt>
                  <c:pt idx="15">
                    <c:v>OT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BaseFeat_ELR!$L$187:$L$211</c:f>
              <c:numCache>
                <c:formatCode>0.00</c:formatCode>
                <c:ptCount val="25"/>
                <c:pt idx="0">
                  <c:v>50.37</c:v>
                </c:pt>
                <c:pt idx="1">
                  <c:v>49.63</c:v>
                </c:pt>
                <c:pt idx="2">
                  <c:v>47.95</c:v>
                </c:pt>
                <c:pt idx="3">
                  <c:v>44.55</c:v>
                </c:pt>
                <c:pt idx="4">
                  <c:v>50</c:v>
                </c:pt>
                <c:pt idx="5">
                  <c:v>56.37</c:v>
                </c:pt>
                <c:pt idx="6">
                  <c:v>23.44</c:v>
                </c:pt>
                <c:pt idx="7">
                  <c:v>50</c:v>
                </c:pt>
                <c:pt idx="8">
                  <c:v>70.63</c:v>
                </c:pt>
                <c:pt idx="9">
                  <c:v>56.74</c:v>
                </c:pt>
                <c:pt idx="10">
                  <c:v>38.96</c:v>
                </c:pt>
                <c:pt idx="11">
                  <c:v>24.04</c:v>
                </c:pt>
                <c:pt idx="12">
                  <c:v>65.83</c:v>
                </c:pt>
                <c:pt idx="13">
                  <c:v>60.74</c:v>
                </c:pt>
                <c:pt idx="14">
                  <c:v>29.66</c:v>
                </c:pt>
                <c:pt idx="15">
                  <c:v>50</c:v>
                </c:pt>
                <c:pt idx="16">
                  <c:v>32.44</c:v>
                </c:pt>
                <c:pt idx="17">
                  <c:v>50</c:v>
                </c:pt>
                <c:pt idx="18">
                  <c:v>34.83</c:v>
                </c:pt>
                <c:pt idx="19">
                  <c:v>50.06</c:v>
                </c:pt>
                <c:pt idx="20">
                  <c:v>48.924999999999997</c:v>
                </c:pt>
                <c:pt idx="21">
                  <c:v>32.387500000000003</c:v>
                </c:pt>
                <c:pt idx="22">
                  <c:v>53.445</c:v>
                </c:pt>
                <c:pt idx="23">
                  <c:v>52.6875</c:v>
                </c:pt>
                <c:pt idx="24">
                  <c:v>46.615000000000002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3F-41DA-BDF7-259EC02C98E6}"/>
            </c:ext>
          </c:extLst>
        </c:ser>
        <c:ser>
          <c:idx val="3"/>
          <c:order val="3"/>
          <c:tx>
            <c:strRef>
              <c:f>BaseFeat_ELR!$M$186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BaseFeat_ELR!$H$187:$I$211</c:f>
              <c:multiLvlStrCache>
                <c:ptCount val="25"/>
                <c:lvl>
                  <c:pt idx="0">
                    <c:v>ALL</c:v>
                  </c:pt>
                  <c:pt idx="1">
                    <c:v>RP1</c:v>
                  </c:pt>
                  <c:pt idx="2">
                    <c:v>RP2</c:v>
                  </c:pt>
                  <c:pt idx="3">
                    <c:v>RP3</c:v>
                  </c:pt>
                  <c:pt idx="4">
                    <c:v>RP4</c:v>
                  </c:pt>
                  <c:pt idx="5">
                    <c:v>ALL</c:v>
                  </c:pt>
                  <c:pt idx="6">
                    <c:v>RP1</c:v>
                  </c:pt>
                  <c:pt idx="7">
                    <c:v>RP2</c:v>
                  </c:pt>
                  <c:pt idx="8">
                    <c:v>RP3</c:v>
                  </c:pt>
                  <c:pt idx="9">
                    <c:v>RP4</c:v>
                  </c:pt>
                  <c:pt idx="10">
                    <c:v>ALL</c:v>
                  </c:pt>
                  <c:pt idx="11">
                    <c:v>RP1</c:v>
                  </c:pt>
                  <c:pt idx="12">
                    <c:v>RP2</c:v>
                  </c:pt>
                  <c:pt idx="13">
                    <c:v>RP3</c:v>
                  </c:pt>
                  <c:pt idx="14">
                    <c:v>RP4</c:v>
                  </c:pt>
                  <c:pt idx="15">
                    <c:v>ALL</c:v>
                  </c:pt>
                  <c:pt idx="16">
                    <c:v>RP1</c:v>
                  </c:pt>
                  <c:pt idx="17">
                    <c:v>RP2</c:v>
                  </c:pt>
                  <c:pt idx="18">
                    <c:v>RP3</c:v>
                  </c:pt>
                  <c:pt idx="19">
                    <c:v>RP4</c:v>
                  </c:pt>
                  <c:pt idx="20">
                    <c:v>ALL</c:v>
                  </c:pt>
                  <c:pt idx="21">
                    <c:v>RP1</c:v>
                  </c:pt>
                  <c:pt idx="22">
                    <c:v>RP2</c:v>
                  </c:pt>
                  <c:pt idx="23">
                    <c:v>RP3</c:v>
                  </c:pt>
                  <c:pt idx="24">
                    <c:v>RP4</c:v>
                  </c:pt>
                </c:lvl>
                <c:lvl>
                  <c:pt idx="0">
                    <c:v>AE</c:v>
                  </c:pt>
                  <c:pt idx="5">
                    <c:v>EV</c:v>
                  </c:pt>
                  <c:pt idx="10">
                    <c:v>NA</c:v>
                  </c:pt>
                  <c:pt idx="15">
                    <c:v>OT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BaseFeat_ELR!$M$187:$M$211</c:f>
              <c:numCache>
                <c:formatCode>0.00</c:formatCode>
                <c:ptCount val="25"/>
                <c:pt idx="0">
                  <c:v>50.519554631828981</c:v>
                </c:pt>
                <c:pt idx="1">
                  <c:v>49.744734144135087</c:v>
                </c:pt>
                <c:pt idx="2">
                  <c:v>48.385999173382935</c:v>
                </c:pt>
                <c:pt idx="3">
                  <c:v>45.633015768725372</c:v>
                </c:pt>
                <c:pt idx="4">
                  <c:v>44.745275721074144</c:v>
                </c:pt>
                <c:pt idx="5">
                  <c:v>63.241177661811669</c:v>
                </c:pt>
                <c:pt idx="6">
                  <c:v>21.401975423139348</c:v>
                </c:pt>
                <c:pt idx="7">
                  <c:v>26.394818195200941</c:v>
                </c:pt>
                <c:pt idx="8">
                  <c:v>71.620900397850221</c:v>
                </c:pt>
                <c:pt idx="9">
                  <c:v>57.910351255717622</c:v>
                </c:pt>
                <c:pt idx="10">
                  <c:v>38.964999358398558</c:v>
                </c:pt>
                <c:pt idx="11">
                  <c:v>21.527204226969904</c:v>
                </c:pt>
                <c:pt idx="12">
                  <c:v>67.114439976169194</c:v>
                </c:pt>
                <c:pt idx="13">
                  <c:v>61.392905537459285</c:v>
                </c:pt>
                <c:pt idx="14">
                  <c:v>31.028776330599779</c:v>
                </c:pt>
                <c:pt idx="15">
                  <c:v>48.654754569726848</c:v>
                </c:pt>
                <c:pt idx="16">
                  <c:v>36.42647559821549</c:v>
                </c:pt>
                <c:pt idx="17">
                  <c:v>49.88975746642614</c:v>
                </c:pt>
                <c:pt idx="18">
                  <c:v>40.88218242201399</c:v>
                </c:pt>
                <c:pt idx="19">
                  <c:v>50.491252599267249</c:v>
                </c:pt>
                <c:pt idx="20">
                  <c:v>50.345121555441509</c:v>
                </c:pt>
                <c:pt idx="21">
                  <c:v>32.275097348114954</c:v>
                </c:pt>
                <c:pt idx="22">
                  <c:v>47.946253702794806</c:v>
                </c:pt>
                <c:pt idx="23">
                  <c:v>54.882251031512219</c:v>
                </c:pt>
                <c:pt idx="24">
                  <c:v>46.043913976664697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83F-41DA-BDF7-259EC02C9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245664"/>
        <c:axId val="134424838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BaseFeat_ELR!$J$186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BaseFeat_ELR!$H$187:$I$211</c15:sqref>
                        </c15:formulaRef>
                      </c:ext>
                    </c:extLst>
                    <c:multiLvlStrCache>
                      <c:ptCount val="25"/>
                      <c:lvl>
                        <c:pt idx="0">
                          <c:v>ALL</c:v>
                        </c:pt>
                        <c:pt idx="1">
                          <c:v>RP1</c:v>
                        </c:pt>
                        <c:pt idx="2">
                          <c:v>RP2</c:v>
                        </c:pt>
                        <c:pt idx="3">
                          <c:v>RP3</c:v>
                        </c:pt>
                        <c:pt idx="4">
                          <c:v>RP4</c:v>
                        </c:pt>
                        <c:pt idx="5">
                          <c:v>ALL</c:v>
                        </c:pt>
                        <c:pt idx="6">
                          <c:v>RP1</c:v>
                        </c:pt>
                        <c:pt idx="7">
                          <c:v>RP2</c:v>
                        </c:pt>
                        <c:pt idx="8">
                          <c:v>RP3</c:v>
                        </c:pt>
                        <c:pt idx="9">
                          <c:v>RP4</c:v>
                        </c:pt>
                        <c:pt idx="10">
                          <c:v>ALL</c:v>
                        </c:pt>
                        <c:pt idx="11">
                          <c:v>RP1</c:v>
                        </c:pt>
                        <c:pt idx="12">
                          <c:v>RP2</c:v>
                        </c:pt>
                        <c:pt idx="13">
                          <c:v>RP3</c:v>
                        </c:pt>
                        <c:pt idx="14">
                          <c:v>RP4</c:v>
                        </c:pt>
                        <c:pt idx="15">
                          <c:v>ALL</c:v>
                        </c:pt>
                        <c:pt idx="16">
                          <c:v>RP1</c:v>
                        </c:pt>
                        <c:pt idx="17">
                          <c:v>RP2</c:v>
                        </c:pt>
                        <c:pt idx="18">
                          <c:v>RP3</c:v>
                        </c:pt>
                        <c:pt idx="19">
                          <c:v>RP4</c:v>
                        </c:pt>
                        <c:pt idx="20">
                          <c:v>ALL</c:v>
                        </c:pt>
                        <c:pt idx="21">
                          <c:v>RP1</c:v>
                        </c:pt>
                        <c:pt idx="22">
                          <c:v>RP2</c:v>
                        </c:pt>
                        <c:pt idx="23">
                          <c:v>RP3</c:v>
                        </c:pt>
                        <c:pt idx="24">
                          <c:v>RP4</c:v>
                        </c:pt>
                      </c:lvl>
                      <c:lvl>
                        <c:pt idx="0">
                          <c:v>AE</c:v>
                        </c:pt>
                        <c:pt idx="5">
                          <c:v>EV</c:v>
                        </c:pt>
                        <c:pt idx="10">
                          <c:v>NA</c:v>
                        </c:pt>
                        <c:pt idx="15">
                          <c:v>OT</c:v>
                        </c:pt>
                        <c:pt idx="20">
                          <c:v>AVG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BaseFeat_ELR!$J$187:$J$211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80.48</c:v>
                      </c:pt>
                      <c:pt idx="1">
                        <c:v>65.44</c:v>
                      </c:pt>
                      <c:pt idx="2">
                        <c:v>65.400000000000006</c:v>
                      </c:pt>
                      <c:pt idx="3">
                        <c:v>39.090000000000003</c:v>
                      </c:pt>
                      <c:pt idx="4">
                        <c:v>80.98</c:v>
                      </c:pt>
                      <c:pt idx="5">
                        <c:v>59.14</c:v>
                      </c:pt>
                      <c:pt idx="6">
                        <c:v>27.21</c:v>
                      </c:pt>
                      <c:pt idx="7">
                        <c:v>35.869999999999997</c:v>
                      </c:pt>
                      <c:pt idx="8">
                        <c:v>65.459999999999994</c:v>
                      </c:pt>
                      <c:pt idx="9">
                        <c:v>55.02</c:v>
                      </c:pt>
                      <c:pt idx="10">
                        <c:v>38.97</c:v>
                      </c:pt>
                      <c:pt idx="11">
                        <c:v>23.85</c:v>
                      </c:pt>
                      <c:pt idx="12">
                        <c:v>68.680000000000007</c:v>
                      </c:pt>
                      <c:pt idx="13">
                        <c:v>59.16</c:v>
                      </c:pt>
                      <c:pt idx="14">
                        <c:v>36.19</c:v>
                      </c:pt>
                      <c:pt idx="15">
                        <c:v>94.76</c:v>
                      </c:pt>
                      <c:pt idx="16">
                        <c:v>57.29</c:v>
                      </c:pt>
                      <c:pt idx="17">
                        <c:v>99.56</c:v>
                      </c:pt>
                      <c:pt idx="18">
                        <c:v>69.17</c:v>
                      </c:pt>
                      <c:pt idx="19">
                        <c:v>90.93</c:v>
                      </c:pt>
                      <c:pt idx="20">
                        <c:v>68.337500000000006</c:v>
                      </c:pt>
                      <c:pt idx="21">
                        <c:v>43.447499999999998</c:v>
                      </c:pt>
                      <c:pt idx="22">
                        <c:v>67.377499999999998</c:v>
                      </c:pt>
                      <c:pt idx="23">
                        <c:v>58.22</c:v>
                      </c:pt>
                      <c:pt idx="24">
                        <c:v>65.78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283F-41DA-BDF7-259EC02C98E6}"/>
                  </c:ext>
                </c:extLst>
              </c15:ser>
            </c15:filteredBarSeries>
          </c:ext>
        </c:extLst>
      </c:barChart>
      <c:catAx>
        <c:axId val="13442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48384"/>
        <c:crosses val="autoZero"/>
        <c:auto val="1"/>
        <c:lblAlgn val="ctr"/>
        <c:lblOffset val="100"/>
        <c:noMultiLvlLbl val="0"/>
      </c:catAx>
      <c:valAx>
        <c:axId val="13442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4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'HoE Chart (5-Act)'!$B$2</c:f>
              <c:strCache>
                <c:ptCount val="1"/>
                <c:pt idx="0">
                  <c:v>Aptitude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'HoE Chart (5-Act)'!$A$3:$A$19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'HoE Chart (5-Act)'!$B$3:$B$19</c:f>
              <c:numCache>
                <c:formatCode>0.00</c:formatCode>
                <c:ptCount val="17"/>
                <c:pt idx="0">
                  <c:v>-0.625</c:v>
                </c:pt>
                <c:pt idx="1">
                  <c:v>-0.625</c:v>
                </c:pt>
                <c:pt idx="2">
                  <c:v>-0.34375</c:v>
                </c:pt>
                <c:pt idx="3">
                  <c:v>0.375</c:v>
                </c:pt>
                <c:pt idx="4">
                  <c:v>0.21875</c:v>
                </c:pt>
                <c:pt idx="5">
                  <c:v>-0.21875</c:v>
                </c:pt>
                <c:pt idx="6">
                  <c:v>-0.40625</c:v>
                </c:pt>
                <c:pt idx="7">
                  <c:v>-0.3125</c:v>
                </c:pt>
                <c:pt idx="8">
                  <c:v>0.15625</c:v>
                </c:pt>
                <c:pt idx="9">
                  <c:v>0.4375</c:v>
                </c:pt>
                <c:pt idx="10">
                  <c:v>0.21875</c:v>
                </c:pt>
                <c:pt idx="11">
                  <c:v>1</c:v>
                </c:pt>
                <c:pt idx="12">
                  <c:v>0.21875</c:v>
                </c:pt>
                <c:pt idx="13">
                  <c:v>-0.6875</c:v>
                </c:pt>
                <c:pt idx="14">
                  <c:v>-0.4375</c:v>
                </c:pt>
                <c:pt idx="15">
                  <c:v>-0.25</c:v>
                </c:pt>
                <c:pt idx="16">
                  <c:v>6.25E-2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00-44E4-A776-73D5F6F0D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091088"/>
        <c:axId val="1409079120"/>
      </c:lineChart>
      <c:catAx>
        <c:axId val="1409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79120"/>
        <c:crosses val="autoZero"/>
        <c:auto val="1"/>
        <c:lblAlgn val="ctr"/>
        <c:lblOffset val="100"/>
        <c:noMultiLvlLbl val="0"/>
      </c:catAx>
      <c:valAx>
        <c:axId val="14090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'HoE Chart (5-Act)'!$C$2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'HoE Chart (5-Act)'!$A$3:$A$19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'HoE Chart (5-Act)'!$C$3:$C$19</c:f>
              <c:numCache>
                <c:formatCode>0.00</c:formatCode>
                <c:ptCount val="17"/>
                <c:pt idx="0">
                  <c:v>-0.59375</c:v>
                </c:pt>
                <c:pt idx="1">
                  <c:v>-0.5625</c:v>
                </c:pt>
                <c:pt idx="2">
                  <c:v>-0.1875</c:v>
                </c:pt>
                <c:pt idx="3">
                  <c:v>-1.0625</c:v>
                </c:pt>
                <c:pt idx="4">
                  <c:v>-0.75</c:v>
                </c:pt>
                <c:pt idx="5">
                  <c:v>-0.75</c:v>
                </c:pt>
                <c:pt idx="6">
                  <c:v>-0.3125</c:v>
                </c:pt>
                <c:pt idx="7">
                  <c:v>-0.5625</c:v>
                </c:pt>
                <c:pt idx="8">
                  <c:v>-1.03125</c:v>
                </c:pt>
                <c:pt idx="9">
                  <c:v>-9.375E-2</c:v>
                </c:pt>
                <c:pt idx="10">
                  <c:v>-0.375</c:v>
                </c:pt>
                <c:pt idx="11">
                  <c:v>-0.1875</c:v>
                </c:pt>
                <c:pt idx="12">
                  <c:v>-6.25E-2</c:v>
                </c:pt>
                <c:pt idx="13">
                  <c:v>-0.28125</c:v>
                </c:pt>
                <c:pt idx="14">
                  <c:v>-0.96875</c:v>
                </c:pt>
                <c:pt idx="15">
                  <c:v>-0.9375</c:v>
                </c:pt>
                <c:pt idx="16">
                  <c:v>-0.40625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66-4395-9183-62B62BA0E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081296"/>
        <c:axId val="1409084016"/>
      </c:lineChart>
      <c:catAx>
        <c:axId val="140908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84016"/>
        <c:crosses val="autoZero"/>
        <c:auto val="1"/>
        <c:lblAlgn val="ctr"/>
        <c:lblOffset val="100"/>
        <c:noMultiLvlLbl val="0"/>
      </c:catAx>
      <c:valAx>
        <c:axId val="14090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8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'HoE Chart (5-Act)'!$B$2</c:f>
              <c:strCache>
                <c:ptCount val="1"/>
                <c:pt idx="0">
                  <c:v>Aptitude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'HoE Chart (5-Act)'!$A$20:$A$48</c:f>
              <c:numCache>
                <c:formatCode>General</c:formatCode>
                <c:ptCount val="2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</c:numCache>
            </c:numRef>
          </c:cat>
          <c:val>
            <c:numRef>
              <c:f>'HoE Chart (5-Act)'!$B$20:$B$48</c:f>
              <c:numCache>
                <c:formatCode>0.00</c:formatCode>
                <c:ptCount val="29"/>
                <c:pt idx="0">
                  <c:v>0.1875</c:v>
                </c:pt>
                <c:pt idx="1">
                  <c:v>0.5625</c:v>
                </c:pt>
                <c:pt idx="2">
                  <c:v>-0.78125</c:v>
                </c:pt>
                <c:pt idx="3">
                  <c:v>-0.53125</c:v>
                </c:pt>
                <c:pt idx="4">
                  <c:v>0.40625</c:v>
                </c:pt>
                <c:pt idx="5">
                  <c:v>-0.75</c:v>
                </c:pt>
                <c:pt idx="6">
                  <c:v>9.375E-2</c:v>
                </c:pt>
                <c:pt idx="7">
                  <c:v>0.3125</c:v>
                </c:pt>
                <c:pt idx="8">
                  <c:v>-0.25</c:v>
                </c:pt>
                <c:pt idx="9">
                  <c:v>6.25E-2</c:v>
                </c:pt>
                <c:pt idx="10">
                  <c:v>0.25</c:v>
                </c:pt>
                <c:pt idx="11">
                  <c:v>-0.125</c:v>
                </c:pt>
                <c:pt idx="12">
                  <c:v>0.25</c:v>
                </c:pt>
                <c:pt idx="13">
                  <c:v>9.375E-2</c:v>
                </c:pt>
                <c:pt idx="14">
                  <c:v>0.875</c:v>
                </c:pt>
                <c:pt idx="15">
                  <c:v>-0.1875</c:v>
                </c:pt>
                <c:pt idx="16">
                  <c:v>0.21875</c:v>
                </c:pt>
                <c:pt idx="17">
                  <c:v>0.40625</c:v>
                </c:pt>
                <c:pt idx="18">
                  <c:v>-0.21875</c:v>
                </c:pt>
                <c:pt idx="19">
                  <c:v>-0.65625</c:v>
                </c:pt>
                <c:pt idx="20">
                  <c:v>-0.5625</c:v>
                </c:pt>
                <c:pt idx="21">
                  <c:v>-0.15625</c:v>
                </c:pt>
                <c:pt idx="22">
                  <c:v>0.21875</c:v>
                </c:pt>
                <c:pt idx="23">
                  <c:v>-0.34375</c:v>
                </c:pt>
                <c:pt idx="24">
                  <c:v>-0.40625</c:v>
                </c:pt>
                <c:pt idx="25">
                  <c:v>-0.21875</c:v>
                </c:pt>
                <c:pt idx="26">
                  <c:v>-0.65625</c:v>
                </c:pt>
                <c:pt idx="27">
                  <c:v>-0.15625</c:v>
                </c:pt>
                <c:pt idx="28">
                  <c:v>-0.59375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28-45AA-AE0C-55FD693E72DB}"/>
            </c:ext>
          </c:extLst>
        </c:ser>
        <c:ser>
          <c:idx val="4"/>
          <c:order val="1"/>
          <c:tx>
            <c:strRef>
              <c:f>'HoE Chart (5-Act)'!$C$2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'HoE Chart (5-Act)'!$A$20:$A$48</c:f>
              <c:numCache>
                <c:formatCode>General</c:formatCode>
                <c:ptCount val="2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</c:numCache>
            </c:numRef>
          </c:cat>
          <c:val>
            <c:numRef>
              <c:f>'HoE Chart (5-Act)'!$C$20:$C$48</c:f>
              <c:numCache>
                <c:formatCode>0.00</c:formatCode>
                <c:ptCount val="29"/>
                <c:pt idx="0">
                  <c:v>-0.84375</c:v>
                </c:pt>
                <c:pt idx="1">
                  <c:v>-1.28125</c:v>
                </c:pt>
                <c:pt idx="2">
                  <c:v>-1</c:v>
                </c:pt>
                <c:pt idx="3">
                  <c:v>-0.84375</c:v>
                </c:pt>
                <c:pt idx="4">
                  <c:v>-0.6875</c:v>
                </c:pt>
                <c:pt idx="5">
                  <c:v>-0.625</c:v>
                </c:pt>
                <c:pt idx="6">
                  <c:v>-0.4375</c:v>
                </c:pt>
                <c:pt idx="7">
                  <c:v>-0.71875</c:v>
                </c:pt>
                <c:pt idx="8">
                  <c:v>-1.0625</c:v>
                </c:pt>
                <c:pt idx="9">
                  <c:v>-0.875</c:v>
                </c:pt>
                <c:pt idx="10">
                  <c:v>-0.40625</c:v>
                </c:pt>
                <c:pt idx="11">
                  <c:v>-0.71875</c:v>
                </c:pt>
                <c:pt idx="12">
                  <c:v>-0.5</c:v>
                </c:pt>
                <c:pt idx="13">
                  <c:v>-1.09375</c:v>
                </c:pt>
                <c:pt idx="14">
                  <c:v>-0.21875</c:v>
                </c:pt>
                <c:pt idx="15">
                  <c:v>-0.1875</c:v>
                </c:pt>
                <c:pt idx="16">
                  <c:v>-1.15625</c:v>
                </c:pt>
                <c:pt idx="17">
                  <c:v>-0.28125</c:v>
                </c:pt>
                <c:pt idx="18">
                  <c:v>-0.28125</c:v>
                </c:pt>
                <c:pt idx="19">
                  <c:v>-0.34375</c:v>
                </c:pt>
                <c:pt idx="20">
                  <c:v>-0.21875</c:v>
                </c:pt>
                <c:pt idx="21">
                  <c:v>-0.15625</c:v>
                </c:pt>
                <c:pt idx="22">
                  <c:v>-1.4375</c:v>
                </c:pt>
                <c:pt idx="23">
                  <c:v>-1.21875</c:v>
                </c:pt>
                <c:pt idx="24">
                  <c:v>-0.46875</c:v>
                </c:pt>
                <c:pt idx="25">
                  <c:v>-9.375E-2</c:v>
                </c:pt>
                <c:pt idx="26">
                  <c:v>-0.3125</c:v>
                </c:pt>
                <c:pt idx="27">
                  <c:v>-0.28125</c:v>
                </c:pt>
                <c:pt idx="28">
                  <c:v>-0.6875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28-45AA-AE0C-55FD693E72DB}"/>
            </c:ext>
          </c:extLst>
        </c:ser>
        <c:ser>
          <c:idx val="0"/>
          <c:order val="2"/>
          <c:tx>
            <c:strRef>
              <c:f>'HoE Chart (5-Act)'!$D$2</c:f>
              <c:strCache>
                <c:ptCount val="1"/>
                <c:pt idx="0">
                  <c:v>Pleasantness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'HoE Chart (5-Act)'!$A$20:$A$48</c:f>
              <c:numCache>
                <c:formatCode>General</c:formatCode>
                <c:ptCount val="2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</c:numCache>
            </c:numRef>
          </c:cat>
          <c:val>
            <c:numRef>
              <c:f>'HoE Chart (5-Act)'!$D$20:$D$48</c:f>
              <c:numCache>
                <c:formatCode>0.00</c:formatCode>
                <c:ptCount val="29"/>
                <c:pt idx="0">
                  <c:v>0.5625</c:v>
                </c:pt>
                <c:pt idx="1">
                  <c:v>0.4375</c:v>
                </c:pt>
                <c:pt idx="2">
                  <c:v>-0.5625</c:v>
                </c:pt>
                <c:pt idx="3">
                  <c:v>-0.4375</c:v>
                </c:pt>
                <c:pt idx="4">
                  <c:v>0.125</c:v>
                </c:pt>
                <c:pt idx="5">
                  <c:v>-0.75</c:v>
                </c:pt>
                <c:pt idx="6">
                  <c:v>0.15625</c:v>
                </c:pt>
                <c:pt idx="7">
                  <c:v>0.71875</c:v>
                </c:pt>
                <c:pt idx="8">
                  <c:v>0.25</c:v>
                </c:pt>
                <c:pt idx="9">
                  <c:v>0.6875</c:v>
                </c:pt>
                <c:pt idx="10">
                  <c:v>0.25</c:v>
                </c:pt>
                <c:pt idx="11">
                  <c:v>0.59375</c:v>
                </c:pt>
                <c:pt idx="12">
                  <c:v>0.71875</c:v>
                </c:pt>
                <c:pt idx="13">
                  <c:v>0.21875</c:v>
                </c:pt>
                <c:pt idx="14">
                  <c:v>0.96875</c:v>
                </c:pt>
                <c:pt idx="15">
                  <c:v>0.28125</c:v>
                </c:pt>
                <c:pt idx="16">
                  <c:v>0.375</c:v>
                </c:pt>
                <c:pt idx="17">
                  <c:v>0.3125</c:v>
                </c:pt>
                <c:pt idx="18">
                  <c:v>3.125E-2</c:v>
                </c:pt>
                <c:pt idx="19">
                  <c:v>-0.9375</c:v>
                </c:pt>
                <c:pt idx="20">
                  <c:v>-0.46875</c:v>
                </c:pt>
                <c:pt idx="21">
                  <c:v>0.15625</c:v>
                </c:pt>
                <c:pt idx="22">
                  <c:v>0.3125</c:v>
                </c:pt>
                <c:pt idx="23">
                  <c:v>-0.375</c:v>
                </c:pt>
                <c:pt idx="24">
                  <c:v>-0.5</c:v>
                </c:pt>
                <c:pt idx="25">
                  <c:v>0.125</c:v>
                </c:pt>
                <c:pt idx="26">
                  <c:v>-0.15625</c:v>
                </c:pt>
                <c:pt idx="27">
                  <c:v>0</c:v>
                </c:pt>
                <c:pt idx="28">
                  <c:v>-0.5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28-45AA-AE0C-55FD693E72DB}"/>
            </c:ext>
          </c:extLst>
        </c:ser>
        <c:ser>
          <c:idx val="1"/>
          <c:order val="3"/>
          <c:tx>
            <c:strRef>
              <c:f>'HoE Chart (5-Act)'!$E$2</c:f>
              <c:strCache>
                <c:ptCount val="1"/>
                <c:pt idx="0">
                  <c:v>Sensitivity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'HoE Chart (5-Act)'!$A$20:$A$48</c:f>
              <c:numCache>
                <c:formatCode>General</c:formatCode>
                <c:ptCount val="2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</c:numCache>
            </c:numRef>
          </c:cat>
          <c:val>
            <c:numRef>
              <c:f>'HoE Chart (5-Act)'!$E$20:$E$48</c:f>
              <c:numCache>
                <c:formatCode>0.00</c:formatCode>
                <c:ptCount val="29"/>
                <c:pt idx="0">
                  <c:v>-1.25</c:v>
                </c:pt>
                <c:pt idx="1">
                  <c:v>-1.375</c:v>
                </c:pt>
                <c:pt idx="2">
                  <c:v>-1.15625</c:v>
                </c:pt>
                <c:pt idx="3">
                  <c:v>-1.34375</c:v>
                </c:pt>
                <c:pt idx="4">
                  <c:v>-0.90625</c:v>
                </c:pt>
                <c:pt idx="5">
                  <c:v>-0.5</c:v>
                </c:pt>
                <c:pt idx="6">
                  <c:v>-0.875</c:v>
                </c:pt>
                <c:pt idx="7">
                  <c:v>-1.25</c:v>
                </c:pt>
                <c:pt idx="8">
                  <c:v>-1.21875</c:v>
                </c:pt>
                <c:pt idx="9">
                  <c:v>-0.90625</c:v>
                </c:pt>
                <c:pt idx="10">
                  <c:v>-0.84375</c:v>
                </c:pt>
                <c:pt idx="11">
                  <c:v>-1.15625</c:v>
                </c:pt>
                <c:pt idx="12">
                  <c:v>-1.09375</c:v>
                </c:pt>
                <c:pt idx="13">
                  <c:v>-1.625</c:v>
                </c:pt>
                <c:pt idx="14">
                  <c:v>-1.125</c:v>
                </c:pt>
                <c:pt idx="15">
                  <c:v>-0.65625</c:v>
                </c:pt>
                <c:pt idx="16">
                  <c:v>-1.25</c:v>
                </c:pt>
                <c:pt idx="17">
                  <c:v>-0.8125</c:v>
                </c:pt>
                <c:pt idx="18">
                  <c:v>-0.9375</c:v>
                </c:pt>
                <c:pt idx="19">
                  <c:v>-9.375E-2</c:v>
                </c:pt>
                <c:pt idx="20">
                  <c:v>-0.59375</c:v>
                </c:pt>
                <c:pt idx="21">
                  <c:v>-0.78125</c:v>
                </c:pt>
                <c:pt idx="22">
                  <c:v>-1.53125</c:v>
                </c:pt>
                <c:pt idx="23">
                  <c:v>-1</c:v>
                </c:pt>
                <c:pt idx="24">
                  <c:v>-0.8125</c:v>
                </c:pt>
                <c:pt idx="25">
                  <c:v>-0.1875</c:v>
                </c:pt>
                <c:pt idx="26">
                  <c:v>9.375E-2</c:v>
                </c:pt>
                <c:pt idx="27">
                  <c:v>0.375</c:v>
                </c:pt>
                <c:pt idx="28">
                  <c:v>0.5625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F28-45AA-AE0C-55FD693E7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063888"/>
        <c:axId val="1409062800"/>
      </c:lineChart>
      <c:catAx>
        <c:axId val="140906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62800"/>
        <c:crosses val="autoZero"/>
        <c:auto val="1"/>
        <c:lblAlgn val="ctr"/>
        <c:lblOffset val="100"/>
        <c:noMultiLvlLbl val="0"/>
      </c:catAx>
      <c:valAx>
        <c:axId val="14090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'HoE Chart (5-Act)'!$B$2</c:f>
              <c:strCache>
                <c:ptCount val="1"/>
                <c:pt idx="0">
                  <c:v>Aptitude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'HoE Chart (5-Act)'!$A$20:$A$48</c:f>
              <c:numCache>
                <c:formatCode>General</c:formatCode>
                <c:ptCount val="2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</c:numCache>
            </c:numRef>
          </c:cat>
          <c:val>
            <c:numRef>
              <c:f>'HoE Chart (5-Act)'!$B$20:$B$48</c:f>
              <c:numCache>
                <c:formatCode>0.00</c:formatCode>
                <c:ptCount val="29"/>
                <c:pt idx="0">
                  <c:v>0.1875</c:v>
                </c:pt>
                <c:pt idx="1">
                  <c:v>0.5625</c:v>
                </c:pt>
                <c:pt idx="2">
                  <c:v>-0.78125</c:v>
                </c:pt>
                <c:pt idx="3">
                  <c:v>-0.53125</c:v>
                </c:pt>
                <c:pt idx="4">
                  <c:v>0.40625</c:v>
                </c:pt>
                <c:pt idx="5">
                  <c:v>-0.75</c:v>
                </c:pt>
                <c:pt idx="6">
                  <c:v>9.375E-2</c:v>
                </c:pt>
                <c:pt idx="7">
                  <c:v>0.3125</c:v>
                </c:pt>
                <c:pt idx="8">
                  <c:v>-0.25</c:v>
                </c:pt>
                <c:pt idx="9">
                  <c:v>6.25E-2</c:v>
                </c:pt>
                <c:pt idx="10">
                  <c:v>0.25</c:v>
                </c:pt>
                <c:pt idx="11">
                  <c:v>-0.125</c:v>
                </c:pt>
                <c:pt idx="12">
                  <c:v>0.25</c:v>
                </c:pt>
                <c:pt idx="13">
                  <c:v>9.375E-2</c:v>
                </c:pt>
                <c:pt idx="14">
                  <c:v>0.875</c:v>
                </c:pt>
                <c:pt idx="15">
                  <c:v>-0.1875</c:v>
                </c:pt>
                <c:pt idx="16">
                  <c:v>0.21875</c:v>
                </c:pt>
                <c:pt idx="17">
                  <c:v>0.40625</c:v>
                </c:pt>
                <c:pt idx="18">
                  <c:v>-0.21875</c:v>
                </c:pt>
                <c:pt idx="19">
                  <c:v>-0.65625</c:v>
                </c:pt>
                <c:pt idx="20">
                  <c:v>-0.5625</c:v>
                </c:pt>
                <c:pt idx="21">
                  <c:v>-0.15625</c:v>
                </c:pt>
                <c:pt idx="22">
                  <c:v>0.21875</c:v>
                </c:pt>
                <c:pt idx="23">
                  <c:v>-0.34375</c:v>
                </c:pt>
                <c:pt idx="24">
                  <c:v>-0.40625</c:v>
                </c:pt>
                <c:pt idx="25">
                  <c:v>-0.21875</c:v>
                </c:pt>
                <c:pt idx="26">
                  <c:v>-0.65625</c:v>
                </c:pt>
                <c:pt idx="27">
                  <c:v>-0.15625</c:v>
                </c:pt>
                <c:pt idx="28">
                  <c:v>-0.59375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71-4B57-8798-D7BDB998D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085104"/>
        <c:axId val="1409068240"/>
      </c:lineChart>
      <c:catAx>
        <c:axId val="140908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68240"/>
        <c:crosses val="autoZero"/>
        <c:auto val="1"/>
        <c:lblAlgn val="ctr"/>
        <c:lblOffset val="100"/>
        <c:noMultiLvlLbl val="0"/>
      </c:catAx>
      <c:valAx>
        <c:axId val="14090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'HoE Chart (5-Act)'!$C$2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'HoE Chart (5-Act)'!$A$20:$A$48</c:f>
              <c:numCache>
                <c:formatCode>General</c:formatCode>
                <c:ptCount val="2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</c:numCache>
            </c:numRef>
          </c:cat>
          <c:val>
            <c:numRef>
              <c:f>'HoE Chart (5-Act)'!$C$20:$C$48</c:f>
              <c:numCache>
                <c:formatCode>0.00</c:formatCode>
                <c:ptCount val="29"/>
                <c:pt idx="0">
                  <c:v>-0.84375</c:v>
                </c:pt>
                <c:pt idx="1">
                  <c:v>-1.28125</c:v>
                </c:pt>
                <c:pt idx="2">
                  <c:v>-1</c:v>
                </c:pt>
                <c:pt idx="3">
                  <c:v>-0.84375</c:v>
                </c:pt>
                <c:pt idx="4">
                  <c:v>-0.6875</c:v>
                </c:pt>
                <c:pt idx="5">
                  <c:v>-0.625</c:v>
                </c:pt>
                <c:pt idx="6">
                  <c:v>-0.4375</c:v>
                </c:pt>
                <c:pt idx="7">
                  <c:v>-0.71875</c:v>
                </c:pt>
                <c:pt idx="8">
                  <c:v>-1.0625</c:v>
                </c:pt>
                <c:pt idx="9">
                  <c:v>-0.875</c:v>
                </c:pt>
                <c:pt idx="10">
                  <c:v>-0.40625</c:v>
                </c:pt>
                <c:pt idx="11">
                  <c:v>-0.71875</c:v>
                </c:pt>
                <c:pt idx="12">
                  <c:v>-0.5</c:v>
                </c:pt>
                <c:pt idx="13">
                  <c:v>-1.09375</c:v>
                </c:pt>
                <c:pt idx="14">
                  <c:v>-0.21875</c:v>
                </c:pt>
                <c:pt idx="15">
                  <c:v>-0.1875</c:v>
                </c:pt>
                <c:pt idx="16">
                  <c:v>-1.15625</c:v>
                </c:pt>
                <c:pt idx="17">
                  <c:v>-0.28125</c:v>
                </c:pt>
                <c:pt idx="18">
                  <c:v>-0.28125</c:v>
                </c:pt>
                <c:pt idx="19">
                  <c:v>-0.34375</c:v>
                </c:pt>
                <c:pt idx="20">
                  <c:v>-0.21875</c:v>
                </c:pt>
                <c:pt idx="21">
                  <c:v>-0.15625</c:v>
                </c:pt>
                <c:pt idx="22">
                  <c:v>-1.4375</c:v>
                </c:pt>
                <c:pt idx="23">
                  <c:v>-1.21875</c:v>
                </c:pt>
                <c:pt idx="24">
                  <c:v>-0.46875</c:v>
                </c:pt>
                <c:pt idx="25">
                  <c:v>-9.375E-2</c:v>
                </c:pt>
                <c:pt idx="26">
                  <c:v>-0.3125</c:v>
                </c:pt>
                <c:pt idx="27">
                  <c:v>-0.28125</c:v>
                </c:pt>
                <c:pt idx="28">
                  <c:v>-0.6875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D9-4697-90FE-24614AD9C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080208"/>
        <c:axId val="1409088368"/>
      </c:lineChart>
      <c:catAx>
        <c:axId val="140908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88368"/>
        <c:crosses val="autoZero"/>
        <c:auto val="1"/>
        <c:lblAlgn val="ctr"/>
        <c:lblOffset val="100"/>
        <c:noMultiLvlLbl val="0"/>
      </c:catAx>
      <c:valAx>
        <c:axId val="14090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8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'HoE Chart (5-Act)'!$B$2</c:f>
              <c:strCache>
                <c:ptCount val="1"/>
                <c:pt idx="0">
                  <c:v>Aptitude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'HoE Chart (5-Act)'!$A$49:$A$60</c:f>
              <c:numCache>
                <c:formatCode>General</c:formatCode>
                <c:ptCount val="12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</c:numCache>
            </c:numRef>
          </c:cat>
          <c:val>
            <c:numRef>
              <c:f>'HoE Chart (5-Act)'!$B$49:$B$60</c:f>
              <c:numCache>
                <c:formatCode>0.00</c:formatCode>
                <c:ptCount val="12"/>
                <c:pt idx="0">
                  <c:v>0.15625</c:v>
                </c:pt>
                <c:pt idx="1">
                  <c:v>-0.4375</c:v>
                </c:pt>
                <c:pt idx="2">
                  <c:v>-0.21875</c:v>
                </c:pt>
                <c:pt idx="3">
                  <c:v>-0.21875</c:v>
                </c:pt>
                <c:pt idx="4">
                  <c:v>-0.1875</c:v>
                </c:pt>
                <c:pt idx="5">
                  <c:v>-0.125</c:v>
                </c:pt>
                <c:pt idx="6">
                  <c:v>-0.46875</c:v>
                </c:pt>
                <c:pt idx="7">
                  <c:v>-0.625</c:v>
                </c:pt>
                <c:pt idx="8">
                  <c:v>0.5625</c:v>
                </c:pt>
                <c:pt idx="9">
                  <c:v>-0.125</c:v>
                </c:pt>
                <c:pt idx="10">
                  <c:v>-6.25E-2</c:v>
                </c:pt>
                <c:pt idx="11">
                  <c:v>-0.25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31-4149-9B01-085C3991B579}"/>
            </c:ext>
          </c:extLst>
        </c:ser>
        <c:ser>
          <c:idx val="4"/>
          <c:order val="1"/>
          <c:tx>
            <c:strRef>
              <c:f>'HoE Chart (5-Act)'!$C$2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'HoE Chart (5-Act)'!$A$49:$A$60</c:f>
              <c:numCache>
                <c:formatCode>General</c:formatCode>
                <c:ptCount val="12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</c:numCache>
            </c:numRef>
          </c:cat>
          <c:val>
            <c:numRef>
              <c:f>'HoE Chart (5-Act)'!$C$49:$C$60</c:f>
              <c:numCache>
                <c:formatCode>0.00</c:formatCode>
                <c:ptCount val="12"/>
                <c:pt idx="0">
                  <c:v>-3.125E-2</c:v>
                </c:pt>
                <c:pt idx="1">
                  <c:v>-0.5625</c:v>
                </c:pt>
                <c:pt idx="2">
                  <c:v>-0.5</c:v>
                </c:pt>
                <c:pt idx="3">
                  <c:v>-0.84375</c:v>
                </c:pt>
                <c:pt idx="4">
                  <c:v>-0.6875</c:v>
                </c:pt>
                <c:pt idx="5">
                  <c:v>-0.1875</c:v>
                </c:pt>
                <c:pt idx="6">
                  <c:v>-0.25</c:v>
                </c:pt>
                <c:pt idx="7">
                  <c:v>9.375E-2</c:v>
                </c:pt>
                <c:pt idx="8">
                  <c:v>9.375E-2</c:v>
                </c:pt>
                <c:pt idx="9">
                  <c:v>-9.375E-2</c:v>
                </c:pt>
                <c:pt idx="10">
                  <c:v>-0.4375</c:v>
                </c:pt>
                <c:pt idx="11">
                  <c:v>-0.75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31-4149-9B01-085C3991B579}"/>
            </c:ext>
          </c:extLst>
        </c:ser>
        <c:ser>
          <c:idx val="0"/>
          <c:order val="2"/>
          <c:tx>
            <c:strRef>
              <c:f>'HoE Chart (5-Act)'!$D$2</c:f>
              <c:strCache>
                <c:ptCount val="1"/>
                <c:pt idx="0">
                  <c:v>Pleasantness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'HoE Chart (5-Act)'!$A$49:$A$60</c:f>
              <c:numCache>
                <c:formatCode>General</c:formatCode>
                <c:ptCount val="12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</c:numCache>
            </c:numRef>
          </c:cat>
          <c:val>
            <c:numRef>
              <c:f>'HoE Chart (5-Act)'!$D$49:$D$60</c:f>
              <c:numCache>
                <c:formatCode>0.00</c:formatCode>
                <c:ptCount val="12"/>
                <c:pt idx="0">
                  <c:v>0.375</c:v>
                </c:pt>
                <c:pt idx="1">
                  <c:v>-0.28125</c:v>
                </c:pt>
                <c:pt idx="2">
                  <c:v>6.25E-2</c:v>
                </c:pt>
                <c:pt idx="3">
                  <c:v>0.125</c:v>
                </c:pt>
                <c:pt idx="4">
                  <c:v>-0.28125</c:v>
                </c:pt>
                <c:pt idx="5">
                  <c:v>-0.5625</c:v>
                </c:pt>
                <c:pt idx="6">
                  <c:v>-0.34375</c:v>
                </c:pt>
                <c:pt idx="7">
                  <c:v>-0.125</c:v>
                </c:pt>
                <c:pt idx="8">
                  <c:v>0.125</c:v>
                </c:pt>
                <c:pt idx="9">
                  <c:v>0.375</c:v>
                </c:pt>
                <c:pt idx="10">
                  <c:v>3.125E-2</c:v>
                </c:pt>
                <c:pt idx="11">
                  <c:v>-0.34375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31-4149-9B01-085C3991B579}"/>
            </c:ext>
          </c:extLst>
        </c:ser>
        <c:ser>
          <c:idx val="1"/>
          <c:order val="3"/>
          <c:tx>
            <c:strRef>
              <c:f>'HoE Chart (5-Act)'!$E$2</c:f>
              <c:strCache>
                <c:ptCount val="1"/>
                <c:pt idx="0">
                  <c:v>Sensitivity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'HoE Chart (5-Act)'!$A$49:$A$60</c:f>
              <c:numCache>
                <c:formatCode>General</c:formatCode>
                <c:ptCount val="12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</c:numCache>
            </c:numRef>
          </c:cat>
          <c:val>
            <c:numRef>
              <c:f>'HoE Chart (5-Act)'!$E$49:$E$60</c:f>
              <c:numCache>
                <c:formatCode>0.00</c:formatCode>
                <c:ptCount val="12"/>
                <c:pt idx="0">
                  <c:v>-0.78125</c:v>
                </c:pt>
                <c:pt idx="1">
                  <c:v>-1.15625</c:v>
                </c:pt>
                <c:pt idx="2">
                  <c:v>-1.34375</c:v>
                </c:pt>
                <c:pt idx="3">
                  <c:v>-1.03125</c:v>
                </c:pt>
                <c:pt idx="4">
                  <c:v>-0.28125</c:v>
                </c:pt>
                <c:pt idx="5">
                  <c:v>-0.78125</c:v>
                </c:pt>
                <c:pt idx="6">
                  <c:v>-0.1875</c:v>
                </c:pt>
                <c:pt idx="7">
                  <c:v>-0.5</c:v>
                </c:pt>
                <c:pt idx="8">
                  <c:v>-0.5</c:v>
                </c:pt>
                <c:pt idx="9">
                  <c:v>-0.9375</c:v>
                </c:pt>
                <c:pt idx="10">
                  <c:v>-1.15625</c:v>
                </c:pt>
                <c:pt idx="11">
                  <c:v>-1.59375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531-4149-9B01-085C3991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081840"/>
        <c:axId val="1409082928"/>
      </c:lineChart>
      <c:catAx>
        <c:axId val="14090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82928"/>
        <c:crosses val="autoZero"/>
        <c:auto val="1"/>
        <c:lblAlgn val="ctr"/>
        <c:lblOffset val="100"/>
        <c:noMultiLvlLbl val="0"/>
      </c:catAx>
      <c:valAx>
        <c:axId val="14090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'HoE Chart (5-Act)'!$B$2</c:f>
              <c:strCache>
                <c:ptCount val="1"/>
                <c:pt idx="0">
                  <c:v>Aptitude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'HoE Chart (5-Act)'!$A$49:$A$60</c:f>
              <c:numCache>
                <c:formatCode>General</c:formatCode>
                <c:ptCount val="12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</c:numCache>
            </c:numRef>
          </c:cat>
          <c:val>
            <c:numRef>
              <c:f>'HoE Chart (5-Act)'!$B$49:$B$60</c:f>
              <c:numCache>
                <c:formatCode>0.00</c:formatCode>
                <c:ptCount val="12"/>
                <c:pt idx="0">
                  <c:v>0.15625</c:v>
                </c:pt>
                <c:pt idx="1">
                  <c:v>-0.4375</c:v>
                </c:pt>
                <c:pt idx="2">
                  <c:v>-0.21875</c:v>
                </c:pt>
                <c:pt idx="3">
                  <c:v>-0.21875</c:v>
                </c:pt>
                <c:pt idx="4">
                  <c:v>-0.1875</c:v>
                </c:pt>
                <c:pt idx="5">
                  <c:v>-0.125</c:v>
                </c:pt>
                <c:pt idx="6">
                  <c:v>-0.46875</c:v>
                </c:pt>
                <c:pt idx="7">
                  <c:v>-0.625</c:v>
                </c:pt>
                <c:pt idx="8">
                  <c:v>0.5625</c:v>
                </c:pt>
                <c:pt idx="9">
                  <c:v>-0.125</c:v>
                </c:pt>
                <c:pt idx="10">
                  <c:v>-6.25E-2</c:v>
                </c:pt>
                <c:pt idx="11">
                  <c:v>-0.25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64-490F-9E92-02B355B5A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074768"/>
        <c:axId val="1409075312"/>
      </c:lineChart>
      <c:catAx>
        <c:axId val="140907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75312"/>
        <c:crosses val="autoZero"/>
        <c:auto val="1"/>
        <c:lblAlgn val="ctr"/>
        <c:lblOffset val="100"/>
        <c:noMultiLvlLbl val="0"/>
      </c:catAx>
      <c:valAx>
        <c:axId val="14090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7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'HoE Chart (5-Act)'!$C$2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'HoE Chart (5-Act)'!$A$49:$A$60</c:f>
              <c:numCache>
                <c:formatCode>General</c:formatCode>
                <c:ptCount val="12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</c:numCache>
            </c:numRef>
          </c:cat>
          <c:val>
            <c:numRef>
              <c:f>'HoE Chart (5-Act)'!$C$49:$C$60</c:f>
              <c:numCache>
                <c:formatCode>0.00</c:formatCode>
                <c:ptCount val="12"/>
                <c:pt idx="0">
                  <c:v>-3.125E-2</c:v>
                </c:pt>
                <c:pt idx="1">
                  <c:v>-0.5625</c:v>
                </c:pt>
                <c:pt idx="2">
                  <c:v>-0.5</c:v>
                </c:pt>
                <c:pt idx="3">
                  <c:v>-0.84375</c:v>
                </c:pt>
                <c:pt idx="4">
                  <c:v>-0.6875</c:v>
                </c:pt>
                <c:pt idx="5">
                  <c:v>-0.1875</c:v>
                </c:pt>
                <c:pt idx="6">
                  <c:v>-0.25</c:v>
                </c:pt>
                <c:pt idx="7">
                  <c:v>9.375E-2</c:v>
                </c:pt>
                <c:pt idx="8">
                  <c:v>9.375E-2</c:v>
                </c:pt>
                <c:pt idx="9">
                  <c:v>-9.375E-2</c:v>
                </c:pt>
                <c:pt idx="10">
                  <c:v>-0.4375</c:v>
                </c:pt>
                <c:pt idx="11">
                  <c:v>-0.75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7E-45EE-9D2D-BF9F362BD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070416"/>
        <c:axId val="1409086736"/>
      </c:lineChart>
      <c:catAx>
        <c:axId val="14090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86736"/>
        <c:crosses val="autoZero"/>
        <c:auto val="1"/>
        <c:lblAlgn val="ctr"/>
        <c:lblOffset val="100"/>
        <c:noMultiLvlLbl val="0"/>
      </c:catAx>
      <c:valAx>
        <c:axId val="14090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'HoE Chart (5-Act)'!$B$2</c:f>
              <c:strCache>
                <c:ptCount val="1"/>
                <c:pt idx="0">
                  <c:v>Aptitude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'HoE Chart (5-Act)'!$A$61:$A$74</c:f>
              <c:numCache>
                <c:formatCode>General</c:formatCode>
                <c:ptCount val="14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</c:numCache>
            </c:numRef>
          </c:cat>
          <c:val>
            <c:numRef>
              <c:f>'HoE Chart (5-Act)'!$B$61:$B$74</c:f>
              <c:numCache>
                <c:formatCode>0.00</c:formatCode>
                <c:ptCount val="14"/>
                <c:pt idx="0">
                  <c:v>-0.40625</c:v>
                </c:pt>
                <c:pt idx="1">
                  <c:v>0.40625</c:v>
                </c:pt>
                <c:pt idx="2">
                  <c:v>3.125E-2</c:v>
                </c:pt>
                <c:pt idx="3">
                  <c:v>-0.1875</c:v>
                </c:pt>
                <c:pt idx="4">
                  <c:v>-0.1875</c:v>
                </c:pt>
                <c:pt idx="5">
                  <c:v>-0.5625</c:v>
                </c:pt>
                <c:pt idx="6">
                  <c:v>-0.1875</c:v>
                </c:pt>
                <c:pt idx="7">
                  <c:v>-0.625</c:v>
                </c:pt>
                <c:pt idx="8">
                  <c:v>-0.53125</c:v>
                </c:pt>
                <c:pt idx="9">
                  <c:v>-0.4375</c:v>
                </c:pt>
                <c:pt idx="10">
                  <c:v>-0.53125</c:v>
                </c:pt>
                <c:pt idx="11">
                  <c:v>-0.375</c:v>
                </c:pt>
                <c:pt idx="12">
                  <c:v>-0.3125</c:v>
                </c:pt>
                <c:pt idx="13">
                  <c:v>-0.34375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19-4CC4-AFCB-A94FEBC98B78}"/>
            </c:ext>
          </c:extLst>
        </c:ser>
        <c:ser>
          <c:idx val="4"/>
          <c:order val="1"/>
          <c:tx>
            <c:strRef>
              <c:f>'HoE Chart (5-Act)'!$C$2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'HoE Chart (5-Act)'!$A$61:$A$74</c:f>
              <c:numCache>
                <c:formatCode>General</c:formatCode>
                <c:ptCount val="14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</c:numCache>
            </c:numRef>
          </c:cat>
          <c:val>
            <c:numRef>
              <c:f>'HoE Chart (5-Act)'!$C$61:$C$74</c:f>
              <c:numCache>
                <c:formatCode>0.00</c:formatCode>
                <c:ptCount val="14"/>
                <c:pt idx="0">
                  <c:v>0.1875</c:v>
                </c:pt>
                <c:pt idx="1">
                  <c:v>0.15625</c:v>
                </c:pt>
                <c:pt idx="2">
                  <c:v>-0.15625</c:v>
                </c:pt>
                <c:pt idx="3">
                  <c:v>-0.3125</c:v>
                </c:pt>
                <c:pt idx="4">
                  <c:v>-0.40625</c:v>
                </c:pt>
                <c:pt idx="5">
                  <c:v>-0.65625</c:v>
                </c:pt>
                <c:pt idx="6">
                  <c:v>-0.78125</c:v>
                </c:pt>
                <c:pt idx="7">
                  <c:v>-0.90625</c:v>
                </c:pt>
                <c:pt idx="8">
                  <c:v>-0.75</c:v>
                </c:pt>
                <c:pt idx="9">
                  <c:v>-1.09375</c:v>
                </c:pt>
                <c:pt idx="10">
                  <c:v>-0.625</c:v>
                </c:pt>
                <c:pt idx="11">
                  <c:v>-0.84375</c:v>
                </c:pt>
                <c:pt idx="12">
                  <c:v>-1</c:v>
                </c:pt>
                <c:pt idx="13">
                  <c:v>-1.09375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19-4CC4-AFCB-A94FEBC98B78}"/>
            </c:ext>
          </c:extLst>
        </c:ser>
        <c:ser>
          <c:idx val="0"/>
          <c:order val="2"/>
          <c:tx>
            <c:strRef>
              <c:f>'HoE Chart (5-Act)'!$D$2</c:f>
              <c:strCache>
                <c:ptCount val="1"/>
                <c:pt idx="0">
                  <c:v>Pleasantness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'HoE Chart (5-Act)'!$A$61:$A$74</c:f>
              <c:numCache>
                <c:formatCode>General</c:formatCode>
                <c:ptCount val="14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</c:numCache>
            </c:numRef>
          </c:cat>
          <c:val>
            <c:numRef>
              <c:f>'HoE Chart (5-Act)'!$D$61:$D$74</c:f>
              <c:numCache>
                <c:formatCode>0.00</c:formatCode>
                <c:ptCount val="14"/>
                <c:pt idx="0">
                  <c:v>-0.3125</c:v>
                </c:pt>
                <c:pt idx="1">
                  <c:v>0.90625</c:v>
                </c:pt>
                <c:pt idx="2">
                  <c:v>-0.21875</c:v>
                </c:pt>
                <c:pt idx="3">
                  <c:v>-0.40625</c:v>
                </c:pt>
                <c:pt idx="4">
                  <c:v>-0.40625</c:v>
                </c:pt>
                <c:pt idx="5">
                  <c:v>-0.5625</c:v>
                </c:pt>
                <c:pt idx="6">
                  <c:v>0.125</c:v>
                </c:pt>
                <c:pt idx="7">
                  <c:v>-0.625</c:v>
                </c:pt>
                <c:pt idx="8">
                  <c:v>-0.28125</c:v>
                </c:pt>
                <c:pt idx="9">
                  <c:v>-0.375</c:v>
                </c:pt>
                <c:pt idx="10">
                  <c:v>-0.53125</c:v>
                </c:pt>
                <c:pt idx="11">
                  <c:v>-0.28125</c:v>
                </c:pt>
                <c:pt idx="12">
                  <c:v>-0.15625</c:v>
                </c:pt>
                <c:pt idx="13">
                  <c:v>-0.28125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19-4CC4-AFCB-A94FEBC98B78}"/>
            </c:ext>
          </c:extLst>
        </c:ser>
        <c:ser>
          <c:idx val="1"/>
          <c:order val="3"/>
          <c:tx>
            <c:strRef>
              <c:f>'HoE Chart (5-Act)'!$E$2</c:f>
              <c:strCache>
                <c:ptCount val="1"/>
                <c:pt idx="0">
                  <c:v>Sensitivity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'HoE Chart (5-Act)'!$A$61:$A$74</c:f>
              <c:numCache>
                <c:formatCode>General</c:formatCode>
                <c:ptCount val="14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</c:numCache>
            </c:numRef>
          </c:cat>
          <c:val>
            <c:numRef>
              <c:f>'HoE Chart (5-Act)'!$E$61:$E$74</c:f>
              <c:numCache>
                <c:formatCode>0.00</c:formatCode>
                <c:ptCount val="14"/>
                <c:pt idx="0">
                  <c:v>0.375</c:v>
                </c:pt>
                <c:pt idx="1">
                  <c:v>-0.25</c:v>
                </c:pt>
                <c:pt idx="2">
                  <c:v>-0.6875</c:v>
                </c:pt>
                <c:pt idx="3">
                  <c:v>6.25E-2</c:v>
                </c:pt>
                <c:pt idx="4">
                  <c:v>-0.78125</c:v>
                </c:pt>
                <c:pt idx="5">
                  <c:v>-0.90625</c:v>
                </c:pt>
                <c:pt idx="6">
                  <c:v>-1.5</c:v>
                </c:pt>
                <c:pt idx="7">
                  <c:v>-1.75</c:v>
                </c:pt>
                <c:pt idx="8">
                  <c:v>-0.375</c:v>
                </c:pt>
                <c:pt idx="9">
                  <c:v>-1.625</c:v>
                </c:pt>
                <c:pt idx="10">
                  <c:v>-1.46875</c:v>
                </c:pt>
                <c:pt idx="11">
                  <c:v>-1.78125</c:v>
                </c:pt>
                <c:pt idx="12">
                  <c:v>-0.625</c:v>
                </c:pt>
                <c:pt idx="13">
                  <c:v>-0.84375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719-4CC4-AFCB-A94FEBC98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069872"/>
        <c:axId val="1409076400"/>
      </c:lineChart>
      <c:catAx>
        <c:axId val="140906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76400"/>
        <c:crosses val="autoZero"/>
        <c:auto val="1"/>
        <c:lblAlgn val="ctr"/>
        <c:lblOffset val="100"/>
        <c:noMultiLvlLbl val="0"/>
      </c:catAx>
      <c:valAx>
        <c:axId val="14090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6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'HoE Chart (5-Act)'!$B$2</c:f>
              <c:strCache>
                <c:ptCount val="1"/>
                <c:pt idx="0">
                  <c:v>Aptitude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'HoE Chart (5-Act)'!$A$61:$A$74</c:f>
              <c:numCache>
                <c:formatCode>General</c:formatCode>
                <c:ptCount val="14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</c:numCache>
            </c:numRef>
          </c:cat>
          <c:val>
            <c:numRef>
              <c:f>'HoE Chart (5-Act)'!$B$61:$B$74</c:f>
              <c:numCache>
                <c:formatCode>0.00</c:formatCode>
                <c:ptCount val="14"/>
                <c:pt idx="0">
                  <c:v>-0.40625</c:v>
                </c:pt>
                <c:pt idx="1">
                  <c:v>0.40625</c:v>
                </c:pt>
                <c:pt idx="2">
                  <c:v>3.125E-2</c:v>
                </c:pt>
                <c:pt idx="3">
                  <c:v>-0.1875</c:v>
                </c:pt>
                <c:pt idx="4">
                  <c:v>-0.1875</c:v>
                </c:pt>
                <c:pt idx="5">
                  <c:v>-0.5625</c:v>
                </c:pt>
                <c:pt idx="6">
                  <c:v>-0.1875</c:v>
                </c:pt>
                <c:pt idx="7">
                  <c:v>-0.625</c:v>
                </c:pt>
                <c:pt idx="8">
                  <c:v>-0.53125</c:v>
                </c:pt>
                <c:pt idx="9">
                  <c:v>-0.4375</c:v>
                </c:pt>
                <c:pt idx="10">
                  <c:v>-0.53125</c:v>
                </c:pt>
                <c:pt idx="11">
                  <c:v>-0.375</c:v>
                </c:pt>
                <c:pt idx="12">
                  <c:v>-0.3125</c:v>
                </c:pt>
                <c:pt idx="13">
                  <c:v>-0.34375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62-432C-9E13-54266375A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088912"/>
        <c:axId val="1409061168"/>
      </c:lineChart>
      <c:catAx>
        <c:axId val="14090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61168"/>
        <c:crosses val="autoZero"/>
        <c:auto val="1"/>
        <c:lblAlgn val="ctr"/>
        <c:lblOffset val="100"/>
        <c:noMultiLvlLbl val="0"/>
      </c:catAx>
      <c:valAx>
        <c:axId val="14090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BaseFeat_ELR!$R$186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BaseFeat_ELR!$O$187:$P$211</c:f>
              <c:multiLvlStrCache>
                <c:ptCount val="25"/>
                <c:lvl>
                  <c:pt idx="0">
                    <c:v>ALL</c:v>
                  </c:pt>
                  <c:pt idx="1">
                    <c:v>RF1</c:v>
                  </c:pt>
                  <c:pt idx="2">
                    <c:v>RF2</c:v>
                  </c:pt>
                  <c:pt idx="3">
                    <c:v>RF3</c:v>
                  </c:pt>
                  <c:pt idx="4">
                    <c:v>RF4</c:v>
                  </c:pt>
                  <c:pt idx="5">
                    <c:v>ALL</c:v>
                  </c:pt>
                  <c:pt idx="6">
                    <c:v>RF1</c:v>
                  </c:pt>
                  <c:pt idx="7">
                    <c:v>RF2</c:v>
                  </c:pt>
                  <c:pt idx="8">
                    <c:v>RF3</c:v>
                  </c:pt>
                  <c:pt idx="9">
                    <c:v>RF4</c:v>
                  </c:pt>
                  <c:pt idx="10">
                    <c:v>ALL</c:v>
                  </c:pt>
                  <c:pt idx="11">
                    <c:v>RF1</c:v>
                  </c:pt>
                  <c:pt idx="12">
                    <c:v>RF2</c:v>
                  </c:pt>
                  <c:pt idx="13">
                    <c:v>RF3</c:v>
                  </c:pt>
                  <c:pt idx="14">
                    <c:v>RF4</c:v>
                  </c:pt>
                  <c:pt idx="15">
                    <c:v>ALL</c:v>
                  </c:pt>
                  <c:pt idx="16">
                    <c:v>RF1</c:v>
                  </c:pt>
                  <c:pt idx="17">
                    <c:v>RF2</c:v>
                  </c:pt>
                  <c:pt idx="18">
                    <c:v>RF3</c:v>
                  </c:pt>
                  <c:pt idx="19">
                    <c:v>RF4</c:v>
                  </c:pt>
                  <c:pt idx="20">
                    <c:v>ALL</c:v>
                  </c:pt>
                  <c:pt idx="21">
                    <c:v>RF1</c:v>
                  </c:pt>
                  <c:pt idx="22">
                    <c:v>RF2</c:v>
                  </c:pt>
                  <c:pt idx="23">
                    <c:v>RF3</c:v>
                  </c:pt>
                  <c:pt idx="24">
                    <c:v>RF4</c:v>
                  </c:pt>
                </c:lvl>
                <c:lvl>
                  <c:pt idx="0">
                    <c:v>AE</c:v>
                  </c:pt>
                  <c:pt idx="5">
                    <c:v>EV</c:v>
                  </c:pt>
                  <c:pt idx="10">
                    <c:v>NA</c:v>
                  </c:pt>
                  <c:pt idx="15">
                    <c:v>OT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BaseFeat_ELR!$R$187:$R$211</c:f>
              <c:numCache>
                <c:formatCode>0.00</c:formatCode>
                <c:ptCount val="25"/>
                <c:pt idx="0">
                  <c:v>43.35</c:v>
                </c:pt>
                <c:pt idx="1">
                  <c:v>49.12</c:v>
                </c:pt>
                <c:pt idx="2">
                  <c:v>37.119999999999997</c:v>
                </c:pt>
                <c:pt idx="3">
                  <c:v>46.33</c:v>
                </c:pt>
                <c:pt idx="4">
                  <c:v>7.39</c:v>
                </c:pt>
                <c:pt idx="5">
                  <c:v>31.64</c:v>
                </c:pt>
                <c:pt idx="6">
                  <c:v>20.52</c:v>
                </c:pt>
                <c:pt idx="7">
                  <c:v>41.35</c:v>
                </c:pt>
                <c:pt idx="8">
                  <c:v>46</c:v>
                </c:pt>
                <c:pt idx="9">
                  <c:v>21.13</c:v>
                </c:pt>
                <c:pt idx="10">
                  <c:v>51.86</c:v>
                </c:pt>
                <c:pt idx="11">
                  <c:v>40.68</c:v>
                </c:pt>
                <c:pt idx="12">
                  <c:v>75.81</c:v>
                </c:pt>
                <c:pt idx="13">
                  <c:v>37.72</c:v>
                </c:pt>
                <c:pt idx="14">
                  <c:v>62.09</c:v>
                </c:pt>
                <c:pt idx="15">
                  <c:v>49.46</c:v>
                </c:pt>
                <c:pt idx="16">
                  <c:v>49.77</c:v>
                </c:pt>
                <c:pt idx="17">
                  <c:v>48.79</c:v>
                </c:pt>
                <c:pt idx="18">
                  <c:v>49.68</c:v>
                </c:pt>
                <c:pt idx="19">
                  <c:v>48.82</c:v>
                </c:pt>
                <c:pt idx="20">
                  <c:v>44.077500000000001</c:v>
                </c:pt>
                <c:pt idx="21">
                  <c:v>40.022500000000001</c:v>
                </c:pt>
                <c:pt idx="22">
                  <c:v>50.767499999999998</c:v>
                </c:pt>
                <c:pt idx="23">
                  <c:v>44.932500000000005</c:v>
                </c:pt>
                <c:pt idx="24">
                  <c:v>34.857500000000002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DD-4DD1-B164-0A7820674343}"/>
            </c:ext>
          </c:extLst>
        </c:ser>
        <c:ser>
          <c:idx val="2"/>
          <c:order val="2"/>
          <c:tx>
            <c:strRef>
              <c:f>BaseFeat_ELR!$S$186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BaseFeat_ELR!$O$187:$P$211</c:f>
              <c:multiLvlStrCache>
                <c:ptCount val="25"/>
                <c:lvl>
                  <c:pt idx="0">
                    <c:v>ALL</c:v>
                  </c:pt>
                  <c:pt idx="1">
                    <c:v>RF1</c:v>
                  </c:pt>
                  <c:pt idx="2">
                    <c:v>RF2</c:v>
                  </c:pt>
                  <c:pt idx="3">
                    <c:v>RF3</c:v>
                  </c:pt>
                  <c:pt idx="4">
                    <c:v>RF4</c:v>
                  </c:pt>
                  <c:pt idx="5">
                    <c:v>ALL</c:v>
                  </c:pt>
                  <c:pt idx="6">
                    <c:v>RF1</c:v>
                  </c:pt>
                  <c:pt idx="7">
                    <c:v>RF2</c:v>
                  </c:pt>
                  <c:pt idx="8">
                    <c:v>RF3</c:v>
                  </c:pt>
                  <c:pt idx="9">
                    <c:v>RF4</c:v>
                  </c:pt>
                  <c:pt idx="10">
                    <c:v>ALL</c:v>
                  </c:pt>
                  <c:pt idx="11">
                    <c:v>RF1</c:v>
                  </c:pt>
                  <c:pt idx="12">
                    <c:v>RF2</c:v>
                  </c:pt>
                  <c:pt idx="13">
                    <c:v>RF3</c:v>
                  </c:pt>
                  <c:pt idx="14">
                    <c:v>RF4</c:v>
                  </c:pt>
                  <c:pt idx="15">
                    <c:v>ALL</c:v>
                  </c:pt>
                  <c:pt idx="16">
                    <c:v>RF1</c:v>
                  </c:pt>
                  <c:pt idx="17">
                    <c:v>RF2</c:v>
                  </c:pt>
                  <c:pt idx="18">
                    <c:v>RF3</c:v>
                  </c:pt>
                  <c:pt idx="19">
                    <c:v>RF4</c:v>
                  </c:pt>
                  <c:pt idx="20">
                    <c:v>ALL</c:v>
                  </c:pt>
                  <c:pt idx="21">
                    <c:v>RF1</c:v>
                  </c:pt>
                  <c:pt idx="22">
                    <c:v>RF2</c:v>
                  </c:pt>
                  <c:pt idx="23">
                    <c:v>RF3</c:v>
                  </c:pt>
                  <c:pt idx="24">
                    <c:v>RF4</c:v>
                  </c:pt>
                </c:lvl>
                <c:lvl>
                  <c:pt idx="0">
                    <c:v>AE</c:v>
                  </c:pt>
                  <c:pt idx="5">
                    <c:v>EV</c:v>
                  </c:pt>
                  <c:pt idx="10">
                    <c:v>NA</c:v>
                  </c:pt>
                  <c:pt idx="15">
                    <c:v>OT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BaseFeat_ELR!$S$187:$S$211</c:f>
              <c:numCache>
                <c:formatCode>0.00</c:formatCode>
                <c:ptCount val="25"/>
                <c:pt idx="0">
                  <c:v>50</c:v>
                </c:pt>
                <c:pt idx="1">
                  <c:v>48.17</c:v>
                </c:pt>
                <c:pt idx="2">
                  <c:v>32.22</c:v>
                </c:pt>
                <c:pt idx="3">
                  <c:v>49.99</c:v>
                </c:pt>
                <c:pt idx="4">
                  <c:v>50</c:v>
                </c:pt>
                <c:pt idx="5">
                  <c:v>49.99</c:v>
                </c:pt>
                <c:pt idx="6">
                  <c:v>50</c:v>
                </c:pt>
                <c:pt idx="7">
                  <c:v>40.69</c:v>
                </c:pt>
                <c:pt idx="8">
                  <c:v>45.35</c:v>
                </c:pt>
                <c:pt idx="9">
                  <c:v>50</c:v>
                </c:pt>
                <c:pt idx="10">
                  <c:v>51.75</c:v>
                </c:pt>
                <c:pt idx="11">
                  <c:v>39.450000000000003</c:v>
                </c:pt>
                <c:pt idx="12">
                  <c:v>78.8</c:v>
                </c:pt>
                <c:pt idx="13">
                  <c:v>23.16</c:v>
                </c:pt>
                <c:pt idx="14">
                  <c:v>62.24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23.19</c:v>
                </c:pt>
                <c:pt idx="20">
                  <c:v>50.435000000000002</c:v>
                </c:pt>
                <c:pt idx="21">
                  <c:v>46.905000000000001</c:v>
                </c:pt>
                <c:pt idx="22">
                  <c:v>50.427499999999995</c:v>
                </c:pt>
                <c:pt idx="23">
                  <c:v>42.125</c:v>
                </c:pt>
                <c:pt idx="24">
                  <c:v>46.357500000000002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DD-4DD1-B164-0A7820674343}"/>
            </c:ext>
          </c:extLst>
        </c:ser>
        <c:ser>
          <c:idx val="3"/>
          <c:order val="3"/>
          <c:tx>
            <c:strRef>
              <c:f>BaseFeat_ELR!$T$186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BaseFeat_ELR!$O$187:$P$211</c:f>
              <c:multiLvlStrCache>
                <c:ptCount val="25"/>
                <c:lvl>
                  <c:pt idx="0">
                    <c:v>ALL</c:v>
                  </c:pt>
                  <c:pt idx="1">
                    <c:v>RF1</c:v>
                  </c:pt>
                  <c:pt idx="2">
                    <c:v>RF2</c:v>
                  </c:pt>
                  <c:pt idx="3">
                    <c:v>RF3</c:v>
                  </c:pt>
                  <c:pt idx="4">
                    <c:v>RF4</c:v>
                  </c:pt>
                  <c:pt idx="5">
                    <c:v>ALL</c:v>
                  </c:pt>
                  <c:pt idx="6">
                    <c:v>RF1</c:v>
                  </c:pt>
                  <c:pt idx="7">
                    <c:v>RF2</c:v>
                  </c:pt>
                  <c:pt idx="8">
                    <c:v>RF3</c:v>
                  </c:pt>
                  <c:pt idx="9">
                    <c:v>RF4</c:v>
                  </c:pt>
                  <c:pt idx="10">
                    <c:v>ALL</c:v>
                  </c:pt>
                  <c:pt idx="11">
                    <c:v>RF1</c:v>
                  </c:pt>
                  <c:pt idx="12">
                    <c:v>RF2</c:v>
                  </c:pt>
                  <c:pt idx="13">
                    <c:v>RF3</c:v>
                  </c:pt>
                  <c:pt idx="14">
                    <c:v>RF4</c:v>
                  </c:pt>
                  <c:pt idx="15">
                    <c:v>ALL</c:v>
                  </c:pt>
                  <c:pt idx="16">
                    <c:v>RF1</c:v>
                  </c:pt>
                  <c:pt idx="17">
                    <c:v>RF2</c:v>
                  </c:pt>
                  <c:pt idx="18">
                    <c:v>RF3</c:v>
                  </c:pt>
                  <c:pt idx="19">
                    <c:v>RF4</c:v>
                  </c:pt>
                  <c:pt idx="20">
                    <c:v>ALL</c:v>
                  </c:pt>
                  <c:pt idx="21">
                    <c:v>RF1</c:v>
                  </c:pt>
                  <c:pt idx="22">
                    <c:v>RF2</c:v>
                  </c:pt>
                  <c:pt idx="23">
                    <c:v>RF3</c:v>
                  </c:pt>
                  <c:pt idx="24">
                    <c:v>RF4</c:v>
                  </c:pt>
                </c:lvl>
                <c:lvl>
                  <c:pt idx="0">
                    <c:v>AE</c:v>
                  </c:pt>
                  <c:pt idx="5">
                    <c:v>EV</c:v>
                  </c:pt>
                  <c:pt idx="10">
                    <c:v>NA</c:v>
                  </c:pt>
                  <c:pt idx="15">
                    <c:v>OT</c:v>
                  </c:pt>
                  <c:pt idx="20">
                    <c:v>AVG</c:v>
                  </c:pt>
                </c:lvl>
              </c:multiLvlStrCache>
            </c:multiLvlStrRef>
          </c:cat>
          <c:val>
            <c:numRef>
              <c:f>BaseFeat_ELR!$T$187:$T$211</c:f>
              <c:numCache>
                <c:formatCode>0.00</c:formatCode>
                <c:ptCount val="25"/>
                <c:pt idx="0">
                  <c:v>46.438136047134442</c:v>
                </c:pt>
                <c:pt idx="1">
                  <c:v>48.640361804913148</c:v>
                </c:pt>
                <c:pt idx="2">
                  <c:v>34.496867608883761</c:v>
                </c:pt>
                <c:pt idx="3">
                  <c:v>48.090463039867117</c:v>
                </c:pt>
                <c:pt idx="4">
                  <c:v>12.87680780623802</c:v>
                </c:pt>
                <c:pt idx="5">
                  <c:v>38.752507656498842</c:v>
                </c:pt>
                <c:pt idx="6">
                  <c:v>29.098128190584234</c:v>
                </c:pt>
                <c:pt idx="7">
                  <c:v>41.017345197464657</c:v>
                </c:pt>
                <c:pt idx="8">
                  <c:v>45.672687465790915</c:v>
                </c:pt>
                <c:pt idx="9">
                  <c:v>29.706171798116127</c:v>
                </c:pt>
                <c:pt idx="10">
                  <c:v>51.804941607952905</c:v>
                </c:pt>
                <c:pt idx="11">
                  <c:v>40.05555971546238</c:v>
                </c:pt>
                <c:pt idx="12">
                  <c:v>77.276088221977872</c:v>
                </c:pt>
                <c:pt idx="13">
                  <c:v>28.69892247043364</c:v>
                </c:pt>
                <c:pt idx="14">
                  <c:v>62.164909515000403</c:v>
                </c:pt>
                <c:pt idx="15">
                  <c:v>49.728534084053884</c:v>
                </c:pt>
                <c:pt idx="16">
                  <c:v>49.884734890247564</c:v>
                </c:pt>
                <c:pt idx="17">
                  <c:v>49.387589837028045</c:v>
                </c:pt>
                <c:pt idx="18">
                  <c:v>49.839486356340288</c:v>
                </c:pt>
                <c:pt idx="19">
                  <c:v>31.443849465352034</c:v>
                </c:pt>
                <c:pt idx="20">
                  <c:v>46.681029848910015</c:v>
                </c:pt>
                <c:pt idx="21">
                  <c:v>41.919696150301831</c:v>
                </c:pt>
                <c:pt idx="22">
                  <c:v>50.544472716338575</c:v>
                </c:pt>
                <c:pt idx="23">
                  <c:v>43.075389833107991</c:v>
                </c:pt>
                <c:pt idx="24">
                  <c:v>34.04793464617665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DDD-4DD1-B164-0A782067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251104"/>
        <c:axId val="201299347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BaseFeat_ELR!$Q$186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BaseFeat_ELR!$O$187:$P$211</c15:sqref>
                        </c15:formulaRef>
                      </c:ext>
                    </c:extLst>
                    <c:multiLvlStrCache>
                      <c:ptCount val="25"/>
                      <c:lvl>
                        <c:pt idx="0">
                          <c:v>ALL</c:v>
                        </c:pt>
                        <c:pt idx="1">
                          <c:v>RF1</c:v>
                        </c:pt>
                        <c:pt idx="2">
                          <c:v>RF2</c:v>
                        </c:pt>
                        <c:pt idx="3">
                          <c:v>RF3</c:v>
                        </c:pt>
                        <c:pt idx="4">
                          <c:v>RF4</c:v>
                        </c:pt>
                        <c:pt idx="5">
                          <c:v>ALL</c:v>
                        </c:pt>
                        <c:pt idx="6">
                          <c:v>RF1</c:v>
                        </c:pt>
                        <c:pt idx="7">
                          <c:v>RF2</c:v>
                        </c:pt>
                        <c:pt idx="8">
                          <c:v>RF3</c:v>
                        </c:pt>
                        <c:pt idx="9">
                          <c:v>RF4</c:v>
                        </c:pt>
                        <c:pt idx="10">
                          <c:v>ALL</c:v>
                        </c:pt>
                        <c:pt idx="11">
                          <c:v>RF1</c:v>
                        </c:pt>
                        <c:pt idx="12">
                          <c:v>RF2</c:v>
                        </c:pt>
                        <c:pt idx="13">
                          <c:v>RF3</c:v>
                        </c:pt>
                        <c:pt idx="14">
                          <c:v>RF4</c:v>
                        </c:pt>
                        <c:pt idx="15">
                          <c:v>ALL</c:v>
                        </c:pt>
                        <c:pt idx="16">
                          <c:v>RF1</c:v>
                        </c:pt>
                        <c:pt idx="17">
                          <c:v>RF2</c:v>
                        </c:pt>
                        <c:pt idx="18">
                          <c:v>RF3</c:v>
                        </c:pt>
                        <c:pt idx="19">
                          <c:v>RF4</c:v>
                        </c:pt>
                        <c:pt idx="20">
                          <c:v>ALL</c:v>
                        </c:pt>
                        <c:pt idx="21">
                          <c:v>RF1</c:v>
                        </c:pt>
                        <c:pt idx="22">
                          <c:v>RF2</c:v>
                        </c:pt>
                        <c:pt idx="23">
                          <c:v>RF3</c:v>
                        </c:pt>
                        <c:pt idx="24">
                          <c:v>RF4</c:v>
                        </c:pt>
                      </c:lvl>
                      <c:lvl>
                        <c:pt idx="0">
                          <c:v>AE</c:v>
                        </c:pt>
                        <c:pt idx="5">
                          <c:v>EV</c:v>
                        </c:pt>
                        <c:pt idx="10">
                          <c:v>NA</c:v>
                        </c:pt>
                        <c:pt idx="15">
                          <c:v>OT</c:v>
                        </c:pt>
                        <c:pt idx="20">
                          <c:v>AVG</c:v>
                        </c:pt>
                      </c:lvl>
                    </c:multiLvlStrCache>
                  </c:multiLvl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BaseFeat_ELR!$Q$187:$Q$211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86.7</c:v>
                      </c:pt>
                      <c:pt idx="1">
                        <c:v>36.74</c:v>
                      </c:pt>
                      <c:pt idx="2">
                        <c:v>31.65</c:v>
                      </c:pt>
                      <c:pt idx="3">
                        <c:v>92.64</c:v>
                      </c:pt>
                      <c:pt idx="4">
                        <c:v>14.78</c:v>
                      </c:pt>
                      <c:pt idx="5">
                        <c:v>63.27</c:v>
                      </c:pt>
                      <c:pt idx="6">
                        <c:v>41.04</c:v>
                      </c:pt>
                      <c:pt idx="7">
                        <c:v>38.04</c:v>
                      </c:pt>
                      <c:pt idx="8">
                        <c:v>47.27</c:v>
                      </c:pt>
                      <c:pt idx="9">
                        <c:v>42.27</c:v>
                      </c:pt>
                      <c:pt idx="10">
                        <c:v>56.62</c:v>
                      </c:pt>
                      <c:pt idx="11">
                        <c:v>48.41</c:v>
                      </c:pt>
                      <c:pt idx="12">
                        <c:v>78.760000000000005</c:v>
                      </c:pt>
                      <c:pt idx="13">
                        <c:v>40.26</c:v>
                      </c:pt>
                      <c:pt idx="14">
                        <c:v>62.98</c:v>
                      </c:pt>
                      <c:pt idx="15">
                        <c:v>98.91</c:v>
                      </c:pt>
                      <c:pt idx="16">
                        <c:v>99.54</c:v>
                      </c:pt>
                      <c:pt idx="17">
                        <c:v>97.58</c:v>
                      </c:pt>
                      <c:pt idx="18">
                        <c:v>99.35</c:v>
                      </c:pt>
                      <c:pt idx="19">
                        <c:v>45.86</c:v>
                      </c:pt>
                      <c:pt idx="20">
                        <c:v>76.375</c:v>
                      </c:pt>
                      <c:pt idx="21">
                        <c:v>56.432500000000005</c:v>
                      </c:pt>
                      <c:pt idx="22">
                        <c:v>61.507499999999993</c:v>
                      </c:pt>
                      <c:pt idx="23">
                        <c:v>69.88</c:v>
                      </c:pt>
                      <c:pt idx="24">
                        <c:v>41.472499999999997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BDDD-4DD1-B164-0A7820674343}"/>
                  </c:ext>
                </c:extLst>
              </c15:ser>
            </c15:filteredBarSeries>
          </c:ext>
        </c:extLst>
      </c:barChart>
      <c:catAx>
        <c:axId val="134425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93472"/>
        <c:crosses val="autoZero"/>
        <c:auto val="1"/>
        <c:lblAlgn val="ctr"/>
        <c:lblOffset val="100"/>
        <c:noMultiLvlLbl val="0"/>
      </c:catAx>
      <c:valAx>
        <c:axId val="20129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5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'HoE Chart (5-Act)'!$C$2</c:f>
              <c:strCache>
                <c:ptCount val="1"/>
                <c:pt idx="0">
                  <c:v>Attention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'HoE Chart (5-Act)'!$A$61:$A$74</c:f>
              <c:numCache>
                <c:formatCode>General</c:formatCode>
                <c:ptCount val="14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</c:numCache>
            </c:numRef>
          </c:cat>
          <c:val>
            <c:numRef>
              <c:f>'HoE Chart (5-Act)'!$C$61:$C$74</c:f>
              <c:numCache>
                <c:formatCode>0.00</c:formatCode>
                <c:ptCount val="14"/>
                <c:pt idx="0">
                  <c:v>0.1875</c:v>
                </c:pt>
                <c:pt idx="1">
                  <c:v>0.15625</c:v>
                </c:pt>
                <c:pt idx="2">
                  <c:v>-0.15625</c:v>
                </c:pt>
                <c:pt idx="3">
                  <c:v>-0.3125</c:v>
                </c:pt>
                <c:pt idx="4">
                  <c:v>-0.40625</c:v>
                </c:pt>
                <c:pt idx="5">
                  <c:v>-0.65625</c:v>
                </c:pt>
                <c:pt idx="6">
                  <c:v>-0.78125</c:v>
                </c:pt>
                <c:pt idx="7">
                  <c:v>-0.90625</c:v>
                </c:pt>
                <c:pt idx="8">
                  <c:v>-0.75</c:v>
                </c:pt>
                <c:pt idx="9">
                  <c:v>-1.09375</c:v>
                </c:pt>
                <c:pt idx="10">
                  <c:v>-0.625</c:v>
                </c:pt>
                <c:pt idx="11">
                  <c:v>-0.84375</c:v>
                </c:pt>
                <c:pt idx="12">
                  <c:v>-1</c:v>
                </c:pt>
                <c:pt idx="13">
                  <c:v>-1.09375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59-4EF8-9BFC-56FFEC52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078032"/>
        <c:axId val="1409079664"/>
      </c:lineChart>
      <c:catAx>
        <c:axId val="14090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79664"/>
        <c:crosses val="autoZero"/>
        <c:auto val="1"/>
        <c:lblAlgn val="ctr"/>
        <c:lblOffset val="100"/>
        <c:noMultiLvlLbl val="0"/>
      </c:catAx>
      <c:valAx>
        <c:axId val="14090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'HoE Chart (5-Act)'!$D$2</c:f>
              <c:strCache>
                <c:ptCount val="1"/>
                <c:pt idx="0">
                  <c:v>Pleasantness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'HoE Chart (5-Act)'!$A$3:$A$19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'HoE Chart (5-Act)'!$D$3:$D$19</c:f>
              <c:numCache>
                <c:formatCode>0.00</c:formatCode>
                <c:ptCount val="17"/>
                <c:pt idx="0">
                  <c:v>-0.375</c:v>
                </c:pt>
                <c:pt idx="1">
                  <c:v>0.21875</c:v>
                </c:pt>
                <c:pt idx="2">
                  <c:v>-0.125</c:v>
                </c:pt>
                <c:pt idx="3">
                  <c:v>1.21875</c:v>
                </c:pt>
                <c:pt idx="4">
                  <c:v>0.59375</c:v>
                </c:pt>
                <c:pt idx="5">
                  <c:v>0.3125</c:v>
                </c:pt>
                <c:pt idx="6">
                  <c:v>-0.4375</c:v>
                </c:pt>
                <c:pt idx="7">
                  <c:v>3.125E-2</c:v>
                </c:pt>
                <c:pt idx="8">
                  <c:v>0.59375</c:v>
                </c:pt>
                <c:pt idx="9">
                  <c:v>0.53125</c:v>
                </c:pt>
                <c:pt idx="10">
                  <c:v>0.59375</c:v>
                </c:pt>
                <c:pt idx="11">
                  <c:v>1.78125</c:v>
                </c:pt>
                <c:pt idx="12">
                  <c:v>0.53125</c:v>
                </c:pt>
                <c:pt idx="13">
                  <c:v>-0.5</c:v>
                </c:pt>
                <c:pt idx="14">
                  <c:v>0.28125</c:v>
                </c:pt>
                <c:pt idx="15">
                  <c:v>-0.6875</c:v>
                </c:pt>
                <c:pt idx="16">
                  <c:v>0.65625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F4-4B0A-BAB5-D051CB221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092176"/>
        <c:axId val="1409060080"/>
      </c:lineChart>
      <c:catAx>
        <c:axId val="140909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60080"/>
        <c:crosses val="autoZero"/>
        <c:auto val="1"/>
        <c:lblAlgn val="ctr"/>
        <c:lblOffset val="100"/>
        <c:noMultiLvlLbl val="0"/>
      </c:catAx>
      <c:valAx>
        <c:axId val="14090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'HoE Chart (5-Act)'!$E$2</c:f>
              <c:strCache>
                <c:ptCount val="1"/>
                <c:pt idx="0">
                  <c:v>Sensitivity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'HoE Chart (5-Act)'!$A$3:$A$19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'HoE Chart (5-Act)'!$E$3:$E$19</c:f>
              <c:numCache>
                <c:formatCode>0.00</c:formatCode>
                <c:ptCount val="17"/>
                <c:pt idx="0">
                  <c:v>-0.75</c:v>
                </c:pt>
                <c:pt idx="1">
                  <c:v>-0.875</c:v>
                </c:pt>
                <c:pt idx="2">
                  <c:v>-0.8125</c:v>
                </c:pt>
                <c:pt idx="3">
                  <c:v>-1.15625</c:v>
                </c:pt>
                <c:pt idx="4">
                  <c:v>-1.3125</c:v>
                </c:pt>
                <c:pt idx="5">
                  <c:v>-1.0625</c:v>
                </c:pt>
                <c:pt idx="6">
                  <c:v>-0.9375</c:v>
                </c:pt>
                <c:pt idx="7">
                  <c:v>-1.09375</c:v>
                </c:pt>
                <c:pt idx="8">
                  <c:v>-0.78125</c:v>
                </c:pt>
                <c:pt idx="9">
                  <c:v>-1.25</c:v>
                </c:pt>
                <c:pt idx="10">
                  <c:v>-1.5625</c:v>
                </c:pt>
                <c:pt idx="11">
                  <c:v>-0.78125</c:v>
                </c:pt>
                <c:pt idx="12">
                  <c:v>-0.40625</c:v>
                </c:pt>
                <c:pt idx="13">
                  <c:v>-0.375</c:v>
                </c:pt>
                <c:pt idx="14">
                  <c:v>-0.53125</c:v>
                </c:pt>
                <c:pt idx="15">
                  <c:v>-0.6875</c:v>
                </c:pt>
                <c:pt idx="16">
                  <c:v>-1.28125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7B-49FA-81D8-1F3878441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9064976"/>
        <c:axId val="1409066064"/>
      </c:lineChart>
      <c:catAx>
        <c:axId val="140906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66064"/>
        <c:crosses val="autoZero"/>
        <c:auto val="1"/>
        <c:lblAlgn val="ctr"/>
        <c:lblOffset val="100"/>
        <c:noMultiLvlLbl val="0"/>
      </c:catAx>
      <c:valAx>
        <c:axId val="14090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6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'HoE Chart (5-Act)'!$D$2</c:f>
              <c:strCache>
                <c:ptCount val="1"/>
                <c:pt idx="0">
                  <c:v>Pleasantness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'HoE Chart (5-Act)'!$A$20:$A$48</c:f>
              <c:numCache>
                <c:formatCode>General</c:formatCode>
                <c:ptCount val="2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</c:numCache>
            </c:numRef>
          </c:cat>
          <c:val>
            <c:numRef>
              <c:f>'HoE Chart (5-Act)'!$D$20:$D$48</c:f>
              <c:numCache>
                <c:formatCode>0.00</c:formatCode>
                <c:ptCount val="29"/>
                <c:pt idx="0">
                  <c:v>0.5625</c:v>
                </c:pt>
                <c:pt idx="1">
                  <c:v>0.4375</c:v>
                </c:pt>
                <c:pt idx="2">
                  <c:v>-0.5625</c:v>
                </c:pt>
                <c:pt idx="3">
                  <c:v>-0.4375</c:v>
                </c:pt>
                <c:pt idx="4">
                  <c:v>0.125</c:v>
                </c:pt>
                <c:pt idx="5">
                  <c:v>-0.75</c:v>
                </c:pt>
                <c:pt idx="6">
                  <c:v>0.15625</c:v>
                </c:pt>
                <c:pt idx="7">
                  <c:v>0.71875</c:v>
                </c:pt>
                <c:pt idx="8">
                  <c:v>0.25</c:v>
                </c:pt>
                <c:pt idx="9">
                  <c:v>0.6875</c:v>
                </c:pt>
                <c:pt idx="10">
                  <c:v>0.25</c:v>
                </c:pt>
                <c:pt idx="11">
                  <c:v>0.59375</c:v>
                </c:pt>
                <c:pt idx="12">
                  <c:v>0.71875</c:v>
                </c:pt>
                <c:pt idx="13">
                  <c:v>0.21875</c:v>
                </c:pt>
                <c:pt idx="14">
                  <c:v>0.96875</c:v>
                </c:pt>
                <c:pt idx="15">
                  <c:v>0.28125</c:v>
                </c:pt>
                <c:pt idx="16">
                  <c:v>0.375</c:v>
                </c:pt>
                <c:pt idx="17">
                  <c:v>0.3125</c:v>
                </c:pt>
                <c:pt idx="18">
                  <c:v>3.125E-2</c:v>
                </c:pt>
                <c:pt idx="19">
                  <c:v>-0.9375</c:v>
                </c:pt>
                <c:pt idx="20">
                  <c:v>-0.46875</c:v>
                </c:pt>
                <c:pt idx="21">
                  <c:v>0.15625</c:v>
                </c:pt>
                <c:pt idx="22">
                  <c:v>0.3125</c:v>
                </c:pt>
                <c:pt idx="23">
                  <c:v>-0.375</c:v>
                </c:pt>
                <c:pt idx="24">
                  <c:v>-0.5</c:v>
                </c:pt>
                <c:pt idx="25">
                  <c:v>0.125</c:v>
                </c:pt>
                <c:pt idx="26">
                  <c:v>-0.15625</c:v>
                </c:pt>
                <c:pt idx="27">
                  <c:v>0</c:v>
                </c:pt>
                <c:pt idx="28">
                  <c:v>-0.5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93-4948-8183-F8942E8A2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287664"/>
        <c:axId val="1618286032"/>
      </c:lineChart>
      <c:catAx>
        <c:axId val="16182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86032"/>
        <c:crosses val="autoZero"/>
        <c:auto val="1"/>
        <c:lblAlgn val="ctr"/>
        <c:lblOffset val="100"/>
        <c:noMultiLvlLbl val="0"/>
      </c:catAx>
      <c:valAx>
        <c:axId val="16182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'HoE Chart (5-Act)'!$E$2</c:f>
              <c:strCache>
                <c:ptCount val="1"/>
                <c:pt idx="0">
                  <c:v>Sensitivity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'HoE Chart (5-Act)'!$A$20:$A$48</c:f>
              <c:numCache>
                <c:formatCode>General</c:formatCode>
                <c:ptCount val="29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</c:numCache>
            </c:numRef>
          </c:cat>
          <c:val>
            <c:numRef>
              <c:f>'HoE Chart (5-Act)'!$E$20:$E$48</c:f>
              <c:numCache>
                <c:formatCode>0.00</c:formatCode>
                <c:ptCount val="29"/>
                <c:pt idx="0">
                  <c:v>-1.25</c:v>
                </c:pt>
                <c:pt idx="1">
                  <c:v>-1.375</c:v>
                </c:pt>
                <c:pt idx="2">
                  <c:v>-1.15625</c:v>
                </c:pt>
                <c:pt idx="3">
                  <c:v>-1.34375</c:v>
                </c:pt>
                <c:pt idx="4">
                  <c:v>-0.90625</c:v>
                </c:pt>
                <c:pt idx="5">
                  <c:v>-0.5</c:v>
                </c:pt>
                <c:pt idx="6">
                  <c:v>-0.875</c:v>
                </c:pt>
                <c:pt idx="7">
                  <c:v>-1.25</c:v>
                </c:pt>
                <c:pt idx="8">
                  <c:v>-1.21875</c:v>
                </c:pt>
                <c:pt idx="9">
                  <c:v>-0.90625</c:v>
                </c:pt>
                <c:pt idx="10">
                  <c:v>-0.84375</c:v>
                </c:pt>
                <c:pt idx="11">
                  <c:v>-1.15625</c:v>
                </c:pt>
                <c:pt idx="12">
                  <c:v>-1.09375</c:v>
                </c:pt>
                <c:pt idx="13">
                  <c:v>-1.625</c:v>
                </c:pt>
                <c:pt idx="14">
                  <c:v>-1.125</c:v>
                </c:pt>
                <c:pt idx="15">
                  <c:v>-0.65625</c:v>
                </c:pt>
                <c:pt idx="16">
                  <c:v>-1.25</c:v>
                </c:pt>
                <c:pt idx="17">
                  <c:v>-0.8125</c:v>
                </c:pt>
                <c:pt idx="18">
                  <c:v>-0.9375</c:v>
                </c:pt>
                <c:pt idx="19">
                  <c:v>-9.375E-2</c:v>
                </c:pt>
                <c:pt idx="20">
                  <c:v>-0.59375</c:v>
                </c:pt>
                <c:pt idx="21">
                  <c:v>-0.78125</c:v>
                </c:pt>
                <c:pt idx="22">
                  <c:v>-1.53125</c:v>
                </c:pt>
                <c:pt idx="23">
                  <c:v>-1</c:v>
                </c:pt>
                <c:pt idx="24">
                  <c:v>-0.8125</c:v>
                </c:pt>
                <c:pt idx="25">
                  <c:v>-0.1875</c:v>
                </c:pt>
                <c:pt idx="26">
                  <c:v>9.375E-2</c:v>
                </c:pt>
                <c:pt idx="27">
                  <c:v>0.375</c:v>
                </c:pt>
                <c:pt idx="28">
                  <c:v>0.5625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55-43B3-925E-C7DE69D1B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288208"/>
        <c:axId val="1618285488"/>
      </c:lineChart>
      <c:catAx>
        <c:axId val="161828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85488"/>
        <c:crosses val="autoZero"/>
        <c:auto val="1"/>
        <c:lblAlgn val="ctr"/>
        <c:lblOffset val="100"/>
        <c:noMultiLvlLbl val="0"/>
      </c:catAx>
      <c:valAx>
        <c:axId val="16182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'HoE Chart (5-Act)'!$D$2</c:f>
              <c:strCache>
                <c:ptCount val="1"/>
                <c:pt idx="0">
                  <c:v>Pleasantness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'HoE Chart (5-Act)'!$A$49:$A$60</c:f>
              <c:numCache>
                <c:formatCode>General</c:formatCode>
                <c:ptCount val="12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</c:numCache>
            </c:numRef>
          </c:cat>
          <c:val>
            <c:numRef>
              <c:f>'HoE Chart (5-Act)'!$D$49:$D$60</c:f>
              <c:numCache>
                <c:formatCode>0.00</c:formatCode>
                <c:ptCount val="12"/>
                <c:pt idx="0">
                  <c:v>0.375</c:v>
                </c:pt>
                <c:pt idx="1">
                  <c:v>-0.28125</c:v>
                </c:pt>
                <c:pt idx="2">
                  <c:v>6.25E-2</c:v>
                </c:pt>
                <c:pt idx="3">
                  <c:v>0.125</c:v>
                </c:pt>
                <c:pt idx="4">
                  <c:v>-0.28125</c:v>
                </c:pt>
                <c:pt idx="5">
                  <c:v>-0.5625</c:v>
                </c:pt>
                <c:pt idx="6">
                  <c:v>-0.34375</c:v>
                </c:pt>
                <c:pt idx="7">
                  <c:v>-0.125</c:v>
                </c:pt>
                <c:pt idx="8">
                  <c:v>0.125</c:v>
                </c:pt>
                <c:pt idx="9">
                  <c:v>0.375</c:v>
                </c:pt>
                <c:pt idx="10">
                  <c:v>3.125E-2</c:v>
                </c:pt>
                <c:pt idx="11">
                  <c:v>-0.34375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87-4FF3-A7E4-0BA6B9557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289840"/>
        <c:axId val="1618308880"/>
      </c:lineChart>
      <c:catAx>
        <c:axId val="16182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08880"/>
        <c:crosses val="autoZero"/>
        <c:auto val="1"/>
        <c:lblAlgn val="ctr"/>
        <c:lblOffset val="100"/>
        <c:noMultiLvlLbl val="0"/>
      </c:catAx>
      <c:valAx>
        <c:axId val="16183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'HoE Chart (5-Act)'!$E$2</c:f>
              <c:strCache>
                <c:ptCount val="1"/>
                <c:pt idx="0">
                  <c:v>Sensitivity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'HoE Chart (5-Act)'!$A$49:$A$60</c:f>
              <c:numCache>
                <c:formatCode>General</c:formatCode>
                <c:ptCount val="12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52</c:v>
                </c:pt>
                <c:pt idx="6">
                  <c:v>53</c:v>
                </c:pt>
                <c:pt idx="7">
                  <c:v>54</c:v>
                </c:pt>
                <c:pt idx="8">
                  <c:v>55</c:v>
                </c:pt>
                <c:pt idx="9">
                  <c:v>56</c:v>
                </c:pt>
                <c:pt idx="10">
                  <c:v>57</c:v>
                </c:pt>
                <c:pt idx="11">
                  <c:v>58</c:v>
                </c:pt>
              </c:numCache>
            </c:numRef>
          </c:cat>
          <c:val>
            <c:numRef>
              <c:f>'HoE Chart (5-Act)'!$E$49:$E$60</c:f>
              <c:numCache>
                <c:formatCode>0.00</c:formatCode>
                <c:ptCount val="12"/>
                <c:pt idx="0">
                  <c:v>-0.78125</c:v>
                </c:pt>
                <c:pt idx="1">
                  <c:v>-1.15625</c:v>
                </c:pt>
                <c:pt idx="2">
                  <c:v>-1.34375</c:v>
                </c:pt>
                <c:pt idx="3">
                  <c:v>-1.03125</c:v>
                </c:pt>
                <c:pt idx="4">
                  <c:v>-0.28125</c:v>
                </c:pt>
                <c:pt idx="5">
                  <c:v>-0.78125</c:v>
                </c:pt>
                <c:pt idx="6">
                  <c:v>-0.1875</c:v>
                </c:pt>
                <c:pt idx="7">
                  <c:v>-0.5</c:v>
                </c:pt>
                <c:pt idx="8">
                  <c:v>-0.5</c:v>
                </c:pt>
                <c:pt idx="9">
                  <c:v>-0.9375</c:v>
                </c:pt>
                <c:pt idx="10">
                  <c:v>-1.15625</c:v>
                </c:pt>
                <c:pt idx="11">
                  <c:v>-1.59375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DD-4597-9039-E439FE4C3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304528"/>
        <c:axId val="1618282768"/>
      </c:lineChart>
      <c:catAx>
        <c:axId val="161830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82768"/>
        <c:crosses val="autoZero"/>
        <c:auto val="1"/>
        <c:lblAlgn val="ctr"/>
        <c:lblOffset val="100"/>
        <c:noMultiLvlLbl val="0"/>
      </c:catAx>
      <c:valAx>
        <c:axId val="16182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'HoE Chart (5-Act)'!$D$2</c:f>
              <c:strCache>
                <c:ptCount val="1"/>
                <c:pt idx="0">
                  <c:v>Pleasantness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'HoE Chart (5-Act)'!$A$61:$A$74</c:f>
              <c:numCache>
                <c:formatCode>General</c:formatCode>
                <c:ptCount val="14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</c:numCache>
            </c:numRef>
          </c:cat>
          <c:val>
            <c:numRef>
              <c:f>'HoE Chart (5-Act)'!$D$61:$D$74</c:f>
              <c:numCache>
                <c:formatCode>0.00</c:formatCode>
                <c:ptCount val="14"/>
                <c:pt idx="0">
                  <c:v>-0.3125</c:v>
                </c:pt>
                <c:pt idx="1">
                  <c:v>0.90625</c:v>
                </c:pt>
                <c:pt idx="2">
                  <c:v>-0.21875</c:v>
                </c:pt>
                <c:pt idx="3">
                  <c:v>-0.40625</c:v>
                </c:pt>
                <c:pt idx="4">
                  <c:v>-0.40625</c:v>
                </c:pt>
                <c:pt idx="5">
                  <c:v>-0.5625</c:v>
                </c:pt>
                <c:pt idx="6">
                  <c:v>0.125</c:v>
                </c:pt>
                <c:pt idx="7">
                  <c:v>-0.625</c:v>
                </c:pt>
                <c:pt idx="8">
                  <c:v>-0.28125</c:v>
                </c:pt>
                <c:pt idx="9">
                  <c:v>-0.375</c:v>
                </c:pt>
                <c:pt idx="10">
                  <c:v>-0.53125</c:v>
                </c:pt>
                <c:pt idx="11">
                  <c:v>-0.28125</c:v>
                </c:pt>
                <c:pt idx="12">
                  <c:v>-0.15625</c:v>
                </c:pt>
                <c:pt idx="13">
                  <c:v>-0.28125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1A-40AC-AB5A-B193F0CDF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297456"/>
        <c:axId val="1618284944"/>
      </c:lineChart>
      <c:catAx>
        <c:axId val="16182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84944"/>
        <c:crosses val="autoZero"/>
        <c:auto val="1"/>
        <c:lblAlgn val="ctr"/>
        <c:lblOffset val="100"/>
        <c:noMultiLvlLbl val="0"/>
      </c:catAx>
      <c:valAx>
        <c:axId val="16182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'HoE Chart (5-Act)'!$E$2</c:f>
              <c:strCache>
                <c:ptCount val="1"/>
                <c:pt idx="0">
                  <c:v>Sensitivity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'HoE Chart (5-Act)'!$A$61:$A$74</c:f>
              <c:numCache>
                <c:formatCode>General</c:formatCode>
                <c:ptCount val="14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</c:numCache>
            </c:numRef>
          </c:cat>
          <c:val>
            <c:numRef>
              <c:f>'HoE Chart (5-Act)'!$E$61:$E$74</c:f>
              <c:numCache>
                <c:formatCode>0.00</c:formatCode>
                <c:ptCount val="14"/>
                <c:pt idx="0">
                  <c:v>0.375</c:v>
                </c:pt>
                <c:pt idx="1">
                  <c:v>-0.25</c:v>
                </c:pt>
                <c:pt idx="2">
                  <c:v>-0.6875</c:v>
                </c:pt>
                <c:pt idx="3">
                  <c:v>6.25E-2</c:v>
                </c:pt>
                <c:pt idx="4">
                  <c:v>-0.78125</c:v>
                </c:pt>
                <c:pt idx="5">
                  <c:v>-0.90625</c:v>
                </c:pt>
                <c:pt idx="6">
                  <c:v>-1.5</c:v>
                </c:pt>
                <c:pt idx="7">
                  <c:v>-1.75</c:v>
                </c:pt>
                <c:pt idx="8">
                  <c:v>-0.375</c:v>
                </c:pt>
                <c:pt idx="9">
                  <c:v>-1.625</c:v>
                </c:pt>
                <c:pt idx="10">
                  <c:v>-1.46875</c:v>
                </c:pt>
                <c:pt idx="11">
                  <c:v>-1.78125</c:v>
                </c:pt>
                <c:pt idx="12">
                  <c:v>-0.625</c:v>
                </c:pt>
                <c:pt idx="13">
                  <c:v>-0.84375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F4-4A17-A9D0-C4CCC5378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283312"/>
        <c:axId val="1618287120"/>
      </c:lineChart>
      <c:catAx>
        <c:axId val="16182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87120"/>
        <c:crosses val="autoZero"/>
        <c:auto val="1"/>
        <c:lblAlgn val="ctr"/>
        <c:lblOffset val="100"/>
        <c:noMultiLvlLbl val="0"/>
      </c:catAx>
      <c:valAx>
        <c:axId val="16182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'ELR Chart'!$C$2</c:f>
              <c:strCache>
                <c:ptCount val="1"/>
                <c:pt idx="0">
                  <c:v> FROM_EVALUATIVE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'ELR Chart'!$A$3:$A$74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'ELR Chart'!$C$3:$C$74</c:f>
              <c:numCache>
                <c:formatCode>0.00</c:formatCode>
                <c:ptCount val="72"/>
                <c:pt idx="0">
                  <c:v>0.3125</c:v>
                </c:pt>
                <c:pt idx="1">
                  <c:v>0.125</c:v>
                </c:pt>
                <c:pt idx="2">
                  <c:v>0.375</c:v>
                </c:pt>
                <c:pt idx="3">
                  <c:v>0.46875</c:v>
                </c:pt>
                <c:pt idx="4">
                  <c:v>0.375</c:v>
                </c:pt>
                <c:pt idx="5">
                  <c:v>0.375</c:v>
                </c:pt>
                <c:pt idx="6">
                  <c:v>0.3125</c:v>
                </c:pt>
                <c:pt idx="7">
                  <c:v>0.375</c:v>
                </c:pt>
                <c:pt idx="8">
                  <c:v>0.375</c:v>
                </c:pt>
                <c:pt idx="9">
                  <c:v>0.21875</c:v>
                </c:pt>
                <c:pt idx="10">
                  <c:v>0.40625</c:v>
                </c:pt>
                <c:pt idx="11">
                  <c:v>0.53125</c:v>
                </c:pt>
                <c:pt idx="12">
                  <c:v>0.34375</c:v>
                </c:pt>
                <c:pt idx="13">
                  <c:v>0.34375</c:v>
                </c:pt>
                <c:pt idx="14">
                  <c:v>0.40625</c:v>
                </c:pt>
                <c:pt idx="15">
                  <c:v>0.28125</c:v>
                </c:pt>
                <c:pt idx="16">
                  <c:v>0.53125</c:v>
                </c:pt>
                <c:pt idx="17">
                  <c:v>0.4375</c:v>
                </c:pt>
                <c:pt idx="18">
                  <c:v>0.34375</c:v>
                </c:pt>
                <c:pt idx="19">
                  <c:v>0.4375</c:v>
                </c:pt>
                <c:pt idx="20">
                  <c:v>0.40625</c:v>
                </c:pt>
                <c:pt idx="21">
                  <c:v>0.5</c:v>
                </c:pt>
                <c:pt idx="22">
                  <c:v>0.5</c:v>
                </c:pt>
                <c:pt idx="23">
                  <c:v>0.46875</c:v>
                </c:pt>
                <c:pt idx="24">
                  <c:v>0.5</c:v>
                </c:pt>
                <c:pt idx="25">
                  <c:v>0.40625</c:v>
                </c:pt>
                <c:pt idx="26">
                  <c:v>0.46875</c:v>
                </c:pt>
                <c:pt idx="27">
                  <c:v>0.40625</c:v>
                </c:pt>
                <c:pt idx="28">
                  <c:v>0.53125</c:v>
                </c:pt>
                <c:pt idx="29">
                  <c:v>0.5</c:v>
                </c:pt>
                <c:pt idx="30">
                  <c:v>0.53125</c:v>
                </c:pt>
                <c:pt idx="31">
                  <c:v>0.46875</c:v>
                </c:pt>
                <c:pt idx="32">
                  <c:v>0.375</c:v>
                </c:pt>
                <c:pt idx="33">
                  <c:v>0.5625</c:v>
                </c:pt>
                <c:pt idx="34">
                  <c:v>0.5625</c:v>
                </c:pt>
                <c:pt idx="35">
                  <c:v>0.4375</c:v>
                </c:pt>
                <c:pt idx="36">
                  <c:v>0.375</c:v>
                </c:pt>
                <c:pt idx="37">
                  <c:v>0.46875</c:v>
                </c:pt>
                <c:pt idx="38">
                  <c:v>0.4375</c:v>
                </c:pt>
                <c:pt idx="39">
                  <c:v>0.59375</c:v>
                </c:pt>
                <c:pt idx="40">
                  <c:v>0.5</c:v>
                </c:pt>
                <c:pt idx="41">
                  <c:v>0.40625</c:v>
                </c:pt>
                <c:pt idx="42">
                  <c:v>0.34375</c:v>
                </c:pt>
                <c:pt idx="43">
                  <c:v>0.34375</c:v>
                </c:pt>
                <c:pt idx="44">
                  <c:v>0.4375</c:v>
                </c:pt>
                <c:pt idx="45">
                  <c:v>0.34375</c:v>
                </c:pt>
                <c:pt idx="46">
                  <c:v>0.40625</c:v>
                </c:pt>
                <c:pt idx="47">
                  <c:v>0.40625</c:v>
                </c:pt>
                <c:pt idx="48">
                  <c:v>0.46875</c:v>
                </c:pt>
                <c:pt idx="49">
                  <c:v>0.59375</c:v>
                </c:pt>
                <c:pt idx="50">
                  <c:v>0.46875</c:v>
                </c:pt>
                <c:pt idx="51">
                  <c:v>0.5</c:v>
                </c:pt>
                <c:pt idx="52">
                  <c:v>0.40625</c:v>
                </c:pt>
                <c:pt idx="53">
                  <c:v>0.59375</c:v>
                </c:pt>
                <c:pt idx="54">
                  <c:v>0.59375</c:v>
                </c:pt>
                <c:pt idx="55">
                  <c:v>0.40625</c:v>
                </c:pt>
                <c:pt idx="56">
                  <c:v>0.53125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0.375</c:v>
                </c:pt>
                <c:pt idx="61">
                  <c:v>0.53125</c:v>
                </c:pt>
                <c:pt idx="62">
                  <c:v>0.53125</c:v>
                </c:pt>
                <c:pt idx="63">
                  <c:v>0.34375</c:v>
                </c:pt>
                <c:pt idx="64">
                  <c:v>0.4375</c:v>
                </c:pt>
                <c:pt idx="65">
                  <c:v>0.53125</c:v>
                </c:pt>
                <c:pt idx="66">
                  <c:v>0.5625</c:v>
                </c:pt>
                <c:pt idx="67">
                  <c:v>0.375</c:v>
                </c:pt>
                <c:pt idx="68">
                  <c:v>0.375</c:v>
                </c:pt>
                <c:pt idx="69">
                  <c:v>0.46875</c:v>
                </c:pt>
                <c:pt idx="70">
                  <c:v>0.3125</c:v>
                </c:pt>
                <c:pt idx="71">
                  <c:v>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E8-4807-B644-18D54E9956DD}"/>
            </c:ext>
          </c:extLst>
        </c:ser>
        <c:ser>
          <c:idx val="2"/>
          <c:order val="1"/>
          <c:tx>
            <c:strRef>
              <c:f>'ELR Chart'!$D$2</c:f>
              <c:strCache>
                <c:ptCount val="1"/>
                <c:pt idx="0">
                  <c:v> FROM_NARRATIVE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'ELR Chart'!$A$3:$A$74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'ELR Chart'!$D$3:$D$74</c:f>
              <c:numCache>
                <c:formatCode>0.00</c:formatCode>
                <c:ptCount val="72"/>
                <c:pt idx="0">
                  <c:v>0.65625</c:v>
                </c:pt>
                <c:pt idx="1">
                  <c:v>0.5</c:v>
                </c:pt>
                <c:pt idx="2">
                  <c:v>0.40625</c:v>
                </c:pt>
                <c:pt idx="3">
                  <c:v>0.4375</c:v>
                </c:pt>
                <c:pt idx="4">
                  <c:v>0.59375</c:v>
                </c:pt>
                <c:pt idx="5">
                  <c:v>0.5</c:v>
                </c:pt>
                <c:pt idx="6">
                  <c:v>0.59375</c:v>
                </c:pt>
                <c:pt idx="7">
                  <c:v>0.5</c:v>
                </c:pt>
                <c:pt idx="8">
                  <c:v>0.46875</c:v>
                </c:pt>
                <c:pt idx="9">
                  <c:v>0.3125</c:v>
                </c:pt>
                <c:pt idx="10">
                  <c:v>0.6875</c:v>
                </c:pt>
                <c:pt idx="11">
                  <c:v>0.59375</c:v>
                </c:pt>
                <c:pt idx="12">
                  <c:v>0.5625</c:v>
                </c:pt>
                <c:pt idx="13">
                  <c:v>0.53125</c:v>
                </c:pt>
                <c:pt idx="14">
                  <c:v>0.65625</c:v>
                </c:pt>
                <c:pt idx="15">
                  <c:v>0.6875</c:v>
                </c:pt>
                <c:pt idx="16">
                  <c:v>0.5625</c:v>
                </c:pt>
                <c:pt idx="17">
                  <c:v>0.65625</c:v>
                </c:pt>
                <c:pt idx="18">
                  <c:v>0.625</c:v>
                </c:pt>
                <c:pt idx="19">
                  <c:v>0.53125</c:v>
                </c:pt>
                <c:pt idx="20">
                  <c:v>0.5625</c:v>
                </c:pt>
                <c:pt idx="21">
                  <c:v>0.375</c:v>
                </c:pt>
                <c:pt idx="22">
                  <c:v>0.4375</c:v>
                </c:pt>
                <c:pt idx="23">
                  <c:v>0.5625</c:v>
                </c:pt>
                <c:pt idx="24">
                  <c:v>0.5625</c:v>
                </c:pt>
                <c:pt idx="25">
                  <c:v>0.625</c:v>
                </c:pt>
                <c:pt idx="26">
                  <c:v>0.46875</c:v>
                </c:pt>
                <c:pt idx="27">
                  <c:v>0.59375</c:v>
                </c:pt>
                <c:pt idx="28">
                  <c:v>0.5</c:v>
                </c:pt>
                <c:pt idx="29">
                  <c:v>0.65625</c:v>
                </c:pt>
                <c:pt idx="30">
                  <c:v>0.53125</c:v>
                </c:pt>
                <c:pt idx="31">
                  <c:v>0.5625</c:v>
                </c:pt>
                <c:pt idx="32">
                  <c:v>0.4375</c:v>
                </c:pt>
                <c:pt idx="33">
                  <c:v>0.59375</c:v>
                </c:pt>
                <c:pt idx="34">
                  <c:v>0.53125</c:v>
                </c:pt>
                <c:pt idx="35">
                  <c:v>0.5</c:v>
                </c:pt>
                <c:pt idx="36">
                  <c:v>0.5625</c:v>
                </c:pt>
                <c:pt idx="37">
                  <c:v>0.59375</c:v>
                </c:pt>
                <c:pt idx="38">
                  <c:v>0.53125</c:v>
                </c:pt>
                <c:pt idx="39">
                  <c:v>0.6875</c:v>
                </c:pt>
                <c:pt idx="40">
                  <c:v>0.5625</c:v>
                </c:pt>
                <c:pt idx="41">
                  <c:v>0.5625</c:v>
                </c:pt>
                <c:pt idx="42">
                  <c:v>0.59375</c:v>
                </c:pt>
                <c:pt idx="43">
                  <c:v>0.59375</c:v>
                </c:pt>
                <c:pt idx="44">
                  <c:v>0.59375</c:v>
                </c:pt>
                <c:pt idx="45">
                  <c:v>0.75</c:v>
                </c:pt>
                <c:pt idx="46">
                  <c:v>0.5625</c:v>
                </c:pt>
                <c:pt idx="47">
                  <c:v>0.625</c:v>
                </c:pt>
                <c:pt idx="48">
                  <c:v>0.59375</c:v>
                </c:pt>
                <c:pt idx="49">
                  <c:v>0.5625</c:v>
                </c:pt>
                <c:pt idx="50">
                  <c:v>0.46875</c:v>
                </c:pt>
                <c:pt idx="51">
                  <c:v>0.625</c:v>
                </c:pt>
                <c:pt idx="52">
                  <c:v>0.65625</c:v>
                </c:pt>
                <c:pt idx="53">
                  <c:v>0.40625</c:v>
                </c:pt>
                <c:pt idx="54">
                  <c:v>0.625</c:v>
                </c:pt>
                <c:pt idx="55">
                  <c:v>0.59375</c:v>
                </c:pt>
                <c:pt idx="56">
                  <c:v>0.65625</c:v>
                </c:pt>
                <c:pt idx="57">
                  <c:v>0.58064516129032262</c:v>
                </c:pt>
                <c:pt idx="58">
                  <c:v>0.64516129032258063</c:v>
                </c:pt>
                <c:pt idx="59">
                  <c:v>0.67741935483870963</c:v>
                </c:pt>
                <c:pt idx="60">
                  <c:v>0.54838709677419351</c:v>
                </c:pt>
                <c:pt idx="61">
                  <c:v>0.54838709677419351</c:v>
                </c:pt>
                <c:pt idx="62">
                  <c:v>0.70967741935483875</c:v>
                </c:pt>
                <c:pt idx="63">
                  <c:v>0.54838709677419351</c:v>
                </c:pt>
                <c:pt idx="64">
                  <c:v>0.54838709677419351</c:v>
                </c:pt>
                <c:pt idx="65">
                  <c:v>0.54838709677419351</c:v>
                </c:pt>
                <c:pt idx="66">
                  <c:v>0.67741935483870963</c:v>
                </c:pt>
                <c:pt idx="67">
                  <c:v>0.64516129032258063</c:v>
                </c:pt>
                <c:pt idx="68">
                  <c:v>0.67741935483870963</c:v>
                </c:pt>
                <c:pt idx="69">
                  <c:v>0.70967741935483875</c:v>
                </c:pt>
                <c:pt idx="70">
                  <c:v>0.70967741935483875</c:v>
                </c:pt>
                <c:pt idx="71">
                  <c:v>0.61290322580645162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E8-4807-B644-18D54E9956DD}"/>
            </c:ext>
          </c:extLst>
        </c:ser>
        <c:ser>
          <c:idx val="3"/>
          <c:order val="2"/>
          <c:tx>
            <c:strRef>
              <c:f>'ELR Chart'!$E$2</c:f>
              <c:strCache>
                <c:ptCount val="1"/>
                <c:pt idx="0">
                  <c:v> FROM_AESTHETIC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'ELR Chart'!$A$3:$A$74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'ELR Chart'!$E$3:$E$74</c:f>
              <c:numCache>
                <c:formatCode>0.00</c:formatCode>
                <c:ptCount val="72"/>
                <c:pt idx="0">
                  <c:v>0.1875</c:v>
                </c:pt>
                <c:pt idx="1">
                  <c:v>0.5</c:v>
                </c:pt>
                <c:pt idx="2">
                  <c:v>0.25</c:v>
                </c:pt>
                <c:pt idx="3">
                  <c:v>0.25</c:v>
                </c:pt>
                <c:pt idx="4">
                  <c:v>9.375E-2</c:v>
                </c:pt>
                <c:pt idx="5">
                  <c:v>0.21875</c:v>
                </c:pt>
                <c:pt idx="6">
                  <c:v>0.125</c:v>
                </c:pt>
                <c:pt idx="7">
                  <c:v>0.25</c:v>
                </c:pt>
                <c:pt idx="8">
                  <c:v>0.34375</c:v>
                </c:pt>
                <c:pt idx="9">
                  <c:v>0.59375</c:v>
                </c:pt>
                <c:pt idx="10">
                  <c:v>6.25E-2</c:v>
                </c:pt>
                <c:pt idx="11">
                  <c:v>9.375E-2</c:v>
                </c:pt>
                <c:pt idx="12">
                  <c:v>0.21875</c:v>
                </c:pt>
                <c:pt idx="13">
                  <c:v>6.25E-2</c:v>
                </c:pt>
                <c:pt idx="14">
                  <c:v>9.375E-2</c:v>
                </c:pt>
                <c:pt idx="15">
                  <c:v>0.125</c:v>
                </c:pt>
                <c:pt idx="16">
                  <c:v>6.25E-2</c:v>
                </c:pt>
                <c:pt idx="17">
                  <c:v>6.25E-2</c:v>
                </c:pt>
                <c:pt idx="18">
                  <c:v>0.28125</c:v>
                </c:pt>
                <c:pt idx="19">
                  <c:v>0.21875</c:v>
                </c:pt>
                <c:pt idx="20">
                  <c:v>9.375E-2</c:v>
                </c:pt>
                <c:pt idx="21">
                  <c:v>0.375</c:v>
                </c:pt>
                <c:pt idx="22">
                  <c:v>0.125</c:v>
                </c:pt>
                <c:pt idx="23">
                  <c:v>0.1875</c:v>
                </c:pt>
                <c:pt idx="24">
                  <c:v>0.125</c:v>
                </c:pt>
                <c:pt idx="25">
                  <c:v>0.1875</c:v>
                </c:pt>
                <c:pt idx="26">
                  <c:v>0.15625</c:v>
                </c:pt>
                <c:pt idx="27">
                  <c:v>9.375E-2</c:v>
                </c:pt>
                <c:pt idx="28">
                  <c:v>6.25E-2</c:v>
                </c:pt>
                <c:pt idx="29">
                  <c:v>9.375E-2</c:v>
                </c:pt>
                <c:pt idx="30">
                  <c:v>0.1875</c:v>
                </c:pt>
                <c:pt idx="31">
                  <c:v>0.15625</c:v>
                </c:pt>
                <c:pt idx="32">
                  <c:v>0.125</c:v>
                </c:pt>
                <c:pt idx="33">
                  <c:v>0.15625</c:v>
                </c:pt>
                <c:pt idx="34">
                  <c:v>6.25E-2</c:v>
                </c:pt>
                <c:pt idx="35">
                  <c:v>0.15625</c:v>
                </c:pt>
                <c:pt idx="36">
                  <c:v>0.1875</c:v>
                </c:pt>
                <c:pt idx="37">
                  <c:v>0</c:v>
                </c:pt>
                <c:pt idx="38">
                  <c:v>9.375E-2</c:v>
                </c:pt>
                <c:pt idx="39">
                  <c:v>6.25E-2</c:v>
                </c:pt>
                <c:pt idx="40">
                  <c:v>3.125E-2</c:v>
                </c:pt>
                <c:pt idx="41">
                  <c:v>9.375E-2</c:v>
                </c:pt>
                <c:pt idx="42">
                  <c:v>3.125E-2</c:v>
                </c:pt>
                <c:pt idx="43">
                  <c:v>9.375E-2</c:v>
                </c:pt>
                <c:pt idx="44">
                  <c:v>3.125E-2</c:v>
                </c:pt>
                <c:pt idx="45">
                  <c:v>3.125E-2</c:v>
                </c:pt>
                <c:pt idx="46">
                  <c:v>0.15625</c:v>
                </c:pt>
                <c:pt idx="47">
                  <c:v>0.15625</c:v>
                </c:pt>
                <c:pt idx="48">
                  <c:v>9.375E-2</c:v>
                </c:pt>
                <c:pt idx="49">
                  <c:v>0.1875</c:v>
                </c:pt>
                <c:pt idx="50">
                  <c:v>0.15625</c:v>
                </c:pt>
                <c:pt idx="51">
                  <c:v>0.15625</c:v>
                </c:pt>
                <c:pt idx="52">
                  <c:v>3.125E-2</c:v>
                </c:pt>
                <c:pt idx="53">
                  <c:v>0.1875</c:v>
                </c:pt>
                <c:pt idx="54">
                  <c:v>0.125</c:v>
                </c:pt>
                <c:pt idx="55">
                  <c:v>0.15625</c:v>
                </c:pt>
                <c:pt idx="56">
                  <c:v>0.125</c:v>
                </c:pt>
                <c:pt idx="57">
                  <c:v>9.375E-2</c:v>
                </c:pt>
                <c:pt idx="58">
                  <c:v>0.125</c:v>
                </c:pt>
                <c:pt idx="59">
                  <c:v>6.25E-2</c:v>
                </c:pt>
                <c:pt idx="60">
                  <c:v>0.1875</c:v>
                </c:pt>
                <c:pt idx="61">
                  <c:v>0.125</c:v>
                </c:pt>
                <c:pt idx="62">
                  <c:v>0</c:v>
                </c:pt>
                <c:pt idx="63">
                  <c:v>9.375E-2</c:v>
                </c:pt>
                <c:pt idx="64">
                  <c:v>6.25E-2</c:v>
                </c:pt>
                <c:pt idx="65">
                  <c:v>9.375E-2</c:v>
                </c:pt>
                <c:pt idx="66">
                  <c:v>3.125E-2</c:v>
                </c:pt>
                <c:pt idx="67">
                  <c:v>0.15625</c:v>
                </c:pt>
                <c:pt idx="68">
                  <c:v>0.125</c:v>
                </c:pt>
                <c:pt idx="69">
                  <c:v>0.15625</c:v>
                </c:pt>
                <c:pt idx="70">
                  <c:v>0.125</c:v>
                </c:pt>
                <c:pt idx="71">
                  <c:v>0.1875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3E8-4807-B644-18D54E9956DD}"/>
            </c:ext>
          </c:extLst>
        </c:ser>
        <c:ser>
          <c:idx val="4"/>
          <c:order val="3"/>
          <c:tx>
            <c:strRef>
              <c:f>'ELR Chart'!$F$2</c:f>
              <c:strCache>
                <c:ptCount val="1"/>
                <c:pt idx="0">
                  <c:v> FROM_OTHERS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'ELR Chart'!$A$3:$A$74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'ELR Chart'!$F$3:$F$74</c:f>
              <c:numCache>
                <c:formatCode>0.00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6.25E-2</c:v>
                </c:pt>
                <c:pt idx="3">
                  <c:v>0</c:v>
                </c:pt>
                <c:pt idx="4">
                  <c:v>0</c:v>
                </c:pt>
                <c:pt idx="5">
                  <c:v>6.25E-2</c:v>
                </c:pt>
                <c:pt idx="6">
                  <c:v>9.375E-2</c:v>
                </c:pt>
                <c:pt idx="7">
                  <c:v>6.25E-2</c:v>
                </c:pt>
                <c:pt idx="8">
                  <c:v>6.25E-2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3.125E-2</c:v>
                </c:pt>
                <c:pt idx="13">
                  <c:v>6.25E-2</c:v>
                </c:pt>
                <c:pt idx="14">
                  <c:v>3.125E-2</c:v>
                </c:pt>
                <c:pt idx="15">
                  <c:v>3.125E-2</c:v>
                </c:pt>
                <c:pt idx="16">
                  <c:v>6.25E-2</c:v>
                </c:pt>
                <c:pt idx="17">
                  <c:v>0</c:v>
                </c:pt>
                <c:pt idx="18">
                  <c:v>0</c:v>
                </c:pt>
                <c:pt idx="19">
                  <c:v>9.375E-2</c:v>
                </c:pt>
                <c:pt idx="20">
                  <c:v>3.125E-2</c:v>
                </c:pt>
                <c:pt idx="21">
                  <c:v>6.25E-2</c:v>
                </c:pt>
                <c:pt idx="22">
                  <c:v>3.125E-2</c:v>
                </c:pt>
                <c:pt idx="23">
                  <c:v>6.25E-2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6.25E-2</c:v>
                </c:pt>
                <c:pt idx="28">
                  <c:v>3.125E-2</c:v>
                </c:pt>
                <c:pt idx="29">
                  <c:v>3.125E-2</c:v>
                </c:pt>
                <c:pt idx="30">
                  <c:v>0</c:v>
                </c:pt>
                <c:pt idx="31">
                  <c:v>3.125E-2</c:v>
                </c:pt>
                <c:pt idx="32">
                  <c:v>3.125E-2</c:v>
                </c:pt>
                <c:pt idx="33">
                  <c:v>0</c:v>
                </c:pt>
                <c:pt idx="34">
                  <c:v>0</c:v>
                </c:pt>
                <c:pt idx="35">
                  <c:v>3.125E-2</c:v>
                </c:pt>
                <c:pt idx="36">
                  <c:v>3.125E-2</c:v>
                </c:pt>
                <c:pt idx="37">
                  <c:v>6.25E-2</c:v>
                </c:pt>
                <c:pt idx="38">
                  <c:v>3.125E-2</c:v>
                </c:pt>
                <c:pt idx="39">
                  <c:v>0</c:v>
                </c:pt>
                <c:pt idx="40">
                  <c:v>3.125E-2</c:v>
                </c:pt>
                <c:pt idx="41">
                  <c:v>6.25E-2</c:v>
                </c:pt>
                <c:pt idx="42">
                  <c:v>6.25E-2</c:v>
                </c:pt>
                <c:pt idx="43">
                  <c:v>6.25E-2</c:v>
                </c:pt>
                <c:pt idx="44">
                  <c:v>6.25E-2</c:v>
                </c:pt>
                <c:pt idx="45">
                  <c:v>3.125E-2</c:v>
                </c:pt>
                <c:pt idx="46">
                  <c:v>3.125E-2</c:v>
                </c:pt>
                <c:pt idx="47">
                  <c:v>3.125E-2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3.125E-2</c:v>
                </c:pt>
                <c:pt idx="53">
                  <c:v>3.125E-2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3.125E-2</c:v>
                </c:pt>
                <c:pt idx="62">
                  <c:v>0</c:v>
                </c:pt>
                <c:pt idx="63">
                  <c:v>3.125E-2</c:v>
                </c:pt>
                <c:pt idx="64">
                  <c:v>0</c:v>
                </c:pt>
                <c:pt idx="65">
                  <c:v>3.125E-2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6.25E-2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3E8-4807-B644-18D54E995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281680"/>
        <c:axId val="1618293104"/>
      </c:lineChart>
      <c:catAx>
        <c:axId val="161828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93104"/>
        <c:crosses val="autoZero"/>
        <c:auto val="1"/>
        <c:lblAlgn val="ctr"/>
        <c:lblOffset val="100"/>
        <c:noMultiLvlLbl val="0"/>
      </c:catAx>
      <c:valAx>
        <c:axId val="16182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8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2.xml"/><Relationship Id="rId13" Type="http://schemas.openxmlformats.org/officeDocument/2006/relationships/chart" Target="../charts/chart117.xml"/><Relationship Id="rId18" Type="http://schemas.openxmlformats.org/officeDocument/2006/relationships/chart" Target="../charts/chart122.xml"/><Relationship Id="rId3" Type="http://schemas.openxmlformats.org/officeDocument/2006/relationships/chart" Target="../charts/chart107.xml"/><Relationship Id="rId21" Type="http://schemas.openxmlformats.org/officeDocument/2006/relationships/chart" Target="../charts/chart125.xml"/><Relationship Id="rId7" Type="http://schemas.openxmlformats.org/officeDocument/2006/relationships/chart" Target="../charts/chart111.xml"/><Relationship Id="rId12" Type="http://schemas.openxmlformats.org/officeDocument/2006/relationships/chart" Target="../charts/chart116.xml"/><Relationship Id="rId17" Type="http://schemas.openxmlformats.org/officeDocument/2006/relationships/chart" Target="../charts/chart121.xml"/><Relationship Id="rId2" Type="http://schemas.openxmlformats.org/officeDocument/2006/relationships/chart" Target="../charts/chart106.xml"/><Relationship Id="rId16" Type="http://schemas.openxmlformats.org/officeDocument/2006/relationships/chart" Target="../charts/chart120.xml"/><Relationship Id="rId20" Type="http://schemas.openxmlformats.org/officeDocument/2006/relationships/chart" Target="../charts/chart124.xml"/><Relationship Id="rId1" Type="http://schemas.openxmlformats.org/officeDocument/2006/relationships/chart" Target="../charts/chart105.xml"/><Relationship Id="rId6" Type="http://schemas.openxmlformats.org/officeDocument/2006/relationships/chart" Target="../charts/chart110.xml"/><Relationship Id="rId11" Type="http://schemas.openxmlformats.org/officeDocument/2006/relationships/chart" Target="../charts/chart115.xml"/><Relationship Id="rId24" Type="http://schemas.openxmlformats.org/officeDocument/2006/relationships/chart" Target="../charts/chart128.xml"/><Relationship Id="rId5" Type="http://schemas.openxmlformats.org/officeDocument/2006/relationships/chart" Target="../charts/chart109.xml"/><Relationship Id="rId15" Type="http://schemas.openxmlformats.org/officeDocument/2006/relationships/chart" Target="../charts/chart119.xml"/><Relationship Id="rId23" Type="http://schemas.openxmlformats.org/officeDocument/2006/relationships/chart" Target="../charts/chart127.xml"/><Relationship Id="rId10" Type="http://schemas.openxmlformats.org/officeDocument/2006/relationships/chart" Target="../charts/chart114.xml"/><Relationship Id="rId19" Type="http://schemas.openxmlformats.org/officeDocument/2006/relationships/chart" Target="../charts/chart123.xml"/><Relationship Id="rId4" Type="http://schemas.openxmlformats.org/officeDocument/2006/relationships/chart" Target="../charts/chart108.xml"/><Relationship Id="rId9" Type="http://schemas.openxmlformats.org/officeDocument/2006/relationships/chart" Target="../charts/chart113.xml"/><Relationship Id="rId14" Type="http://schemas.openxmlformats.org/officeDocument/2006/relationships/chart" Target="../charts/chart118.xml"/><Relationship Id="rId22" Type="http://schemas.openxmlformats.org/officeDocument/2006/relationships/chart" Target="../charts/chart12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8.xml"/><Relationship Id="rId18" Type="http://schemas.openxmlformats.org/officeDocument/2006/relationships/chart" Target="../charts/chart33.xml"/><Relationship Id="rId26" Type="http://schemas.openxmlformats.org/officeDocument/2006/relationships/chart" Target="../charts/chart41.xml"/><Relationship Id="rId39" Type="http://schemas.openxmlformats.org/officeDocument/2006/relationships/chart" Target="../charts/chart54.xml"/><Relationship Id="rId21" Type="http://schemas.openxmlformats.org/officeDocument/2006/relationships/chart" Target="../charts/chart36.xml"/><Relationship Id="rId34" Type="http://schemas.openxmlformats.org/officeDocument/2006/relationships/chart" Target="../charts/chart49.xml"/><Relationship Id="rId42" Type="http://schemas.openxmlformats.org/officeDocument/2006/relationships/chart" Target="../charts/chart57.xml"/><Relationship Id="rId47" Type="http://schemas.openxmlformats.org/officeDocument/2006/relationships/chart" Target="../charts/chart62.xml"/><Relationship Id="rId50" Type="http://schemas.openxmlformats.org/officeDocument/2006/relationships/chart" Target="../charts/chart65.xml"/><Relationship Id="rId55" Type="http://schemas.openxmlformats.org/officeDocument/2006/relationships/chart" Target="../charts/chart70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6" Type="http://schemas.openxmlformats.org/officeDocument/2006/relationships/chart" Target="../charts/chart31.xml"/><Relationship Id="rId29" Type="http://schemas.openxmlformats.org/officeDocument/2006/relationships/chart" Target="../charts/chart44.xml"/><Relationship Id="rId11" Type="http://schemas.openxmlformats.org/officeDocument/2006/relationships/chart" Target="../charts/chart26.xml"/><Relationship Id="rId24" Type="http://schemas.openxmlformats.org/officeDocument/2006/relationships/chart" Target="../charts/chart39.xml"/><Relationship Id="rId32" Type="http://schemas.openxmlformats.org/officeDocument/2006/relationships/chart" Target="../charts/chart47.xml"/><Relationship Id="rId37" Type="http://schemas.openxmlformats.org/officeDocument/2006/relationships/chart" Target="../charts/chart52.xml"/><Relationship Id="rId40" Type="http://schemas.openxmlformats.org/officeDocument/2006/relationships/chart" Target="../charts/chart55.xml"/><Relationship Id="rId45" Type="http://schemas.openxmlformats.org/officeDocument/2006/relationships/chart" Target="../charts/chart60.xml"/><Relationship Id="rId53" Type="http://schemas.openxmlformats.org/officeDocument/2006/relationships/chart" Target="../charts/chart68.xml"/><Relationship Id="rId58" Type="http://schemas.openxmlformats.org/officeDocument/2006/relationships/chart" Target="../charts/chart73.xml"/><Relationship Id="rId5" Type="http://schemas.openxmlformats.org/officeDocument/2006/relationships/chart" Target="../charts/chart20.xml"/><Relationship Id="rId19" Type="http://schemas.openxmlformats.org/officeDocument/2006/relationships/chart" Target="../charts/chart34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Relationship Id="rId22" Type="http://schemas.openxmlformats.org/officeDocument/2006/relationships/chart" Target="../charts/chart37.xml"/><Relationship Id="rId27" Type="http://schemas.openxmlformats.org/officeDocument/2006/relationships/chart" Target="../charts/chart42.xml"/><Relationship Id="rId30" Type="http://schemas.openxmlformats.org/officeDocument/2006/relationships/chart" Target="../charts/chart45.xml"/><Relationship Id="rId35" Type="http://schemas.openxmlformats.org/officeDocument/2006/relationships/chart" Target="../charts/chart50.xml"/><Relationship Id="rId43" Type="http://schemas.openxmlformats.org/officeDocument/2006/relationships/chart" Target="../charts/chart58.xml"/><Relationship Id="rId48" Type="http://schemas.openxmlformats.org/officeDocument/2006/relationships/chart" Target="../charts/chart63.xml"/><Relationship Id="rId56" Type="http://schemas.openxmlformats.org/officeDocument/2006/relationships/chart" Target="../charts/chart71.xml"/><Relationship Id="rId8" Type="http://schemas.openxmlformats.org/officeDocument/2006/relationships/chart" Target="../charts/chart23.xml"/><Relationship Id="rId51" Type="http://schemas.openxmlformats.org/officeDocument/2006/relationships/chart" Target="../charts/chart66.xml"/><Relationship Id="rId3" Type="http://schemas.openxmlformats.org/officeDocument/2006/relationships/chart" Target="../charts/chart18.xml"/><Relationship Id="rId12" Type="http://schemas.openxmlformats.org/officeDocument/2006/relationships/chart" Target="../charts/chart27.xml"/><Relationship Id="rId17" Type="http://schemas.openxmlformats.org/officeDocument/2006/relationships/chart" Target="../charts/chart32.xml"/><Relationship Id="rId25" Type="http://schemas.openxmlformats.org/officeDocument/2006/relationships/chart" Target="../charts/chart40.xml"/><Relationship Id="rId33" Type="http://schemas.openxmlformats.org/officeDocument/2006/relationships/chart" Target="../charts/chart48.xml"/><Relationship Id="rId38" Type="http://schemas.openxmlformats.org/officeDocument/2006/relationships/chart" Target="../charts/chart53.xml"/><Relationship Id="rId46" Type="http://schemas.openxmlformats.org/officeDocument/2006/relationships/chart" Target="../charts/chart61.xml"/><Relationship Id="rId20" Type="http://schemas.openxmlformats.org/officeDocument/2006/relationships/chart" Target="../charts/chart35.xml"/><Relationship Id="rId41" Type="http://schemas.openxmlformats.org/officeDocument/2006/relationships/chart" Target="../charts/chart56.xml"/><Relationship Id="rId54" Type="http://schemas.openxmlformats.org/officeDocument/2006/relationships/chart" Target="../charts/chart69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5" Type="http://schemas.openxmlformats.org/officeDocument/2006/relationships/chart" Target="../charts/chart30.xml"/><Relationship Id="rId23" Type="http://schemas.openxmlformats.org/officeDocument/2006/relationships/chart" Target="../charts/chart38.xml"/><Relationship Id="rId28" Type="http://schemas.openxmlformats.org/officeDocument/2006/relationships/chart" Target="../charts/chart43.xml"/><Relationship Id="rId36" Type="http://schemas.openxmlformats.org/officeDocument/2006/relationships/chart" Target="../charts/chart51.xml"/><Relationship Id="rId49" Type="http://schemas.openxmlformats.org/officeDocument/2006/relationships/chart" Target="../charts/chart64.xml"/><Relationship Id="rId57" Type="http://schemas.openxmlformats.org/officeDocument/2006/relationships/chart" Target="../charts/chart72.xml"/><Relationship Id="rId10" Type="http://schemas.openxmlformats.org/officeDocument/2006/relationships/chart" Target="../charts/chart25.xml"/><Relationship Id="rId31" Type="http://schemas.openxmlformats.org/officeDocument/2006/relationships/chart" Target="../charts/chart46.xml"/><Relationship Id="rId44" Type="http://schemas.openxmlformats.org/officeDocument/2006/relationships/chart" Target="../charts/chart59.xml"/><Relationship Id="rId52" Type="http://schemas.openxmlformats.org/officeDocument/2006/relationships/chart" Target="../charts/chart6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5" Type="http://schemas.openxmlformats.org/officeDocument/2006/relationships/chart" Target="../charts/chart78.xml"/><Relationship Id="rId4" Type="http://schemas.openxmlformats.org/officeDocument/2006/relationships/chart" Target="../charts/chart7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6.xml"/><Relationship Id="rId13" Type="http://schemas.openxmlformats.org/officeDocument/2006/relationships/chart" Target="../charts/chart91.xml"/><Relationship Id="rId18" Type="http://schemas.openxmlformats.org/officeDocument/2006/relationships/chart" Target="../charts/chart96.xml"/><Relationship Id="rId3" Type="http://schemas.openxmlformats.org/officeDocument/2006/relationships/chart" Target="../charts/chart81.xml"/><Relationship Id="rId7" Type="http://schemas.openxmlformats.org/officeDocument/2006/relationships/chart" Target="../charts/chart85.xml"/><Relationship Id="rId12" Type="http://schemas.openxmlformats.org/officeDocument/2006/relationships/chart" Target="../charts/chart90.xml"/><Relationship Id="rId17" Type="http://schemas.openxmlformats.org/officeDocument/2006/relationships/chart" Target="../charts/chart95.xml"/><Relationship Id="rId2" Type="http://schemas.openxmlformats.org/officeDocument/2006/relationships/chart" Target="../charts/chart80.xml"/><Relationship Id="rId16" Type="http://schemas.openxmlformats.org/officeDocument/2006/relationships/chart" Target="../charts/chart94.xml"/><Relationship Id="rId20" Type="http://schemas.openxmlformats.org/officeDocument/2006/relationships/chart" Target="../charts/chart98.xml"/><Relationship Id="rId1" Type="http://schemas.openxmlformats.org/officeDocument/2006/relationships/chart" Target="../charts/chart79.xml"/><Relationship Id="rId6" Type="http://schemas.openxmlformats.org/officeDocument/2006/relationships/chart" Target="../charts/chart84.xml"/><Relationship Id="rId11" Type="http://schemas.openxmlformats.org/officeDocument/2006/relationships/chart" Target="../charts/chart89.xml"/><Relationship Id="rId5" Type="http://schemas.openxmlformats.org/officeDocument/2006/relationships/chart" Target="../charts/chart83.xml"/><Relationship Id="rId15" Type="http://schemas.openxmlformats.org/officeDocument/2006/relationships/chart" Target="../charts/chart93.xml"/><Relationship Id="rId10" Type="http://schemas.openxmlformats.org/officeDocument/2006/relationships/chart" Target="../charts/chart88.xml"/><Relationship Id="rId19" Type="http://schemas.openxmlformats.org/officeDocument/2006/relationships/chart" Target="../charts/chart97.xml"/><Relationship Id="rId4" Type="http://schemas.openxmlformats.org/officeDocument/2006/relationships/chart" Target="../charts/chart82.xml"/><Relationship Id="rId9" Type="http://schemas.openxmlformats.org/officeDocument/2006/relationships/chart" Target="../charts/chart87.xml"/><Relationship Id="rId14" Type="http://schemas.openxmlformats.org/officeDocument/2006/relationships/chart" Target="../charts/chart9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1.xml"/><Relationship Id="rId2" Type="http://schemas.openxmlformats.org/officeDocument/2006/relationships/chart" Target="../charts/chart100.xml"/><Relationship Id="rId1" Type="http://schemas.openxmlformats.org/officeDocument/2006/relationships/chart" Target="../charts/chart99.xml"/><Relationship Id="rId6" Type="http://schemas.openxmlformats.org/officeDocument/2006/relationships/chart" Target="../charts/chart104.xml"/><Relationship Id="rId5" Type="http://schemas.openxmlformats.org/officeDocument/2006/relationships/chart" Target="../charts/chart103.xml"/><Relationship Id="rId4" Type="http://schemas.openxmlformats.org/officeDocument/2006/relationships/chart" Target="../charts/chart10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185</xdr:row>
      <xdr:rowOff>9524</xdr:rowOff>
    </xdr:from>
    <xdr:to>
      <xdr:col>31</xdr:col>
      <xdr:colOff>304800</xdr:colOff>
      <xdr:row>204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DC53FA9-63B8-43B8-B048-E4F3FBD3A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9525</xdr:colOff>
      <xdr:row>185</xdr:row>
      <xdr:rowOff>9525</xdr:rowOff>
    </xdr:from>
    <xdr:to>
      <xdr:col>42</xdr:col>
      <xdr:colOff>314325</xdr:colOff>
      <xdr:row>204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EBA6B29-7314-463C-B01B-45165B87B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9525</xdr:colOff>
      <xdr:row>184</xdr:row>
      <xdr:rowOff>190500</xdr:rowOff>
    </xdr:from>
    <xdr:to>
      <xdr:col>53</xdr:col>
      <xdr:colOff>314325</xdr:colOff>
      <xdr:row>204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F0FFD438-7C7A-4F0C-9A36-F20438D83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17</xdr:col>
      <xdr:colOff>666750</xdr:colOff>
      <xdr:row>29</xdr:row>
      <xdr:rowOff>186690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21D5A41-6AD2-44C9-9DE1-4D501E11B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17</xdr:col>
      <xdr:colOff>666750</xdr:colOff>
      <xdr:row>58</xdr:row>
      <xdr:rowOff>186690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3DA38AF-A260-4891-941C-370467974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60</xdr:row>
      <xdr:rowOff>0</xdr:rowOff>
    </xdr:from>
    <xdr:to>
      <xdr:col>17</xdr:col>
      <xdr:colOff>666750</xdr:colOff>
      <xdr:row>87</xdr:row>
      <xdr:rowOff>186690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35FF51E8-E4A5-4FA5-A965-703BCF64C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118</xdr:row>
      <xdr:rowOff>0</xdr:rowOff>
    </xdr:from>
    <xdr:to>
      <xdr:col>17</xdr:col>
      <xdr:colOff>666750</xdr:colOff>
      <xdr:row>145</xdr:row>
      <xdr:rowOff>186690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38A8E213-AFAD-44F5-AC1F-DDB5BBC57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146</xdr:row>
      <xdr:rowOff>190498</xdr:rowOff>
    </xdr:from>
    <xdr:to>
      <xdr:col>17</xdr:col>
      <xdr:colOff>666750</xdr:colOff>
      <xdr:row>174</xdr:row>
      <xdr:rowOff>187450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D5E767C7-5FFC-4FFB-85F7-EE31831DB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89</xdr:row>
      <xdr:rowOff>0</xdr:rowOff>
    </xdr:from>
    <xdr:to>
      <xdr:col>17</xdr:col>
      <xdr:colOff>666750</xdr:colOff>
      <xdr:row>116</xdr:row>
      <xdr:rowOff>186690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BA8D45AA-83AE-4897-BA58-1AC83C24E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28</xdr:col>
      <xdr:colOff>666750</xdr:colOff>
      <xdr:row>29</xdr:row>
      <xdr:rowOff>186690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CBA7C1F2-C628-4518-B67F-70E1504D2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31</xdr:row>
      <xdr:rowOff>0</xdr:rowOff>
    </xdr:from>
    <xdr:to>
      <xdr:col>28</xdr:col>
      <xdr:colOff>666750</xdr:colOff>
      <xdr:row>58</xdr:row>
      <xdr:rowOff>186690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A281BA19-6FCC-44A9-8818-F90448FC1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60</xdr:row>
      <xdr:rowOff>0</xdr:rowOff>
    </xdr:from>
    <xdr:to>
      <xdr:col>28</xdr:col>
      <xdr:colOff>666750</xdr:colOff>
      <xdr:row>87</xdr:row>
      <xdr:rowOff>186690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F8A82206-4173-46BD-A16B-FF7175FEA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118</xdr:row>
      <xdr:rowOff>0</xdr:rowOff>
    </xdr:from>
    <xdr:to>
      <xdr:col>28</xdr:col>
      <xdr:colOff>666750</xdr:colOff>
      <xdr:row>145</xdr:row>
      <xdr:rowOff>186690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FB9608D7-8230-43A3-A9B4-95EC3EC3B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146</xdr:row>
      <xdr:rowOff>190498</xdr:rowOff>
    </xdr:from>
    <xdr:to>
      <xdr:col>28</xdr:col>
      <xdr:colOff>666750</xdr:colOff>
      <xdr:row>174</xdr:row>
      <xdr:rowOff>187450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70C37657-C842-4D21-A4F5-18F42C458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89</xdr:row>
      <xdr:rowOff>0</xdr:rowOff>
    </xdr:from>
    <xdr:to>
      <xdr:col>28</xdr:col>
      <xdr:colOff>666750</xdr:colOff>
      <xdr:row>116</xdr:row>
      <xdr:rowOff>186690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48DAB481-38E5-43A4-B336-181D79A1A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0</xdr:colOff>
      <xdr:row>2</xdr:row>
      <xdr:rowOff>0</xdr:rowOff>
    </xdr:from>
    <xdr:to>
      <xdr:col>39</xdr:col>
      <xdr:colOff>666750</xdr:colOff>
      <xdr:row>29</xdr:row>
      <xdr:rowOff>186690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3B11D6B5-6B85-4220-93F4-79DC1F85B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0</xdr:colOff>
      <xdr:row>31</xdr:row>
      <xdr:rowOff>0</xdr:rowOff>
    </xdr:from>
    <xdr:to>
      <xdr:col>39</xdr:col>
      <xdr:colOff>666750</xdr:colOff>
      <xdr:row>58</xdr:row>
      <xdr:rowOff>186690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F3503553-C6A5-4097-ADCB-717F6CA54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0</xdr:colOff>
      <xdr:row>60</xdr:row>
      <xdr:rowOff>0</xdr:rowOff>
    </xdr:from>
    <xdr:to>
      <xdr:col>39</xdr:col>
      <xdr:colOff>666750</xdr:colOff>
      <xdr:row>87</xdr:row>
      <xdr:rowOff>186690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D2F11DC8-CE61-478E-BDC5-69065D111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0</xdr:colOff>
      <xdr:row>118</xdr:row>
      <xdr:rowOff>0</xdr:rowOff>
    </xdr:from>
    <xdr:to>
      <xdr:col>39</xdr:col>
      <xdr:colOff>666750</xdr:colOff>
      <xdr:row>145</xdr:row>
      <xdr:rowOff>186690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56D34FD1-E395-4632-A35D-DFB8FF27F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0</xdr:colOff>
      <xdr:row>146</xdr:row>
      <xdr:rowOff>190498</xdr:rowOff>
    </xdr:from>
    <xdr:to>
      <xdr:col>39</xdr:col>
      <xdr:colOff>666750</xdr:colOff>
      <xdr:row>174</xdr:row>
      <xdr:rowOff>187450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A1E8A944-065D-44BD-8001-56B35D7D4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89</xdr:row>
      <xdr:rowOff>0</xdr:rowOff>
    </xdr:from>
    <xdr:to>
      <xdr:col>39</xdr:col>
      <xdr:colOff>666750</xdr:colOff>
      <xdr:row>116</xdr:row>
      <xdr:rowOff>186690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D5FD7CFE-BD7B-4DD0-8F80-DC90AAEFF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0</xdr:colOff>
      <xdr:row>2</xdr:row>
      <xdr:rowOff>0</xdr:rowOff>
    </xdr:from>
    <xdr:to>
      <xdr:col>50</xdr:col>
      <xdr:colOff>666750</xdr:colOff>
      <xdr:row>29</xdr:row>
      <xdr:rowOff>186690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28869F0B-2899-4292-9BDA-E14D17DA5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40</xdr:col>
      <xdr:colOff>0</xdr:colOff>
      <xdr:row>31</xdr:row>
      <xdr:rowOff>0</xdr:rowOff>
    </xdr:from>
    <xdr:to>
      <xdr:col>50</xdr:col>
      <xdr:colOff>666750</xdr:colOff>
      <xdr:row>58</xdr:row>
      <xdr:rowOff>186690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4FFACDEC-17FF-47E6-BA0C-638CB8635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40</xdr:col>
      <xdr:colOff>0</xdr:colOff>
      <xdr:row>60</xdr:row>
      <xdr:rowOff>0</xdr:rowOff>
    </xdr:from>
    <xdr:to>
      <xdr:col>50</xdr:col>
      <xdr:colOff>666750</xdr:colOff>
      <xdr:row>87</xdr:row>
      <xdr:rowOff>186690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2FEB64CB-0DD0-4F9C-81CC-B29ADC380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40</xdr:col>
      <xdr:colOff>0</xdr:colOff>
      <xdr:row>118</xdr:row>
      <xdr:rowOff>0</xdr:rowOff>
    </xdr:from>
    <xdr:to>
      <xdr:col>50</xdr:col>
      <xdr:colOff>666750</xdr:colOff>
      <xdr:row>145</xdr:row>
      <xdr:rowOff>186690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xmlns="" id="{05E3FE13-2F9E-4DB8-9521-1252BDF7D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40</xdr:col>
      <xdr:colOff>0</xdr:colOff>
      <xdr:row>146</xdr:row>
      <xdr:rowOff>190498</xdr:rowOff>
    </xdr:from>
    <xdr:to>
      <xdr:col>50</xdr:col>
      <xdr:colOff>666750</xdr:colOff>
      <xdr:row>174</xdr:row>
      <xdr:rowOff>187450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xmlns="" id="{0D505578-638E-43A8-AD27-B4A97EB9B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40</xdr:col>
      <xdr:colOff>0</xdr:colOff>
      <xdr:row>89</xdr:row>
      <xdr:rowOff>0</xdr:rowOff>
    </xdr:from>
    <xdr:to>
      <xdr:col>50</xdr:col>
      <xdr:colOff>666750</xdr:colOff>
      <xdr:row>116</xdr:row>
      <xdr:rowOff>186690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xmlns="" id="{44327483-0F98-44DC-AE35-471F5AD38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185</xdr:row>
      <xdr:rowOff>9524</xdr:rowOff>
    </xdr:from>
    <xdr:to>
      <xdr:col>31</xdr:col>
      <xdr:colOff>304800</xdr:colOff>
      <xdr:row>204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83282A9-EE11-43E3-8D4C-540FB7EEC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9525</xdr:colOff>
      <xdr:row>185</xdr:row>
      <xdr:rowOff>9525</xdr:rowOff>
    </xdr:from>
    <xdr:to>
      <xdr:col>42</xdr:col>
      <xdr:colOff>314325</xdr:colOff>
      <xdr:row>204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DE48024-2B15-4CF6-B1AD-92E9ACF5E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9525</xdr:colOff>
      <xdr:row>184</xdr:row>
      <xdr:rowOff>190500</xdr:rowOff>
    </xdr:from>
    <xdr:to>
      <xdr:col>53</xdr:col>
      <xdr:colOff>314325</xdr:colOff>
      <xdr:row>204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2F6D5E7-8DB5-4B8E-8534-88C8AC91D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185</xdr:row>
      <xdr:rowOff>9524</xdr:rowOff>
    </xdr:from>
    <xdr:to>
      <xdr:col>31</xdr:col>
      <xdr:colOff>304800</xdr:colOff>
      <xdr:row>204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9E9E7D9-807F-4614-A511-AFBE84193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9525</xdr:colOff>
      <xdr:row>185</xdr:row>
      <xdr:rowOff>9525</xdr:rowOff>
    </xdr:from>
    <xdr:to>
      <xdr:col>42</xdr:col>
      <xdr:colOff>314325</xdr:colOff>
      <xdr:row>204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FF95594-F4C9-4350-9DA3-CA28A9316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9525</xdr:colOff>
      <xdr:row>184</xdr:row>
      <xdr:rowOff>190500</xdr:rowOff>
    </xdr:from>
    <xdr:to>
      <xdr:col>53</xdr:col>
      <xdr:colOff>314325</xdr:colOff>
      <xdr:row>204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86F85A18-9389-412A-9160-2CD2A7123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185</xdr:row>
      <xdr:rowOff>9524</xdr:rowOff>
    </xdr:from>
    <xdr:to>
      <xdr:col>31</xdr:col>
      <xdr:colOff>304800</xdr:colOff>
      <xdr:row>204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B6A2D31-BDE9-4A15-8517-D4283FBA4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9525</xdr:colOff>
      <xdr:row>185</xdr:row>
      <xdr:rowOff>9525</xdr:rowOff>
    </xdr:from>
    <xdr:to>
      <xdr:col>42</xdr:col>
      <xdr:colOff>314325</xdr:colOff>
      <xdr:row>204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EB4370B-D518-4C9D-9764-9D9F67D44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9525</xdr:colOff>
      <xdr:row>184</xdr:row>
      <xdr:rowOff>190500</xdr:rowOff>
    </xdr:from>
    <xdr:to>
      <xdr:col>53</xdr:col>
      <xdr:colOff>314325</xdr:colOff>
      <xdr:row>204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DE3E0B8C-B689-46A8-9665-5A62E83F8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185</xdr:row>
      <xdr:rowOff>9524</xdr:rowOff>
    </xdr:from>
    <xdr:to>
      <xdr:col>31</xdr:col>
      <xdr:colOff>304800</xdr:colOff>
      <xdr:row>204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79D69E0-1BBD-4E8B-9C51-72345575B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9525</xdr:colOff>
      <xdr:row>185</xdr:row>
      <xdr:rowOff>9525</xdr:rowOff>
    </xdr:from>
    <xdr:to>
      <xdr:col>42</xdr:col>
      <xdr:colOff>314325</xdr:colOff>
      <xdr:row>204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B7294E4-04C3-426F-916D-75C094398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9525</xdr:colOff>
      <xdr:row>184</xdr:row>
      <xdr:rowOff>190500</xdr:rowOff>
    </xdr:from>
    <xdr:to>
      <xdr:col>53</xdr:col>
      <xdr:colOff>314325</xdr:colOff>
      <xdr:row>204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A863F188-1A51-438C-BF58-F62D3AE62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304800</xdr:colOff>
      <xdr:row>16</xdr:row>
      <xdr:rowOff>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30</xdr:col>
      <xdr:colOff>304800</xdr:colOff>
      <xdr:row>16</xdr:row>
      <xdr:rowOff>1905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837ADCD-BC49-42FF-9520-659F2D12A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38</xdr:col>
      <xdr:colOff>304800</xdr:colOff>
      <xdr:row>16</xdr:row>
      <xdr:rowOff>1905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D544EA2-AC17-4120-9FF0-F2061E429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22</xdr:col>
      <xdr:colOff>304800</xdr:colOff>
      <xdr:row>34</xdr:row>
      <xdr:rowOff>1905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D7F8419-9F9F-4E7D-BE81-F3FE2CE4A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30</xdr:col>
      <xdr:colOff>304800</xdr:colOff>
      <xdr:row>34</xdr:row>
      <xdr:rowOff>1905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18449AA0-318E-4D3E-9641-C8F40D497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304800</xdr:colOff>
      <xdr:row>61</xdr:row>
      <xdr:rowOff>1905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B5E26D3-6D15-4837-BECD-27A08F86E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15</xdr:col>
      <xdr:colOff>304800</xdr:colOff>
      <xdr:row>61</xdr:row>
      <xdr:rowOff>1905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9BE8F154-8151-4584-8187-245114039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46</xdr:row>
      <xdr:rowOff>0</xdr:rowOff>
    </xdr:from>
    <xdr:to>
      <xdr:col>23</xdr:col>
      <xdr:colOff>304800</xdr:colOff>
      <xdr:row>61</xdr:row>
      <xdr:rowOff>1905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93242C66-B21F-4E8B-94BD-B7C947849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7</xdr:col>
      <xdr:colOff>304800</xdr:colOff>
      <xdr:row>78</xdr:row>
      <xdr:rowOff>1905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F049574C-F800-4E55-9502-409E30489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63</xdr:row>
      <xdr:rowOff>0</xdr:rowOff>
    </xdr:from>
    <xdr:to>
      <xdr:col>15</xdr:col>
      <xdr:colOff>304800</xdr:colOff>
      <xdr:row>78</xdr:row>
      <xdr:rowOff>1905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1CB91182-91EF-457E-AC5B-08D8B83C6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63</xdr:row>
      <xdr:rowOff>0</xdr:rowOff>
    </xdr:from>
    <xdr:to>
      <xdr:col>23</xdr:col>
      <xdr:colOff>304800</xdr:colOff>
      <xdr:row>78</xdr:row>
      <xdr:rowOff>1905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FEE2FF8A-6788-45C9-8245-0AF664951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63</xdr:row>
      <xdr:rowOff>0</xdr:rowOff>
    </xdr:from>
    <xdr:to>
      <xdr:col>31</xdr:col>
      <xdr:colOff>304800</xdr:colOff>
      <xdr:row>78</xdr:row>
      <xdr:rowOff>1905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446237A8-721F-46E4-AE40-036282E46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63</xdr:row>
      <xdr:rowOff>0</xdr:rowOff>
    </xdr:from>
    <xdr:to>
      <xdr:col>39</xdr:col>
      <xdr:colOff>304800</xdr:colOff>
      <xdr:row>78</xdr:row>
      <xdr:rowOff>1905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82AB609B-9CD1-4484-BA5D-06E7603C8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7</xdr:col>
      <xdr:colOff>304800</xdr:colOff>
      <xdr:row>95</xdr:row>
      <xdr:rowOff>1905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20B58B19-F319-4109-9536-2D9046FDB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80</xdr:row>
      <xdr:rowOff>0</xdr:rowOff>
    </xdr:from>
    <xdr:to>
      <xdr:col>15</xdr:col>
      <xdr:colOff>304800</xdr:colOff>
      <xdr:row>95</xdr:row>
      <xdr:rowOff>1905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ACA0E29D-7391-4D12-97A0-70F0D46E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80</xdr:row>
      <xdr:rowOff>0</xdr:rowOff>
    </xdr:from>
    <xdr:to>
      <xdr:col>23</xdr:col>
      <xdr:colOff>304800</xdr:colOff>
      <xdr:row>95</xdr:row>
      <xdr:rowOff>1905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5BE7F7E9-1063-4382-B1D7-DD302CBC3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0</xdr:colOff>
      <xdr:row>80</xdr:row>
      <xdr:rowOff>0</xdr:rowOff>
    </xdr:from>
    <xdr:to>
      <xdr:col>31</xdr:col>
      <xdr:colOff>304800</xdr:colOff>
      <xdr:row>95</xdr:row>
      <xdr:rowOff>1905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DF37C5E7-1BD6-4052-A00E-E16DC2220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0</xdr:colOff>
      <xdr:row>80</xdr:row>
      <xdr:rowOff>0</xdr:rowOff>
    </xdr:from>
    <xdr:to>
      <xdr:col>39</xdr:col>
      <xdr:colOff>304800</xdr:colOff>
      <xdr:row>95</xdr:row>
      <xdr:rowOff>1905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D3B0910C-92EC-4423-A5F0-A09CC3C8D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7</xdr:col>
      <xdr:colOff>304800</xdr:colOff>
      <xdr:row>122</xdr:row>
      <xdr:rowOff>1905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xmlns="" id="{E058164D-D0EC-452C-8531-906471A7B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107</xdr:row>
      <xdr:rowOff>0</xdr:rowOff>
    </xdr:from>
    <xdr:to>
      <xdr:col>15</xdr:col>
      <xdr:colOff>304800</xdr:colOff>
      <xdr:row>122</xdr:row>
      <xdr:rowOff>1905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xmlns="" id="{767EE7FA-BC77-41B9-92B6-819A1AD55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0</xdr:colOff>
      <xdr:row>107</xdr:row>
      <xdr:rowOff>0</xdr:rowOff>
    </xdr:from>
    <xdr:to>
      <xdr:col>23</xdr:col>
      <xdr:colOff>304800</xdr:colOff>
      <xdr:row>122</xdr:row>
      <xdr:rowOff>1905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xmlns="" id="{A66E336C-4D7F-404A-AF80-193660DFA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124</xdr:row>
      <xdr:rowOff>0</xdr:rowOff>
    </xdr:from>
    <xdr:to>
      <xdr:col>7</xdr:col>
      <xdr:colOff>304800</xdr:colOff>
      <xdr:row>139</xdr:row>
      <xdr:rowOff>1905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xmlns="" id="{3F1971CF-DD6C-4645-9A2A-E0AF4DAD2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124</xdr:row>
      <xdr:rowOff>0</xdr:rowOff>
    </xdr:from>
    <xdr:to>
      <xdr:col>15</xdr:col>
      <xdr:colOff>304800</xdr:colOff>
      <xdr:row>139</xdr:row>
      <xdr:rowOff>1905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xmlns="" id="{736D0CBA-C26D-44C9-8EBE-C574B89A5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0</xdr:colOff>
      <xdr:row>124</xdr:row>
      <xdr:rowOff>0</xdr:rowOff>
    </xdr:from>
    <xdr:to>
      <xdr:col>23</xdr:col>
      <xdr:colOff>304800</xdr:colOff>
      <xdr:row>139</xdr:row>
      <xdr:rowOff>1905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xmlns="" id="{108C199E-58D9-4525-BB2B-80AA0C758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24</xdr:col>
      <xdr:colOff>0</xdr:colOff>
      <xdr:row>124</xdr:row>
      <xdr:rowOff>0</xdr:rowOff>
    </xdr:from>
    <xdr:to>
      <xdr:col>31</xdr:col>
      <xdr:colOff>304800</xdr:colOff>
      <xdr:row>139</xdr:row>
      <xdr:rowOff>1905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xmlns="" id="{E13CFE5C-1431-4DEE-9816-806AAF3BA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32</xdr:col>
      <xdr:colOff>0</xdr:colOff>
      <xdr:row>124</xdr:row>
      <xdr:rowOff>0</xdr:rowOff>
    </xdr:from>
    <xdr:to>
      <xdr:col>39</xdr:col>
      <xdr:colOff>304800</xdr:colOff>
      <xdr:row>139</xdr:row>
      <xdr:rowOff>1905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xmlns="" id="{D6EA70DF-9108-4CC3-9D3F-A615E9995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141</xdr:row>
      <xdr:rowOff>0</xdr:rowOff>
    </xdr:from>
    <xdr:to>
      <xdr:col>7</xdr:col>
      <xdr:colOff>304800</xdr:colOff>
      <xdr:row>156</xdr:row>
      <xdr:rowOff>1905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xmlns="" id="{9738FBF9-44C2-4D4B-B239-34B293B78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141</xdr:row>
      <xdr:rowOff>0</xdr:rowOff>
    </xdr:from>
    <xdr:to>
      <xdr:col>15</xdr:col>
      <xdr:colOff>304800</xdr:colOff>
      <xdr:row>156</xdr:row>
      <xdr:rowOff>1905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xmlns="" id="{4C5F8A10-99D7-4F5F-BF75-7146DBBC1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0</xdr:colOff>
      <xdr:row>141</xdr:row>
      <xdr:rowOff>0</xdr:rowOff>
    </xdr:from>
    <xdr:to>
      <xdr:col>23</xdr:col>
      <xdr:colOff>304800</xdr:colOff>
      <xdr:row>156</xdr:row>
      <xdr:rowOff>1905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xmlns="" id="{1FA84F26-4BED-44B3-A9D3-9D0885D79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24</xdr:col>
      <xdr:colOff>0</xdr:colOff>
      <xdr:row>141</xdr:row>
      <xdr:rowOff>0</xdr:rowOff>
    </xdr:from>
    <xdr:to>
      <xdr:col>31</xdr:col>
      <xdr:colOff>304800</xdr:colOff>
      <xdr:row>156</xdr:row>
      <xdr:rowOff>1905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xmlns="" id="{A3464D26-999B-47F8-A4A6-32723132F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32</xdr:col>
      <xdr:colOff>0</xdr:colOff>
      <xdr:row>141</xdr:row>
      <xdr:rowOff>0</xdr:rowOff>
    </xdr:from>
    <xdr:to>
      <xdr:col>39</xdr:col>
      <xdr:colOff>304800</xdr:colOff>
      <xdr:row>156</xdr:row>
      <xdr:rowOff>1905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xmlns="" id="{30D1D62F-7EA6-4B51-B61B-6170C5000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168</xdr:row>
      <xdr:rowOff>0</xdr:rowOff>
    </xdr:from>
    <xdr:to>
      <xdr:col>7</xdr:col>
      <xdr:colOff>304800</xdr:colOff>
      <xdr:row>183</xdr:row>
      <xdr:rowOff>1905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xmlns="" id="{6FA599A1-06BD-478F-A55C-8D8448A52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183</xdr:row>
      <xdr:rowOff>1905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xmlns="" id="{17E17802-1ED6-43F3-BBD0-DFD217DF4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183</xdr:row>
      <xdr:rowOff>1905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xmlns="" id="{E47593AF-F2E1-43AD-839E-DAF9ECD5E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185</xdr:row>
      <xdr:rowOff>0</xdr:rowOff>
    </xdr:from>
    <xdr:to>
      <xdr:col>7</xdr:col>
      <xdr:colOff>304800</xdr:colOff>
      <xdr:row>200</xdr:row>
      <xdr:rowOff>1905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xmlns="" id="{F75FE7E5-F8E5-4752-A8B4-A38BC814D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185</xdr:row>
      <xdr:rowOff>0</xdr:rowOff>
    </xdr:from>
    <xdr:to>
      <xdr:col>15</xdr:col>
      <xdr:colOff>304800</xdr:colOff>
      <xdr:row>200</xdr:row>
      <xdr:rowOff>1905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xmlns="" id="{CEB27443-DCE7-46C1-8B70-FE13EA48D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16</xdr:col>
      <xdr:colOff>0</xdr:colOff>
      <xdr:row>185</xdr:row>
      <xdr:rowOff>0</xdr:rowOff>
    </xdr:from>
    <xdr:to>
      <xdr:col>23</xdr:col>
      <xdr:colOff>304800</xdr:colOff>
      <xdr:row>200</xdr:row>
      <xdr:rowOff>1905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xmlns="" id="{3D3739DB-BB2E-4E5E-A4CC-F0E96ED0F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24</xdr:col>
      <xdr:colOff>0</xdr:colOff>
      <xdr:row>185</xdr:row>
      <xdr:rowOff>0</xdr:rowOff>
    </xdr:from>
    <xdr:to>
      <xdr:col>31</xdr:col>
      <xdr:colOff>304800</xdr:colOff>
      <xdr:row>200</xdr:row>
      <xdr:rowOff>1905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xmlns="" id="{303670E5-A416-48CB-AD22-A4345A5CC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32</xdr:col>
      <xdr:colOff>0</xdr:colOff>
      <xdr:row>185</xdr:row>
      <xdr:rowOff>0</xdr:rowOff>
    </xdr:from>
    <xdr:to>
      <xdr:col>39</xdr:col>
      <xdr:colOff>304800</xdr:colOff>
      <xdr:row>200</xdr:row>
      <xdr:rowOff>1905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xmlns="" id="{50A40AA0-3A49-4DA8-BE8D-EF004C2CB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0</xdr:colOff>
      <xdr:row>202</xdr:row>
      <xdr:rowOff>0</xdr:rowOff>
    </xdr:from>
    <xdr:to>
      <xdr:col>7</xdr:col>
      <xdr:colOff>304800</xdr:colOff>
      <xdr:row>217</xdr:row>
      <xdr:rowOff>1905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xmlns="" id="{7DE5CADA-784F-4E9E-A80F-8E7B5A167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0</xdr:colOff>
      <xdr:row>202</xdr:row>
      <xdr:rowOff>0</xdr:rowOff>
    </xdr:from>
    <xdr:to>
      <xdr:col>15</xdr:col>
      <xdr:colOff>304800</xdr:colOff>
      <xdr:row>217</xdr:row>
      <xdr:rowOff>1905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xmlns="" id="{06C70FCE-37AC-4B10-9D0F-906FCB178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16</xdr:col>
      <xdr:colOff>0</xdr:colOff>
      <xdr:row>202</xdr:row>
      <xdr:rowOff>0</xdr:rowOff>
    </xdr:from>
    <xdr:to>
      <xdr:col>23</xdr:col>
      <xdr:colOff>304800</xdr:colOff>
      <xdr:row>217</xdr:row>
      <xdr:rowOff>1905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xmlns="" id="{1BB1CB94-F401-4CAC-812F-88E24CFA9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24</xdr:col>
      <xdr:colOff>0</xdr:colOff>
      <xdr:row>202</xdr:row>
      <xdr:rowOff>0</xdr:rowOff>
    </xdr:from>
    <xdr:to>
      <xdr:col>31</xdr:col>
      <xdr:colOff>304800</xdr:colOff>
      <xdr:row>217</xdr:row>
      <xdr:rowOff>1905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xmlns="" id="{F1E83F48-8C71-4701-B818-AD6F62BDA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32</xdr:col>
      <xdr:colOff>0</xdr:colOff>
      <xdr:row>202</xdr:row>
      <xdr:rowOff>0</xdr:rowOff>
    </xdr:from>
    <xdr:to>
      <xdr:col>39</xdr:col>
      <xdr:colOff>304800</xdr:colOff>
      <xdr:row>217</xdr:row>
      <xdr:rowOff>1905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xmlns="" id="{A4174A7B-DB33-4B6C-950D-38E2419C5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229</xdr:row>
      <xdr:rowOff>0</xdr:rowOff>
    </xdr:from>
    <xdr:to>
      <xdr:col>7</xdr:col>
      <xdr:colOff>304800</xdr:colOff>
      <xdr:row>244</xdr:row>
      <xdr:rowOff>1905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xmlns="" id="{71C4B33F-1289-4E9F-B0D5-6623BEC8B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0</xdr:colOff>
      <xdr:row>229</xdr:row>
      <xdr:rowOff>0</xdr:rowOff>
    </xdr:from>
    <xdr:to>
      <xdr:col>15</xdr:col>
      <xdr:colOff>304800</xdr:colOff>
      <xdr:row>244</xdr:row>
      <xdr:rowOff>1905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xmlns="" id="{9EC252CD-7984-4FC6-9BFB-B3FF8BF1A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16</xdr:col>
      <xdr:colOff>0</xdr:colOff>
      <xdr:row>229</xdr:row>
      <xdr:rowOff>0</xdr:rowOff>
    </xdr:from>
    <xdr:to>
      <xdr:col>23</xdr:col>
      <xdr:colOff>304800</xdr:colOff>
      <xdr:row>244</xdr:row>
      <xdr:rowOff>1905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xmlns="" id="{4E481C0E-4405-42FD-81CC-ADB3C5930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246</xdr:row>
      <xdr:rowOff>0</xdr:rowOff>
    </xdr:from>
    <xdr:to>
      <xdr:col>7</xdr:col>
      <xdr:colOff>304800</xdr:colOff>
      <xdr:row>261</xdr:row>
      <xdr:rowOff>1905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xmlns="" id="{094B003E-C824-4906-BD8D-3177E82F2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246</xdr:row>
      <xdr:rowOff>0</xdr:rowOff>
    </xdr:from>
    <xdr:to>
      <xdr:col>15</xdr:col>
      <xdr:colOff>304800</xdr:colOff>
      <xdr:row>261</xdr:row>
      <xdr:rowOff>1905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xmlns="" id="{F5E2D5BE-0A99-4EEC-B465-DA64FB8A0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16</xdr:col>
      <xdr:colOff>0</xdr:colOff>
      <xdr:row>246</xdr:row>
      <xdr:rowOff>0</xdr:rowOff>
    </xdr:from>
    <xdr:to>
      <xdr:col>23</xdr:col>
      <xdr:colOff>304800</xdr:colOff>
      <xdr:row>261</xdr:row>
      <xdr:rowOff>1905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xmlns="" id="{40649223-0CBB-4C15-9BAB-51946ABC5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24</xdr:col>
      <xdr:colOff>0</xdr:colOff>
      <xdr:row>246</xdr:row>
      <xdr:rowOff>0</xdr:rowOff>
    </xdr:from>
    <xdr:to>
      <xdr:col>31</xdr:col>
      <xdr:colOff>304800</xdr:colOff>
      <xdr:row>261</xdr:row>
      <xdr:rowOff>1905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xmlns="" id="{D1793F43-9C5B-4396-A87E-3AD7C9537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32</xdr:col>
      <xdr:colOff>0</xdr:colOff>
      <xdr:row>246</xdr:row>
      <xdr:rowOff>0</xdr:rowOff>
    </xdr:from>
    <xdr:to>
      <xdr:col>39</xdr:col>
      <xdr:colOff>304800</xdr:colOff>
      <xdr:row>261</xdr:row>
      <xdr:rowOff>1905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xmlns="" id="{55164DBB-0CC4-4993-ABA3-0B02C5415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0</xdr:colOff>
      <xdr:row>263</xdr:row>
      <xdr:rowOff>0</xdr:rowOff>
    </xdr:from>
    <xdr:to>
      <xdr:col>7</xdr:col>
      <xdr:colOff>304800</xdr:colOff>
      <xdr:row>278</xdr:row>
      <xdr:rowOff>1905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xmlns="" id="{A695C111-EE33-4A40-9ABA-B163D0B30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0</xdr:colOff>
      <xdr:row>263</xdr:row>
      <xdr:rowOff>0</xdr:rowOff>
    </xdr:from>
    <xdr:to>
      <xdr:col>15</xdr:col>
      <xdr:colOff>304800</xdr:colOff>
      <xdr:row>278</xdr:row>
      <xdr:rowOff>1905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xmlns="" id="{F8D4458C-12BA-4C8B-BAE1-A20346D1B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16</xdr:col>
      <xdr:colOff>0</xdr:colOff>
      <xdr:row>263</xdr:row>
      <xdr:rowOff>0</xdr:rowOff>
    </xdr:from>
    <xdr:to>
      <xdr:col>23</xdr:col>
      <xdr:colOff>304800</xdr:colOff>
      <xdr:row>278</xdr:row>
      <xdr:rowOff>1905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xmlns="" id="{FE12E73A-EC4C-4D7F-9891-1E6D669B1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24</xdr:col>
      <xdr:colOff>0</xdr:colOff>
      <xdr:row>263</xdr:row>
      <xdr:rowOff>0</xdr:rowOff>
    </xdr:from>
    <xdr:to>
      <xdr:col>31</xdr:col>
      <xdr:colOff>304800</xdr:colOff>
      <xdr:row>278</xdr:row>
      <xdr:rowOff>1905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xmlns="" id="{A65E559B-7952-45BD-ABCE-38E7CCA68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32</xdr:col>
      <xdr:colOff>0</xdr:colOff>
      <xdr:row>263</xdr:row>
      <xdr:rowOff>0</xdr:rowOff>
    </xdr:from>
    <xdr:to>
      <xdr:col>39</xdr:col>
      <xdr:colOff>304800</xdr:colOff>
      <xdr:row>278</xdr:row>
      <xdr:rowOff>1905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xmlns="" id="{9943C904-7560-4EF9-B9DB-3CB3A6E9F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34</xdr:row>
      <xdr:rowOff>1905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xmlns="" id="{0C816E52-907D-46DD-91E2-D99ECA8A0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27</xdr:col>
      <xdr:colOff>207645</xdr:colOff>
      <xdr:row>29</xdr:row>
      <xdr:rowOff>186690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157F499-601F-462E-A852-3C51C480B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27</xdr:col>
      <xdr:colOff>207645</xdr:colOff>
      <xdr:row>58</xdr:row>
      <xdr:rowOff>186690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6F01DC23-D068-4060-97B2-EEA84CABD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60</xdr:row>
      <xdr:rowOff>0</xdr:rowOff>
    </xdr:from>
    <xdr:to>
      <xdr:col>27</xdr:col>
      <xdr:colOff>207645</xdr:colOff>
      <xdr:row>87</xdr:row>
      <xdr:rowOff>186690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BC0A5180-FDC3-4CB9-BA28-F3AA185FA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31</xdr:row>
      <xdr:rowOff>0</xdr:rowOff>
    </xdr:from>
    <xdr:to>
      <xdr:col>49</xdr:col>
      <xdr:colOff>207645</xdr:colOff>
      <xdr:row>58</xdr:row>
      <xdr:rowOff>186690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7B70B5BF-7606-4D00-A72C-E417DDD96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60</xdr:row>
      <xdr:rowOff>0</xdr:rowOff>
    </xdr:from>
    <xdr:to>
      <xdr:col>49</xdr:col>
      <xdr:colOff>207645</xdr:colOff>
      <xdr:row>87</xdr:row>
      <xdr:rowOff>186690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C88FB00A-0E94-430B-B1B9-2B1FB4460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16</xdr:col>
      <xdr:colOff>666750</xdr:colOff>
      <xdr:row>29</xdr:row>
      <xdr:rowOff>186690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440E04-98AC-4319-AFD8-59AD2C96E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16</xdr:col>
      <xdr:colOff>666750</xdr:colOff>
      <xdr:row>58</xdr:row>
      <xdr:rowOff>186690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77FCA68-456F-42FB-B5DB-886AF0A41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60</xdr:row>
      <xdr:rowOff>0</xdr:rowOff>
    </xdr:from>
    <xdr:to>
      <xdr:col>16</xdr:col>
      <xdr:colOff>666750</xdr:colOff>
      <xdr:row>87</xdr:row>
      <xdr:rowOff>187452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C17CFC5-48F2-4705-85C9-0F4516791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27</xdr:col>
      <xdr:colOff>666750</xdr:colOff>
      <xdr:row>29</xdr:row>
      <xdr:rowOff>186690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xmlns="" id="{243BCF6D-CFF6-4722-ACD8-D48721143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27</xdr:col>
      <xdr:colOff>666750</xdr:colOff>
      <xdr:row>58</xdr:row>
      <xdr:rowOff>186690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xmlns="" id="{BCDC70F2-BF4F-4EEE-84CB-B076FEC0F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60</xdr:row>
      <xdr:rowOff>0</xdr:rowOff>
    </xdr:from>
    <xdr:to>
      <xdr:col>27</xdr:col>
      <xdr:colOff>666750</xdr:colOff>
      <xdr:row>87</xdr:row>
      <xdr:rowOff>187452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xmlns="" id="{4EA04FF1-06B1-42B6-9D51-63E1DB8C3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2</xdr:row>
      <xdr:rowOff>0</xdr:rowOff>
    </xdr:from>
    <xdr:to>
      <xdr:col>38</xdr:col>
      <xdr:colOff>666750</xdr:colOff>
      <xdr:row>29</xdr:row>
      <xdr:rowOff>186690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xmlns="" id="{55C1809E-87AB-4448-9050-764A2F8F8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31</xdr:row>
      <xdr:rowOff>0</xdr:rowOff>
    </xdr:from>
    <xdr:to>
      <xdr:col>38</xdr:col>
      <xdr:colOff>666750</xdr:colOff>
      <xdr:row>58</xdr:row>
      <xdr:rowOff>186690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xmlns="" id="{C0F8C037-8844-44FD-BCAE-BF983ACAC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60</xdr:row>
      <xdr:rowOff>0</xdr:rowOff>
    </xdr:from>
    <xdr:to>
      <xdr:col>38</xdr:col>
      <xdr:colOff>666750</xdr:colOff>
      <xdr:row>87</xdr:row>
      <xdr:rowOff>187452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xmlns="" id="{3B2533F8-863A-446D-AE61-BA9129EBD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0</xdr:colOff>
      <xdr:row>2</xdr:row>
      <xdr:rowOff>0</xdr:rowOff>
    </xdr:from>
    <xdr:to>
      <xdr:col>49</xdr:col>
      <xdr:colOff>666750</xdr:colOff>
      <xdr:row>29</xdr:row>
      <xdr:rowOff>186690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xmlns="" id="{CB4CDF6E-CEB5-48B4-907D-E3F451694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0</xdr:colOff>
      <xdr:row>31</xdr:row>
      <xdr:rowOff>0</xdr:rowOff>
    </xdr:from>
    <xdr:to>
      <xdr:col>49</xdr:col>
      <xdr:colOff>666750</xdr:colOff>
      <xdr:row>58</xdr:row>
      <xdr:rowOff>186690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xmlns="" id="{C004523B-2613-4F1A-8624-AE5EC6EA5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0</xdr:colOff>
      <xdr:row>60</xdr:row>
      <xdr:rowOff>0</xdr:rowOff>
    </xdr:from>
    <xdr:to>
      <xdr:col>49</xdr:col>
      <xdr:colOff>666750</xdr:colOff>
      <xdr:row>87</xdr:row>
      <xdr:rowOff>187452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xmlns="" id="{0165AF6A-9155-4015-813F-442764AE9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89</xdr:row>
      <xdr:rowOff>0</xdr:rowOff>
    </xdr:from>
    <xdr:to>
      <xdr:col>16</xdr:col>
      <xdr:colOff>666750</xdr:colOff>
      <xdr:row>116</xdr:row>
      <xdr:rowOff>186690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xmlns="" id="{8BD3293C-1557-48DB-9EFA-565BC0E44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118</xdr:row>
      <xdr:rowOff>0</xdr:rowOff>
    </xdr:from>
    <xdr:to>
      <xdr:col>16</xdr:col>
      <xdr:colOff>666750</xdr:colOff>
      <xdr:row>145</xdr:row>
      <xdr:rowOff>187452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xmlns="" id="{1BE64A64-3488-4A32-8EED-94D427145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27</xdr:col>
      <xdr:colOff>666750</xdr:colOff>
      <xdr:row>116</xdr:row>
      <xdr:rowOff>186690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xmlns="" id="{CBA722F2-B39B-467B-B6FD-2767399FC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118</xdr:row>
      <xdr:rowOff>0</xdr:rowOff>
    </xdr:from>
    <xdr:to>
      <xdr:col>27</xdr:col>
      <xdr:colOff>666750</xdr:colOff>
      <xdr:row>145</xdr:row>
      <xdr:rowOff>187452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xmlns="" id="{EC63AFF0-2B37-43F0-B0AA-AC8318040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0</xdr:colOff>
      <xdr:row>89</xdr:row>
      <xdr:rowOff>0</xdr:rowOff>
    </xdr:from>
    <xdr:to>
      <xdr:col>38</xdr:col>
      <xdr:colOff>666750</xdr:colOff>
      <xdr:row>116</xdr:row>
      <xdr:rowOff>186690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xmlns="" id="{FE9B32AC-27C3-4643-AFFE-94B74FDCE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0</xdr:colOff>
      <xdr:row>118</xdr:row>
      <xdr:rowOff>0</xdr:rowOff>
    </xdr:from>
    <xdr:to>
      <xdr:col>38</xdr:col>
      <xdr:colOff>666750</xdr:colOff>
      <xdr:row>145</xdr:row>
      <xdr:rowOff>187452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xmlns="" id="{62D32A39-D50C-4B2C-90DC-B5FB12230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39</xdr:col>
      <xdr:colOff>0</xdr:colOff>
      <xdr:row>89</xdr:row>
      <xdr:rowOff>0</xdr:rowOff>
    </xdr:from>
    <xdr:to>
      <xdr:col>49</xdr:col>
      <xdr:colOff>666750</xdr:colOff>
      <xdr:row>116</xdr:row>
      <xdr:rowOff>186690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xmlns="" id="{338171FE-AB55-4DD6-896D-1210BD425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39</xdr:col>
      <xdr:colOff>0</xdr:colOff>
      <xdr:row>118</xdr:row>
      <xdr:rowOff>0</xdr:rowOff>
    </xdr:from>
    <xdr:to>
      <xdr:col>49</xdr:col>
      <xdr:colOff>666750</xdr:colOff>
      <xdr:row>145</xdr:row>
      <xdr:rowOff>187452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xmlns="" id="{036A8BCF-55CE-4515-9B94-F1F3EA7A2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21</xdr:col>
      <xdr:colOff>541020</xdr:colOff>
      <xdr:row>29</xdr:row>
      <xdr:rowOff>186690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5A0BED40-94D3-43DC-8C71-C6CBE684B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21</xdr:col>
      <xdr:colOff>541020</xdr:colOff>
      <xdr:row>58</xdr:row>
      <xdr:rowOff>186690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F9FC1F8A-174B-404B-AB68-504D44674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60</xdr:row>
      <xdr:rowOff>0</xdr:rowOff>
    </xdr:from>
    <xdr:to>
      <xdr:col>21</xdr:col>
      <xdr:colOff>541020</xdr:colOff>
      <xdr:row>87</xdr:row>
      <xdr:rowOff>186690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F35A17A9-E27D-4639-9BA1-960767B48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31</xdr:row>
      <xdr:rowOff>0</xdr:rowOff>
    </xdr:from>
    <xdr:to>
      <xdr:col>36</xdr:col>
      <xdr:colOff>541020</xdr:colOff>
      <xdr:row>58</xdr:row>
      <xdr:rowOff>186690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D728C54C-8FE0-4BB4-B90E-E29B4F2C6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60</xdr:row>
      <xdr:rowOff>0</xdr:rowOff>
    </xdr:from>
    <xdr:to>
      <xdr:col>36</xdr:col>
      <xdr:colOff>541020</xdr:colOff>
      <xdr:row>87</xdr:row>
      <xdr:rowOff>186690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68D5827C-72AD-4F9F-A764-24DD78ED8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36</xdr:col>
      <xdr:colOff>541020</xdr:colOff>
      <xdr:row>29</xdr:row>
      <xdr:rowOff>186690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EEC8068E-EA03-4573-807F-616CC189A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5"/>
  <sheetViews>
    <sheetView topLeftCell="A146" workbookViewId="0">
      <selection activeCell="E150" sqref="E150:E153"/>
    </sheetView>
  </sheetViews>
  <sheetFormatPr defaultRowHeight="14.4" x14ac:dyDescent="0.3"/>
  <cols>
    <col min="1" max="20" width="7.6640625" customWidth="1"/>
  </cols>
  <sheetData>
    <row r="1" spans="1:16" s="14" customFormat="1" x14ac:dyDescent="0.3"/>
    <row r="2" spans="1:16" x14ac:dyDescent="0.3">
      <c r="A2" t="s">
        <v>14</v>
      </c>
      <c r="B2" t="s">
        <v>1</v>
      </c>
      <c r="C2" t="s">
        <v>2</v>
      </c>
    </row>
    <row r="3" spans="1:16" x14ac:dyDescent="0.3">
      <c r="A3" t="s">
        <v>3</v>
      </c>
      <c r="B3">
        <f>5168+7037</f>
        <v>12205</v>
      </c>
      <c r="C3">
        <f>5883+5032</f>
        <v>10915</v>
      </c>
      <c r="D3">
        <f>B3+C3</f>
        <v>23120</v>
      </c>
      <c r="E3" s="16">
        <f>(B3/D3)</f>
        <v>0.52789792387543255</v>
      </c>
      <c r="F3" s="16">
        <f>C3/D3</f>
        <v>0.47210207612456745</v>
      </c>
    </row>
    <row r="4" spans="1:16" x14ac:dyDescent="0.3">
      <c r="A4" t="s">
        <v>4</v>
      </c>
      <c r="B4">
        <f>10659+5183</f>
        <v>15842</v>
      </c>
      <c r="C4">
        <f>4956+2322</f>
        <v>7278</v>
      </c>
      <c r="D4">
        <f t="shared" ref="D4:D6" si="0">B4+C4</f>
        <v>23120</v>
      </c>
      <c r="E4" s="16">
        <f>(B4/D4)</f>
        <v>0.68520761245674744</v>
      </c>
      <c r="F4" s="16">
        <f t="shared" ref="F4:F6" si="1">C4/D4</f>
        <v>0.31479238754325262</v>
      </c>
    </row>
    <row r="5" spans="1:16" x14ac:dyDescent="0.3">
      <c r="A5" t="s">
        <v>0</v>
      </c>
      <c r="B5">
        <f>1304+9585</f>
        <v>10889</v>
      </c>
      <c r="C5">
        <f>5739+6492</f>
        <v>12231</v>
      </c>
      <c r="D5">
        <f t="shared" si="0"/>
        <v>23120</v>
      </c>
      <c r="E5" s="16">
        <f t="shared" ref="E5:E6" si="2">(B5/D5)</f>
        <v>0.47097750865051902</v>
      </c>
      <c r="F5" s="16">
        <f t="shared" si="1"/>
        <v>0.52902249134948098</v>
      </c>
    </row>
    <row r="6" spans="1:16" x14ac:dyDescent="0.3">
      <c r="A6" t="s">
        <v>5</v>
      </c>
      <c r="B6">
        <f>17758+208</f>
        <v>17966</v>
      </c>
      <c r="C6">
        <f>5059+95</f>
        <v>5154</v>
      </c>
      <c r="D6">
        <f t="shared" si="0"/>
        <v>23120</v>
      </c>
      <c r="E6" s="16">
        <f t="shared" si="2"/>
        <v>0.7770761245674741</v>
      </c>
      <c r="F6" s="16">
        <f t="shared" si="1"/>
        <v>0.22292387543252595</v>
      </c>
    </row>
    <row r="7" spans="1:16" ht="15" thickBot="1" x14ac:dyDescent="0.35"/>
    <row r="8" spans="1:16" ht="15" thickBot="1" x14ac:dyDescent="0.35">
      <c r="A8" s="61"/>
      <c r="B8" s="63" t="s">
        <v>12</v>
      </c>
      <c r="C8" s="64"/>
      <c r="D8" s="64"/>
      <c r="E8" s="64"/>
      <c r="F8" s="65"/>
      <c r="G8" s="63" t="s">
        <v>11</v>
      </c>
      <c r="H8" s="64"/>
      <c r="I8" s="64"/>
      <c r="J8" s="64"/>
      <c r="K8" s="65"/>
      <c r="L8" s="63" t="s">
        <v>13</v>
      </c>
      <c r="M8" s="64"/>
      <c r="N8" s="64"/>
      <c r="O8" s="64"/>
      <c r="P8" s="65"/>
    </row>
    <row r="9" spans="1:16" ht="15" thickBot="1" x14ac:dyDescent="0.35">
      <c r="A9" s="62"/>
      <c r="B9" s="9" t="s">
        <v>6</v>
      </c>
      <c r="C9" s="10" t="s">
        <v>7</v>
      </c>
      <c r="D9" s="7" t="s">
        <v>8</v>
      </c>
      <c r="E9" s="7" t="s">
        <v>9</v>
      </c>
      <c r="F9" s="8" t="s">
        <v>10</v>
      </c>
      <c r="G9" s="9" t="s">
        <v>6</v>
      </c>
      <c r="H9" s="10" t="s">
        <v>7</v>
      </c>
      <c r="I9" s="7" t="s">
        <v>8</v>
      </c>
      <c r="J9" s="7" t="s">
        <v>9</v>
      </c>
      <c r="K9" s="8" t="s">
        <v>10</v>
      </c>
      <c r="L9" s="9" t="s">
        <v>6</v>
      </c>
      <c r="M9" s="10" t="s">
        <v>7</v>
      </c>
      <c r="N9" s="7" t="s">
        <v>8</v>
      </c>
      <c r="O9" s="7" t="s">
        <v>9</v>
      </c>
      <c r="P9" s="8" t="s">
        <v>10</v>
      </c>
    </row>
    <row r="10" spans="1:16" x14ac:dyDescent="0.3">
      <c r="A10" s="11" t="s">
        <v>3</v>
      </c>
      <c r="B10" s="29">
        <v>44.12</v>
      </c>
      <c r="C10" s="30">
        <v>44.23</v>
      </c>
      <c r="D10" s="24">
        <v>44.22</v>
      </c>
      <c r="E10" s="24">
        <f>2*((C10*D10)/(C10+D10))</f>
        <v>44.224999434708877</v>
      </c>
      <c r="F10" s="36">
        <v>-0.115</v>
      </c>
      <c r="G10" s="31">
        <v>45.45</v>
      </c>
      <c r="H10" s="24">
        <v>45.51</v>
      </c>
      <c r="I10" s="24">
        <v>45.49</v>
      </c>
      <c r="J10" s="24">
        <f>2*((H10*I10)/(H10+I10))</f>
        <v>45.499997802197797</v>
      </c>
      <c r="K10" s="36">
        <v>-0.09</v>
      </c>
      <c r="L10" s="31">
        <v>50.42</v>
      </c>
      <c r="M10" s="24">
        <v>51</v>
      </c>
      <c r="N10" s="24">
        <v>50.97</v>
      </c>
      <c r="O10" s="24">
        <f>2*((M10*N10)/(M10+N10))</f>
        <v>50.98499558693733</v>
      </c>
      <c r="P10" s="36">
        <v>1.9E-2</v>
      </c>
    </row>
    <row r="11" spans="1:16" x14ac:dyDescent="0.3">
      <c r="A11" s="12" t="s">
        <v>4</v>
      </c>
      <c r="B11" s="31">
        <v>56.15</v>
      </c>
      <c r="C11" s="24">
        <v>49.6</v>
      </c>
      <c r="D11" s="24">
        <v>49.59</v>
      </c>
      <c r="E11" s="24">
        <f t="shared" ref="E11:E13" si="3">2*((C11*D11)/(C11+D11))</f>
        <v>49.59499949591693</v>
      </c>
      <c r="F11" s="36">
        <v>-8.0000000000000002E-3</v>
      </c>
      <c r="G11" s="31">
        <v>56.73</v>
      </c>
      <c r="H11" s="24">
        <v>40.1</v>
      </c>
      <c r="I11" s="24">
        <v>43.57</v>
      </c>
      <c r="J11" s="24">
        <f t="shared" ref="J11:J13" si="4">2*((H11*I11)/(H11+I11))</f>
        <v>41.763045297000126</v>
      </c>
      <c r="K11" s="36">
        <v>-0.14699999999999999</v>
      </c>
      <c r="L11" s="31">
        <v>53.89</v>
      </c>
      <c r="M11" s="24">
        <v>48.68</v>
      </c>
      <c r="N11" s="24">
        <v>48.58</v>
      </c>
      <c r="O11" s="24">
        <f t="shared" ref="O11:O13" si="5">2*((M11*N11)/(M11+N11))</f>
        <v>48.629948591404478</v>
      </c>
      <c r="P11" s="36">
        <v>-2.7E-2</v>
      </c>
    </row>
    <row r="12" spans="1:16" x14ac:dyDescent="0.3">
      <c r="A12" s="12" t="s">
        <v>0</v>
      </c>
      <c r="B12" s="31">
        <v>33.72</v>
      </c>
      <c r="C12" s="24">
        <v>29.45</v>
      </c>
      <c r="D12" s="24">
        <v>32.53</v>
      </c>
      <c r="E12" s="24">
        <f t="shared" si="3"/>
        <v>30.913472087770248</v>
      </c>
      <c r="F12" s="36">
        <v>-0.35599999999999998</v>
      </c>
      <c r="G12" s="31">
        <v>43.86</v>
      </c>
      <c r="H12" s="24">
        <v>43.92</v>
      </c>
      <c r="I12" s="24">
        <v>43.9</v>
      </c>
      <c r="J12" s="24">
        <f t="shared" si="4"/>
        <v>43.909997722614442</v>
      </c>
      <c r="K12" s="36">
        <v>-0.121</v>
      </c>
      <c r="L12" s="31">
        <v>43.74</v>
      </c>
      <c r="M12" s="24">
        <v>42.77</v>
      </c>
      <c r="N12" s="24">
        <v>43.09</v>
      </c>
      <c r="O12" s="24">
        <f t="shared" si="5"/>
        <v>42.929403680409969</v>
      </c>
      <c r="P12" s="36">
        <v>-0.14000000000000001</v>
      </c>
    </row>
    <row r="13" spans="1:16" ht="15" thickBot="1" x14ac:dyDescent="0.35">
      <c r="A13" s="13" t="s">
        <v>5</v>
      </c>
      <c r="B13" s="33">
        <v>77.22</v>
      </c>
      <c r="C13" s="25">
        <v>54.59</v>
      </c>
      <c r="D13" s="25">
        <v>50.34</v>
      </c>
      <c r="E13" s="25">
        <f t="shared" si="3"/>
        <v>52.378930715715242</v>
      </c>
      <c r="F13" s="37">
        <v>0.01</v>
      </c>
      <c r="G13" s="33">
        <v>77.69</v>
      </c>
      <c r="H13" s="25">
        <v>38.85</v>
      </c>
      <c r="I13" s="25">
        <v>49.99</v>
      </c>
      <c r="J13" s="25">
        <f t="shared" si="4"/>
        <v>43.72155560558307</v>
      </c>
      <c r="K13" s="37">
        <v>0</v>
      </c>
      <c r="L13" s="33">
        <v>71.790000000000006</v>
      </c>
      <c r="M13" s="25">
        <v>55.53</v>
      </c>
      <c r="N13" s="25">
        <v>54.31</v>
      </c>
      <c r="O13" s="25">
        <f t="shared" si="5"/>
        <v>54.913224690458847</v>
      </c>
      <c r="P13" s="37">
        <v>9.6000000000000002E-2</v>
      </c>
    </row>
    <row r="15" spans="1:16" s="14" customFormat="1" x14ac:dyDescent="0.3"/>
    <row r="16" spans="1:16" x14ac:dyDescent="0.3">
      <c r="A16" t="s">
        <v>15</v>
      </c>
      <c r="B16" t="s">
        <v>1</v>
      </c>
      <c r="C16" t="s">
        <v>2</v>
      </c>
    </row>
    <row r="17" spans="1:16" x14ac:dyDescent="0.3">
      <c r="A17" t="s">
        <v>3</v>
      </c>
      <c r="B17">
        <f>10879+2549</f>
        <v>13428</v>
      </c>
      <c r="C17">
        <f>6963+1452</f>
        <v>8415</v>
      </c>
      <c r="D17">
        <f>B17+C17</f>
        <v>21843</v>
      </c>
      <c r="E17" s="16">
        <f>(B17/D17)</f>
        <v>0.61475072105480022</v>
      </c>
      <c r="F17" s="16">
        <f>C17/D17</f>
        <v>0.38524927894519984</v>
      </c>
    </row>
    <row r="18" spans="1:16" x14ac:dyDescent="0.3">
      <c r="A18" t="s">
        <v>4</v>
      </c>
      <c r="B18">
        <f>7056+3558</f>
        <v>10614</v>
      </c>
      <c r="C18">
        <f>5538+5691</f>
        <v>11229</v>
      </c>
      <c r="D18">
        <f t="shared" ref="D18:D20" si="6">B18+C18</f>
        <v>21843</v>
      </c>
      <c r="E18" s="16">
        <f t="shared" ref="E18:E20" si="7">(B18/D18)</f>
        <v>0.48592226342535366</v>
      </c>
      <c r="F18" s="16">
        <f t="shared" ref="F18:F20" si="8">C18/D18</f>
        <v>0.51407773657464639</v>
      </c>
    </row>
    <row r="19" spans="1:16" x14ac:dyDescent="0.3">
      <c r="A19" t="s">
        <v>0</v>
      </c>
      <c r="B19">
        <f>1227+8374</f>
        <v>9601</v>
      </c>
      <c r="C19">
        <f>4457+7785</f>
        <v>12242</v>
      </c>
      <c r="D19">
        <f t="shared" si="6"/>
        <v>21843</v>
      </c>
      <c r="E19" s="16">
        <f t="shared" si="7"/>
        <v>0.43954584992903906</v>
      </c>
      <c r="F19" s="16">
        <f t="shared" si="8"/>
        <v>0.560454150070961</v>
      </c>
    </row>
    <row r="20" spans="1:16" x14ac:dyDescent="0.3">
      <c r="A20" t="s">
        <v>5</v>
      </c>
      <c r="B20">
        <f>12744+2525</f>
        <v>15269</v>
      </c>
      <c r="C20">
        <f>240+6334</f>
        <v>6574</v>
      </c>
      <c r="D20">
        <f t="shared" si="6"/>
        <v>21843</v>
      </c>
      <c r="E20" s="16">
        <f t="shared" si="7"/>
        <v>0.69903401547406496</v>
      </c>
      <c r="F20" s="16">
        <f t="shared" si="8"/>
        <v>0.30096598452593509</v>
      </c>
    </row>
    <row r="21" spans="1:16" ht="15" thickBot="1" x14ac:dyDescent="0.35"/>
    <row r="22" spans="1:16" ht="15" thickBot="1" x14ac:dyDescent="0.35">
      <c r="A22" s="61"/>
      <c r="B22" s="63" t="s">
        <v>12</v>
      </c>
      <c r="C22" s="64"/>
      <c r="D22" s="64"/>
      <c r="E22" s="64"/>
      <c r="F22" s="65"/>
      <c r="G22" s="63" t="s">
        <v>11</v>
      </c>
      <c r="H22" s="64"/>
      <c r="I22" s="64"/>
      <c r="J22" s="64"/>
      <c r="K22" s="65"/>
      <c r="L22" s="63" t="s">
        <v>13</v>
      </c>
      <c r="M22" s="64"/>
      <c r="N22" s="64"/>
      <c r="O22" s="64"/>
      <c r="P22" s="65"/>
    </row>
    <row r="23" spans="1:16" ht="15" thickBot="1" x14ac:dyDescent="0.35">
      <c r="A23" s="62"/>
      <c r="B23" s="9" t="s">
        <v>6</v>
      </c>
      <c r="C23" s="10" t="s">
        <v>7</v>
      </c>
      <c r="D23" s="7" t="s">
        <v>8</v>
      </c>
      <c r="E23" s="7" t="s">
        <v>9</v>
      </c>
      <c r="F23" s="8" t="s">
        <v>10</v>
      </c>
      <c r="G23" s="9" t="s">
        <v>6</v>
      </c>
      <c r="H23" s="10" t="s">
        <v>7</v>
      </c>
      <c r="I23" s="7" t="s">
        <v>8</v>
      </c>
      <c r="J23" s="7" t="s">
        <v>9</v>
      </c>
      <c r="K23" s="8" t="s">
        <v>10</v>
      </c>
      <c r="L23" s="9" t="s">
        <v>6</v>
      </c>
      <c r="M23" s="10" t="s">
        <v>7</v>
      </c>
      <c r="N23" s="7" t="s">
        <v>8</v>
      </c>
      <c r="O23" s="7" t="s">
        <v>9</v>
      </c>
      <c r="P23" s="8" t="s">
        <v>10</v>
      </c>
    </row>
    <row r="24" spans="1:16" x14ac:dyDescent="0.3">
      <c r="A24" s="11" t="s">
        <v>3</v>
      </c>
      <c r="B24" s="29">
        <v>56.45</v>
      </c>
      <c r="C24" s="30">
        <v>48.63</v>
      </c>
      <c r="D24" s="24">
        <v>49.14</v>
      </c>
      <c r="E24" s="24">
        <f>2*((C24*D24)/(C24+D24))</f>
        <v>48.883669837373425</v>
      </c>
      <c r="F24" s="36">
        <v>-1.9E-2</v>
      </c>
      <c r="G24" s="31">
        <v>50.87</v>
      </c>
      <c r="H24" s="24">
        <v>41.86</v>
      </c>
      <c r="I24" s="24">
        <v>44.12</v>
      </c>
      <c r="J24" s="24">
        <f>2*((H24*I24)/(H24+I24))</f>
        <v>42.960297743661314</v>
      </c>
      <c r="K24" s="36">
        <v>-0.128</v>
      </c>
      <c r="L24" s="31">
        <v>44.23</v>
      </c>
      <c r="M24" s="24">
        <v>40.729999999999997</v>
      </c>
      <c r="N24" s="24">
        <v>40.840000000000003</v>
      </c>
      <c r="O24" s="24">
        <f>2*((M24*N24)/(M24+N24))</f>
        <v>40.78492583057497</v>
      </c>
      <c r="P24" s="36">
        <v>-0.184</v>
      </c>
    </row>
    <row r="25" spans="1:16" x14ac:dyDescent="0.3">
      <c r="A25" s="12" t="s">
        <v>4</v>
      </c>
      <c r="B25" s="31">
        <v>58.36</v>
      </c>
      <c r="C25" s="24">
        <v>58.78</v>
      </c>
      <c r="D25" s="24">
        <v>58.58</v>
      </c>
      <c r="E25" s="24">
        <f t="shared" ref="E25:E27" si="9">2*((C25*D25)/(C25+D25))</f>
        <v>58.679829584185406</v>
      </c>
      <c r="F25" s="36">
        <v>0.17100000000000001</v>
      </c>
      <c r="G25" s="31">
        <v>60.66</v>
      </c>
      <c r="H25" s="24">
        <v>62.08</v>
      </c>
      <c r="I25" s="24">
        <v>61.08</v>
      </c>
      <c r="J25" s="24">
        <f t="shared" ref="J25:J27" si="10">2*((H25*I25)/(H25+I25))</f>
        <v>61.575940240337772</v>
      </c>
      <c r="K25" s="36">
        <v>0.22</v>
      </c>
      <c r="L25" s="31">
        <v>66.239999999999995</v>
      </c>
      <c r="M25" s="24">
        <v>68.599999999999994</v>
      </c>
      <c r="N25" s="24">
        <v>66.7</v>
      </c>
      <c r="O25" s="24">
        <f t="shared" ref="O25:O27" si="11">2*((M25*N25)/(M25+N25))</f>
        <v>67.636659275683655</v>
      </c>
      <c r="P25" s="36">
        <v>0.33100000000000002</v>
      </c>
    </row>
    <row r="26" spans="1:16" x14ac:dyDescent="0.3">
      <c r="A26" s="12" t="s">
        <v>0</v>
      </c>
      <c r="B26" s="31">
        <v>58.74</v>
      </c>
      <c r="C26" s="24">
        <v>34.880000000000003</v>
      </c>
      <c r="D26" s="24">
        <v>38.19</v>
      </c>
      <c r="E26" s="24">
        <f t="shared" si="9"/>
        <v>36.460030108115511</v>
      </c>
      <c r="F26" s="36">
        <v>-0.247</v>
      </c>
      <c r="G26" s="31">
        <v>50.9</v>
      </c>
      <c r="H26" s="24">
        <v>46.95</v>
      </c>
      <c r="I26" s="24">
        <v>47.74</v>
      </c>
      <c r="J26" s="24">
        <f t="shared" si="10"/>
        <v>47.341704509451894</v>
      </c>
      <c r="K26" s="36">
        <v>-4.8000000000000001E-2</v>
      </c>
      <c r="L26" s="31">
        <v>60.23</v>
      </c>
      <c r="M26" s="24">
        <v>59.25</v>
      </c>
      <c r="N26" s="24">
        <v>58.22</v>
      </c>
      <c r="O26" s="24">
        <f t="shared" si="11"/>
        <v>58.730484378990376</v>
      </c>
      <c r="P26" s="36">
        <v>0.16900000000000001</v>
      </c>
    </row>
    <row r="27" spans="1:16" ht="15" thickBot="1" x14ac:dyDescent="0.35">
      <c r="A27" s="13" t="s">
        <v>5</v>
      </c>
      <c r="B27" s="33">
        <v>59.44</v>
      </c>
      <c r="C27" s="25">
        <v>37.74</v>
      </c>
      <c r="D27" s="25">
        <v>43.56</v>
      </c>
      <c r="E27" s="25">
        <f t="shared" si="9"/>
        <v>40.441682656826565</v>
      </c>
      <c r="F27" s="37">
        <v>-0.154</v>
      </c>
      <c r="G27" s="33">
        <v>52.02</v>
      </c>
      <c r="H27" s="25">
        <v>39.54</v>
      </c>
      <c r="I27" s="25">
        <v>40.64</v>
      </c>
      <c r="J27" s="25">
        <f t="shared" si="10"/>
        <v>40.082454477425792</v>
      </c>
      <c r="K27" s="37">
        <v>-0.19600000000000001</v>
      </c>
      <c r="L27" s="33">
        <v>67.69</v>
      </c>
      <c r="M27" s="25">
        <v>57.77</v>
      </c>
      <c r="N27" s="25">
        <v>54.98</v>
      </c>
      <c r="O27" s="25">
        <f t="shared" si="11"/>
        <v>56.340480709534361</v>
      </c>
      <c r="P27" s="37">
        <v>0.115</v>
      </c>
    </row>
    <row r="29" spans="1:16" s="14" customFormat="1" x14ac:dyDescent="0.3"/>
    <row r="30" spans="1:16" x14ac:dyDescent="0.3">
      <c r="A30" t="s">
        <v>16</v>
      </c>
      <c r="B30" t="s">
        <v>1</v>
      </c>
      <c r="C30" t="s">
        <v>2</v>
      </c>
    </row>
    <row r="31" spans="1:16" x14ac:dyDescent="0.3">
      <c r="A31" t="s">
        <v>3</v>
      </c>
      <c r="B31">
        <f>4166+2363</f>
        <v>6529</v>
      </c>
      <c r="C31">
        <f>1738+288</f>
        <v>2026</v>
      </c>
      <c r="D31">
        <f>B31+C31</f>
        <v>8555</v>
      </c>
      <c r="E31" s="16">
        <f>(B31/D31)</f>
        <v>0.76317942723553478</v>
      </c>
      <c r="F31" s="16">
        <f>C31/D31</f>
        <v>0.23682057276446522</v>
      </c>
    </row>
    <row r="32" spans="1:16" x14ac:dyDescent="0.3">
      <c r="A32" t="s">
        <v>4</v>
      </c>
      <c r="B32">
        <f>2376+4460</f>
        <v>6836</v>
      </c>
      <c r="C32">
        <f>224+1495</f>
        <v>1719</v>
      </c>
      <c r="D32">
        <f t="shared" ref="D32:D34" si="12">B32+C32</f>
        <v>8555</v>
      </c>
      <c r="E32" s="16">
        <f t="shared" ref="E32:E34" si="13">(B32/D32)</f>
        <v>0.79906487434248974</v>
      </c>
      <c r="F32" s="16">
        <f>C32/D32</f>
        <v>0.20093512565751023</v>
      </c>
    </row>
    <row r="33" spans="1:16" x14ac:dyDescent="0.3">
      <c r="A33" t="s">
        <v>0</v>
      </c>
      <c r="B33">
        <f>1479+4965</f>
        <v>6444</v>
      </c>
      <c r="C33">
        <f>1130+981</f>
        <v>2111</v>
      </c>
      <c r="D33">
        <f t="shared" si="12"/>
        <v>8555</v>
      </c>
      <c r="E33" s="16">
        <f t="shared" si="13"/>
        <v>0.75324371712448857</v>
      </c>
      <c r="F33" s="16">
        <f t="shared" ref="F33:F34" si="14">C33/D33</f>
        <v>0.24675628287551141</v>
      </c>
    </row>
    <row r="34" spans="1:16" x14ac:dyDescent="0.3">
      <c r="A34" t="s">
        <v>5</v>
      </c>
      <c r="B34">
        <f>4714+2427</f>
        <v>7141</v>
      </c>
      <c r="C34">
        <f>1180+234</f>
        <v>1414</v>
      </c>
      <c r="D34">
        <f t="shared" si="12"/>
        <v>8555</v>
      </c>
      <c r="E34" s="16">
        <f t="shared" si="13"/>
        <v>0.83471654003506723</v>
      </c>
      <c r="F34" s="16">
        <f t="shared" si="14"/>
        <v>0.16528345996493279</v>
      </c>
    </row>
    <row r="35" spans="1:16" ht="15" thickBot="1" x14ac:dyDescent="0.35"/>
    <row r="36" spans="1:16" ht="15" thickBot="1" x14ac:dyDescent="0.35">
      <c r="A36" s="61"/>
      <c r="B36" s="63" t="s">
        <v>12</v>
      </c>
      <c r="C36" s="64"/>
      <c r="D36" s="64"/>
      <c r="E36" s="64"/>
      <c r="F36" s="65"/>
      <c r="G36" s="63" t="s">
        <v>11</v>
      </c>
      <c r="H36" s="64"/>
      <c r="I36" s="64"/>
      <c r="J36" s="64"/>
      <c r="K36" s="65"/>
      <c r="L36" s="63" t="s">
        <v>13</v>
      </c>
      <c r="M36" s="64"/>
      <c r="N36" s="64"/>
      <c r="O36" s="64"/>
      <c r="P36" s="65"/>
    </row>
    <row r="37" spans="1:16" ht="15" thickBot="1" x14ac:dyDescent="0.35">
      <c r="A37" s="62"/>
      <c r="B37" s="9" t="s">
        <v>6</v>
      </c>
      <c r="C37" s="10" t="s">
        <v>7</v>
      </c>
      <c r="D37" s="7" t="s">
        <v>8</v>
      </c>
      <c r="E37" s="7" t="s">
        <v>9</v>
      </c>
      <c r="F37" s="8" t="s">
        <v>10</v>
      </c>
      <c r="G37" s="9" t="s">
        <v>6</v>
      </c>
      <c r="H37" s="10" t="s">
        <v>7</v>
      </c>
      <c r="I37" s="7" t="s">
        <v>8</v>
      </c>
      <c r="J37" s="7" t="s">
        <v>9</v>
      </c>
      <c r="K37" s="8" t="s">
        <v>10</v>
      </c>
      <c r="L37" s="9" t="s">
        <v>6</v>
      </c>
      <c r="M37" s="10" t="s">
        <v>7</v>
      </c>
      <c r="N37" s="7" t="s">
        <v>8</v>
      </c>
      <c r="O37" s="7" t="s">
        <v>9</v>
      </c>
      <c r="P37" s="8" t="s">
        <v>10</v>
      </c>
    </row>
    <row r="38" spans="1:16" x14ac:dyDescent="0.3">
      <c r="A38" s="11" t="s">
        <v>3</v>
      </c>
      <c r="B38" s="29">
        <v>52.06</v>
      </c>
      <c r="C38" s="30">
        <v>40.71</v>
      </c>
      <c r="D38" s="24">
        <v>39.01</v>
      </c>
      <c r="E38" s="24">
        <f>2*((C38*D38)/(C38+D38))</f>
        <v>39.841874059207228</v>
      </c>
      <c r="F38" s="36">
        <v>-0.19900000000000001</v>
      </c>
      <c r="G38" s="31">
        <v>21.53</v>
      </c>
      <c r="H38" s="24">
        <v>28.45</v>
      </c>
      <c r="I38" s="24">
        <v>24.56</v>
      </c>
      <c r="J38" s="24">
        <f>2*((H38*I38)/(H38+I38))</f>
        <v>26.362271269571778</v>
      </c>
      <c r="K38" s="36">
        <v>-0.30599999999999999</v>
      </c>
      <c r="L38" s="31">
        <v>46.59</v>
      </c>
      <c r="M38" s="24">
        <v>39.979999999999997</v>
      </c>
      <c r="N38" s="24">
        <v>36.869999999999997</v>
      </c>
      <c r="O38" s="24">
        <f>2*((M38*N38)/(M38+N38))</f>
        <v>38.362071567989588</v>
      </c>
      <c r="P38" s="36">
        <v>-0.216</v>
      </c>
    </row>
    <row r="39" spans="1:16" x14ac:dyDescent="0.3">
      <c r="A39" s="12" t="s">
        <v>4</v>
      </c>
      <c r="B39" s="31">
        <v>45.25</v>
      </c>
      <c r="C39" s="24">
        <v>58.24</v>
      </c>
      <c r="D39" s="24">
        <v>60.86</v>
      </c>
      <c r="E39" s="24">
        <f t="shared" ref="E39:E41" si="15">2*((C39*D39)/(C39+D39))</f>
        <v>59.521182199832083</v>
      </c>
      <c r="F39" s="36">
        <v>0.113</v>
      </c>
      <c r="G39" s="31">
        <v>79.91</v>
      </c>
      <c r="H39" s="24">
        <v>39.950000000000003</v>
      </c>
      <c r="I39" s="24">
        <v>50</v>
      </c>
      <c r="J39" s="24">
        <f t="shared" ref="J39:J41" si="16">2*((H39*I39)/(H39+I39))</f>
        <v>44.413563090605898</v>
      </c>
      <c r="K39" s="36">
        <v>0</v>
      </c>
      <c r="L39" s="31">
        <v>79.91</v>
      </c>
      <c r="M39" s="24">
        <v>39.950000000000003</v>
      </c>
      <c r="N39" s="24">
        <v>50</v>
      </c>
      <c r="O39" s="24">
        <f t="shared" ref="O39:O41" si="17">2*((M39*N39)/(M39+N39))</f>
        <v>44.413563090605898</v>
      </c>
      <c r="P39" s="36">
        <v>0</v>
      </c>
    </row>
    <row r="40" spans="1:16" x14ac:dyDescent="0.3">
      <c r="A40" s="12" t="s">
        <v>0</v>
      </c>
      <c r="B40" s="31">
        <v>28.76</v>
      </c>
      <c r="C40" s="24">
        <v>36.590000000000003</v>
      </c>
      <c r="D40" s="24">
        <v>34.71</v>
      </c>
      <c r="E40" s="24">
        <f t="shared" si="15"/>
        <v>35.625214586255261</v>
      </c>
      <c r="F40" s="36">
        <v>-0.19</v>
      </c>
      <c r="G40" s="31">
        <v>75.319999999999993</v>
      </c>
      <c r="H40" s="24">
        <v>37.659999999999997</v>
      </c>
      <c r="I40" s="24">
        <v>50</v>
      </c>
      <c r="J40" s="24">
        <f t="shared" si="16"/>
        <v>42.961441934747889</v>
      </c>
      <c r="K40" s="36">
        <v>0</v>
      </c>
      <c r="L40" s="31">
        <v>28.64</v>
      </c>
      <c r="M40" s="24">
        <v>36.409999999999997</v>
      </c>
      <c r="N40" s="24">
        <v>34.46</v>
      </c>
      <c r="O40" s="24">
        <f t="shared" si="17"/>
        <v>35.408172710596865</v>
      </c>
      <c r="P40" s="36">
        <v>-0.193</v>
      </c>
    </row>
    <row r="41" spans="1:16" ht="15" thickBot="1" x14ac:dyDescent="0.35">
      <c r="A41" s="13" t="s">
        <v>5</v>
      </c>
      <c r="B41" s="33">
        <v>57.84</v>
      </c>
      <c r="C41" s="25">
        <v>44.39</v>
      </c>
      <c r="D41" s="25">
        <v>41.28</v>
      </c>
      <c r="E41" s="25">
        <f t="shared" si="15"/>
        <v>42.778550250963001</v>
      </c>
      <c r="F41" s="37">
        <v>-0.129</v>
      </c>
      <c r="G41" s="33">
        <v>83.47</v>
      </c>
      <c r="H41" s="25">
        <v>41.74</v>
      </c>
      <c r="I41" s="25">
        <v>50</v>
      </c>
      <c r="J41" s="25">
        <f t="shared" si="16"/>
        <v>45.498146936995852</v>
      </c>
      <c r="K41" s="37">
        <v>0</v>
      </c>
      <c r="L41" s="33">
        <v>83.45</v>
      </c>
      <c r="M41" s="25">
        <v>41.73</v>
      </c>
      <c r="N41" s="25">
        <v>49.99</v>
      </c>
      <c r="O41" s="25">
        <f t="shared" si="17"/>
        <v>45.48806585259485</v>
      </c>
      <c r="P41" s="37">
        <v>0</v>
      </c>
    </row>
    <row r="43" spans="1:16" s="14" customFormat="1" x14ac:dyDescent="0.3"/>
    <row r="44" spans="1:16" x14ac:dyDescent="0.3">
      <c r="A44" t="s">
        <v>17</v>
      </c>
      <c r="B44" t="s">
        <v>1</v>
      </c>
      <c r="C44" t="s">
        <v>2</v>
      </c>
    </row>
    <row r="45" spans="1:16" x14ac:dyDescent="0.3">
      <c r="A45" t="s">
        <v>3</v>
      </c>
      <c r="B45">
        <f>3094+70</f>
        <v>3164</v>
      </c>
      <c r="C45">
        <f>4953+297</f>
        <v>5250</v>
      </c>
      <c r="D45">
        <f>B45+C45</f>
        <v>8414</v>
      </c>
      <c r="E45" s="16">
        <f>(B45/D45)</f>
        <v>0.37603993344425957</v>
      </c>
      <c r="F45" s="16">
        <f>C45/D45</f>
        <v>0.62396006655574043</v>
      </c>
    </row>
    <row r="46" spans="1:16" x14ac:dyDescent="0.3">
      <c r="A46" t="s">
        <v>4</v>
      </c>
      <c r="B46">
        <f>3658</f>
        <v>3658</v>
      </c>
      <c r="C46">
        <v>4756</v>
      </c>
      <c r="D46">
        <f t="shared" ref="D46:D48" si="18">B46+C46</f>
        <v>8414</v>
      </c>
      <c r="E46" s="16">
        <f t="shared" ref="E46:E48" si="19">(B46/D46)</f>
        <v>0.43475160446874256</v>
      </c>
      <c r="F46" s="16">
        <f t="shared" ref="F46:F48" si="20">C46/D46</f>
        <v>0.56524839553125739</v>
      </c>
    </row>
    <row r="47" spans="1:16" x14ac:dyDescent="0.3">
      <c r="A47" t="s">
        <v>0</v>
      </c>
      <c r="B47">
        <v>2249</v>
      </c>
      <c r="C47">
        <v>6165</v>
      </c>
      <c r="D47">
        <f t="shared" si="18"/>
        <v>8414</v>
      </c>
      <c r="E47" s="16">
        <f t="shared" si="19"/>
        <v>0.2672926075588305</v>
      </c>
      <c r="F47" s="16">
        <f t="shared" si="20"/>
        <v>0.73270739244116945</v>
      </c>
    </row>
    <row r="48" spans="1:16" x14ac:dyDescent="0.3">
      <c r="A48" t="s">
        <v>5</v>
      </c>
      <c r="B48">
        <f>1572+2949</f>
        <v>4521</v>
      </c>
      <c r="C48">
        <f>706+3187</f>
        <v>3893</v>
      </c>
      <c r="D48">
        <f t="shared" si="18"/>
        <v>8414</v>
      </c>
      <c r="E48" s="16">
        <f t="shared" si="19"/>
        <v>0.53731875445685762</v>
      </c>
      <c r="F48" s="16">
        <f t="shared" si="20"/>
        <v>0.46268124554314238</v>
      </c>
    </row>
    <row r="49" spans="1:16" ht="15" thickBot="1" x14ac:dyDescent="0.35"/>
    <row r="50" spans="1:16" ht="15" thickBot="1" x14ac:dyDescent="0.35">
      <c r="A50" s="61"/>
      <c r="B50" s="63" t="s">
        <v>12</v>
      </c>
      <c r="C50" s="64"/>
      <c r="D50" s="64"/>
      <c r="E50" s="64"/>
      <c r="F50" s="65"/>
      <c r="G50" s="63" t="s">
        <v>11</v>
      </c>
      <c r="H50" s="64"/>
      <c r="I50" s="64"/>
      <c r="J50" s="64"/>
      <c r="K50" s="65"/>
      <c r="L50" s="63" t="s">
        <v>13</v>
      </c>
      <c r="M50" s="64"/>
      <c r="N50" s="64"/>
      <c r="O50" s="64"/>
      <c r="P50" s="65"/>
    </row>
    <row r="51" spans="1:16" ht="15" thickBot="1" x14ac:dyDescent="0.35">
      <c r="A51" s="62"/>
      <c r="B51" s="9" t="s">
        <v>6</v>
      </c>
      <c r="C51" s="10" t="s">
        <v>7</v>
      </c>
      <c r="D51" s="7" t="s">
        <v>8</v>
      </c>
      <c r="E51" s="7" t="s">
        <v>9</v>
      </c>
      <c r="F51" s="8" t="s">
        <v>10</v>
      </c>
      <c r="G51" s="9" t="s">
        <v>6</v>
      </c>
      <c r="H51" s="10" t="s">
        <v>7</v>
      </c>
      <c r="I51" s="7" t="s">
        <v>8</v>
      </c>
      <c r="J51" s="7" t="s">
        <v>9</v>
      </c>
      <c r="K51" s="8" t="s">
        <v>10</v>
      </c>
      <c r="L51" s="9" t="s">
        <v>6</v>
      </c>
      <c r="M51" s="10" t="s">
        <v>7</v>
      </c>
      <c r="N51" s="7" t="s">
        <v>8</v>
      </c>
      <c r="O51" s="7" t="s">
        <v>9</v>
      </c>
      <c r="P51" s="8" t="s">
        <v>10</v>
      </c>
    </row>
    <row r="52" spans="1:16" x14ac:dyDescent="0.3">
      <c r="A52" s="11" t="s">
        <v>3</v>
      </c>
      <c r="B52" s="29">
        <v>40.299999999999997</v>
      </c>
      <c r="C52" s="30">
        <v>59.69</v>
      </c>
      <c r="D52" s="24">
        <v>51.72</v>
      </c>
      <c r="E52" s="24">
        <f>2*((C52*D52)/(C52+D52))</f>
        <v>55.419922807647431</v>
      </c>
      <c r="F52" s="36">
        <v>2.5999999999999999E-2</v>
      </c>
      <c r="G52" s="31">
        <v>25.81</v>
      </c>
      <c r="H52" s="24">
        <v>27.02</v>
      </c>
      <c r="I52" s="24">
        <v>29.68</v>
      </c>
      <c r="J52" s="24">
        <f t="shared" ref="J52" si="21">2*((H52*I52)/(H52+I52))</f>
        <v>28.287604938271603</v>
      </c>
      <c r="K52" s="36">
        <v>-0.34599999999999997</v>
      </c>
      <c r="L52" s="31">
        <v>42.64</v>
      </c>
      <c r="M52" s="24">
        <v>40.89</v>
      </c>
      <c r="N52" s="24">
        <v>40.46</v>
      </c>
      <c r="O52" s="24">
        <f>2*((M52*N52)/(M52+N52))</f>
        <v>40.673863552550706</v>
      </c>
      <c r="P52" s="36">
        <v>-0.185</v>
      </c>
    </row>
    <row r="53" spans="1:16" x14ac:dyDescent="0.3">
      <c r="A53" s="12" t="s">
        <v>4</v>
      </c>
      <c r="B53" s="31">
        <v>56.49</v>
      </c>
      <c r="C53" s="24">
        <v>38.26</v>
      </c>
      <c r="D53" s="24">
        <v>49.97</v>
      </c>
      <c r="E53" s="24">
        <f t="shared" ref="E53:E55" si="22">2*((C53*D53)/(C53+D53))</f>
        <v>43.337916808341838</v>
      </c>
      <c r="F53" s="36">
        <v>-1E-3</v>
      </c>
      <c r="G53" s="31">
        <v>37.25</v>
      </c>
      <c r="H53" s="24">
        <v>37.880000000000003</v>
      </c>
      <c r="I53" s="24">
        <v>39.76</v>
      </c>
      <c r="J53" s="24">
        <f t="shared" ref="J53:J55" si="23">2*((H53*I53)/(H53+I53))</f>
        <v>38.79723853683668</v>
      </c>
      <c r="K53" s="36">
        <v>-0.191</v>
      </c>
      <c r="L53" s="31">
        <v>45.12</v>
      </c>
      <c r="M53" s="24">
        <v>44.19</v>
      </c>
      <c r="N53" s="24">
        <v>44.19</v>
      </c>
      <c r="O53" s="24">
        <f t="shared" ref="O53:O55" si="24">2*((M53*N53)/(M53+N53))</f>
        <v>44.19</v>
      </c>
      <c r="P53" s="36">
        <v>-0.11600000000000001</v>
      </c>
    </row>
    <row r="54" spans="1:16" x14ac:dyDescent="0.3">
      <c r="A54" s="12" t="s">
        <v>0</v>
      </c>
      <c r="B54" s="31">
        <v>73.27</v>
      </c>
      <c r="C54" s="24">
        <v>36.64</v>
      </c>
      <c r="D54" s="24">
        <v>50</v>
      </c>
      <c r="E54" s="24">
        <f t="shared" si="22"/>
        <v>42.289935364727611</v>
      </c>
      <c r="F54" s="36">
        <v>0</v>
      </c>
      <c r="G54" s="31">
        <v>18.96</v>
      </c>
      <c r="H54" s="24">
        <v>24.16</v>
      </c>
      <c r="I54" s="24">
        <v>22.6</v>
      </c>
      <c r="J54" s="24">
        <f t="shared" si="23"/>
        <v>23.353977758768178</v>
      </c>
      <c r="K54" s="36">
        <v>-0.36</v>
      </c>
      <c r="L54" s="31">
        <v>24.06</v>
      </c>
      <c r="M54" s="24">
        <v>28.47</v>
      </c>
      <c r="N54" s="24">
        <v>24.18</v>
      </c>
      <c r="O54" s="24">
        <f t="shared" si="24"/>
        <v>26.150222222222222</v>
      </c>
      <c r="P54" s="36">
        <v>-0.36299999999999999</v>
      </c>
    </row>
    <row r="55" spans="1:16" ht="15" thickBot="1" x14ac:dyDescent="0.35">
      <c r="A55" s="13" t="s">
        <v>5</v>
      </c>
      <c r="B55" s="33">
        <v>56.56</v>
      </c>
      <c r="C55" s="25">
        <v>60.47</v>
      </c>
      <c r="D55" s="25">
        <v>58.32</v>
      </c>
      <c r="E55" s="25">
        <f t="shared" si="22"/>
        <v>59.37554339590875</v>
      </c>
      <c r="F55" s="37">
        <v>0.16</v>
      </c>
      <c r="G55" s="33">
        <v>43.89</v>
      </c>
      <c r="H55" s="25">
        <v>39.090000000000003</v>
      </c>
      <c r="I55" s="25">
        <v>41.93</v>
      </c>
      <c r="J55" s="25">
        <f t="shared" si="23"/>
        <v>40.460224635892374</v>
      </c>
      <c r="K55" s="37">
        <v>-0.16700000000000001</v>
      </c>
      <c r="L55" s="33">
        <v>43.39</v>
      </c>
      <c r="M55" s="25">
        <v>39.5</v>
      </c>
      <c r="N55" s="25">
        <v>41.64</v>
      </c>
      <c r="O55" s="25">
        <f t="shared" si="24"/>
        <v>40.541779640128169</v>
      </c>
      <c r="P55" s="37">
        <v>-0.17199999999999999</v>
      </c>
    </row>
    <row r="57" spans="1:16" s="14" customFormat="1" x14ac:dyDescent="0.3"/>
    <row r="58" spans="1:16" x14ac:dyDescent="0.3">
      <c r="A58" t="s">
        <v>18</v>
      </c>
      <c r="B58" t="s">
        <v>1</v>
      </c>
      <c r="C58" t="s">
        <v>2</v>
      </c>
    </row>
    <row r="59" spans="1:16" x14ac:dyDescent="0.3">
      <c r="A59" t="s">
        <v>3</v>
      </c>
      <c r="B59">
        <v>4126</v>
      </c>
      <c r="C59">
        <v>4877</v>
      </c>
      <c r="D59">
        <f>B59+C59</f>
        <v>9003</v>
      </c>
      <c r="E59" s="16">
        <f>(B59/D59)</f>
        <v>0.45829168055092745</v>
      </c>
      <c r="F59" s="16">
        <f>C59/D59</f>
        <v>0.5417083194490725</v>
      </c>
    </row>
    <row r="60" spans="1:16" x14ac:dyDescent="0.3">
      <c r="A60" t="s">
        <v>4</v>
      </c>
      <c r="B60">
        <f>1983+4453</f>
        <v>6436</v>
      </c>
      <c r="C60">
        <f>1589+978</f>
        <v>2567</v>
      </c>
      <c r="D60">
        <f t="shared" ref="D60:D62" si="25">B60+C60</f>
        <v>9003</v>
      </c>
      <c r="E60" s="16">
        <f t="shared" ref="E60:E62" si="26">(B60/D60)</f>
        <v>0.71487282017105414</v>
      </c>
      <c r="F60" s="16">
        <f t="shared" ref="F60:F62" si="27">C60/D60</f>
        <v>0.28512717982894592</v>
      </c>
    </row>
    <row r="61" spans="1:16" x14ac:dyDescent="0.3">
      <c r="A61" t="s">
        <v>0</v>
      </c>
      <c r="B61">
        <f>2213+1388</f>
        <v>3601</v>
      </c>
      <c r="C61">
        <f>3220+2182</f>
        <v>5402</v>
      </c>
      <c r="D61">
        <f t="shared" si="25"/>
        <v>9003</v>
      </c>
      <c r="E61" s="16">
        <f t="shared" si="26"/>
        <v>0.39997778518271687</v>
      </c>
      <c r="F61" s="16">
        <f t="shared" si="27"/>
        <v>0.60002221481728313</v>
      </c>
    </row>
    <row r="62" spans="1:16" x14ac:dyDescent="0.3">
      <c r="A62" t="s">
        <v>5</v>
      </c>
      <c r="B62">
        <f>5039+2335</f>
        <v>7374</v>
      </c>
      <c r="C62">
        <f>1242+387</f>
        <v>1629</v>
      </c>
      <c r="D62">
        <f t="shared" si="25"/>
        <v>9003</v>
      </c>
      <c r="E62" s="16">
        <f t="shared" si="26"/>
        <v>0.8190603132289237</v>
      </c>
      <c r="F62" s="16">
        <f t="shared" si="27"/>
        <v>0.1809396867710763</v>
      </c>
    </row>
    <row r="63" spans="1:16" ht="15" thickBot="1" x14ac:dyDescent="0.35"/>
    <row r="64" spans="1:16" ht="15" thickBot="1" x14ac:dyDescent="0.35">
      <c r="A64" s="61"/>
      <c r="B64" s="63" t="s">
        <v>12</v>
      </c>
      <c r="C64" s="64"/>
      <c r="D64" s="64"/>
      <c r="E64" s="64"/>
      <c r="F64" s="65"/>
      <c r="G64" s="63" t="s">
        <v>11</v>
      </c>
      <c r="H64" s="64"/>
      <c r="I64" s="64"/>
      <c r="J64" s="64"/>
      <c r="K64" s="65"/>
      <c r="L64" s="63" t="s">
        <v>13</v>
      </c>
      <c r="M64" s="64"/>
      <c r="N64" s="64"/>
      <c r="O64" s="64"/>
      <c r="P64" s="65"/>
    </row>
    <row r="65" spans="1:16" ht="15" thickBot="1" x14ac:dyDescent="0.35">
      <c r="A65" s="62"/>
      <c r="B65" s="9" t="s">
        <v>6</v>
      </c>
      <c r="C65" s="10" t="s">
        <v>7</v>
      </c>
      <c r="D65" s="7" t="s">
        <v>8</v>
      </c>
      <c r="E65" s="7" t="s">
        <v>9</v>
      </c>
      <c r="F65" s="8" t="s">
        <v>10</v>
      </c>
      <c r="G65" s="9" t="s">
        <v>6</v>
      </c>
      <c r="H65" s="10" t="s">
        <v>7</v>
      </c>
      <c r="I65" s="7" t="s">
        <v>8</v>
      </c>
      <c r="J65" s="7" t="s">
        <v>9</v>
      </c>
      <c r="K65" s="8" t="s">
        <v>10</v>
      </c>
      <c r="L65" s="9" t="s">
        <v>6</v>
      </c>
      <c r="M65" s="10" t="s">
        <v>7</v>
      </c>
      <c r="N65" s="7" t="s">
        <v>8</v>
      </c>
      <c r="O65" s="7" t="s">
        <v>9</v>
      </c>
      <c r="P65" s="8" t="s">
        <v>10</v>
      </c>
    </row>
    <row r="66" spans="1:16" x14ac:dyDescent="0.3">
      <c r="A66" s="11" t="s">
        <v>3</v>
      </c>
      <c r="B66" s="29">
        <v>45.83</v>
      </c>
      <c r="C66" s="30">
        <v>22.91</v>
      </c>
      <c r="D66" s="24">
        <v>50</v>
      </c>
      <c r="E66" s="24">
        <f>2*((C66*D66)/(C66+D66))</f>
        <v>31.42230146756275</v>
      </c>
      <c r="F66" s="36">
        <v>0</v>
      </c>
      <c r="G66" s="31">
        <v>54.17</v>
      </c>
      <c r="H66" s="24">
        <v>27.09</v>
      </c>
      <c r="I66" s="32">
        <v>50</v>
      </c>
      <c r="J66" s="24">
        <f>2*((H66*I66)/(H66+I66))</f>
        <v>35.140744584252168</v>
      </c>
      <c r="K66" s="36">
        <v>0</v>
      </c>
      <c r="L66" s="31">
        <v>44.99</v>
      </c>
      <c r="M66" s="24">
        <v>43.88</v>
      </c>
      <c r="N66" s="24">
        <v>44.09</v>
      </c>
      <c r="O66" s="24">
        <f>2*((M66*N66)/(M66+N66))</f>
        <v>43.984749346368083</v>
      </c>
      <c r="P66" s="36">
        <v>-0.11899999999999999</v>
      </c>
    </row>
    <row r="67" spans="1:16" x14ac:dyDescent="0.3">
      <c r="A67" s="12" t="s">
        <v>4</v>
      </c>
      <c r="B67" s="31">
        <v>32.89</v>
      </c>
      <c r="C67" s="24">
        <v>36.76</v>
      </c>
      <c r="D67" s="24">
        <v>34.46</v>
      </c>
      <c r="E67" s="24">
        <f t="shared" ref="E67:E69" si="28">2*((C67*D67)/(C67+D67))</f>
        <v>35.572861555742769</v>
      </c>
      <c r="F67" s="36">
        <v>-0.23300000000000001</v>
      </c>
      <c r="G67" s="31">
        <v>71.489999999999995</v>
      </c>
      <c r="H67" s="24">
        <v>35.74</v>
      </c>
      <c r="I67" s="32">
        <v>50</v>
      </c>
      <c r="J67" s="24">
        <f t="shared" ref="J67:J69" si="29">2*((H67*I67)/(H67+I67))</f>
        <v>41.684161418241189</v>
      </c>
      <c r="K67" s="36">
        <v>0</v>
      </c>
      <c r="L67" s="31">
        <v>71.489999999999995</v>
      </c>
      <c r="M67" s="24">
        <v>35.74</v>
      </c>
      <c r="N67" s="32">
        <v>50</v>
      </c>
      <c r="O67" s="24">
        <f t="shared" ref="O67" si="30">2*((M67*N67)/(M67+N67))</f>
        <v>41.684161418241189</v>
      </c>
      <c r="P67" s="36">
        <v>0</v>
      </c>
    </row>
    <row r="68" spans="1:16" x14ac:dyDescent="0.3">
      <c r="A68" s="12" t="s">
        <v>0</v>
      </c>
      <c r="B68" s="31">
        <v>48.82</v>
      </c>
      <c r="C68" s="24">
        <v>50.93</v>
      </c>
      <c r="D68" s="24">
        <v>50.92</v>
      </c>
      <c r="E68" s="24">
        <f t="shared" si="28"/>
        <v>50.924999509081985</v>
      </c>
      <c r="F68" s="36">
        <v>1.7000000000000001E-2</v>
      </c>
      <c r="G68" s="31">
        <v>60</v>
      </c>
      <c r="H68" s="32">
        <v>30</v>
      </c>
      <c r="I68" s="32">
        <v>50</v>
      </c>
      <c r="J68" s="24">
        <f t="shared" si="29"/>
        <v>37.5</v>
      </c>
      <c r="K68" s="36">
        <v>0</v>
      </c>
      <c r="L68" s="31">
        <v>52.3</v>
      </c>
      <c r="M68" s="24">
        <v>51.11</v>
      </c>
      <c r="N68" s="24">
        <v>51.14</v>
      </c>
      <c r="O68" s="24">
        <f t="shared" ref="O68:O69" si="31">2*((M68*N68)/(M68+N68))</f>
        <v>51.124995599022007</v>
      </c>
      <c r="P68" s="36">
        <v>2.1999999999999999E-2</v>
      </c>
    </row>
    <row r="69" spans="1:16" ht="15" thickBot="1" x14ac:dyDescent="0.35">
      <c r="A69" s="13" t="s">
        <v>5</v>
      </c>
      <c r="B69" s="33">
        <v>60.27</v>
      </c>
      <c r="C69" s="25">
        <v>47.22</v>
      </c>
      <c r="D69" s="25">
        <v>46.05</v>
      </c>
      <c r="E69" s="25">
        <f t="shared" si="28"/>
        <v>46.627661627532966</v>
      </c>
      <c r="F69" s="37">
        <v>-6.3E-2</v>
      </c>
      <c r="G69" s="33">
        <v>81.91</v>
      </c>
      <c r="H69" s="25">
        <v>40.950000000000003</v>
      </c>
      <c r="I69" s="25">
        <v>50</v>
      </c>
      <c r="J69" s="25">
        <f t="shared" si="29"/>
        <v>45.024738867509626</v>
      </c>
      <c r="K69" s="37">
        <v>0</v>
      </c>
      <c r="L69" s="33">
        <v>81.91</v>
      </c>
      <c r="M69" s="25">
        <v>40.950000000000003</v>
      </c>
      <c r="N69" s="25">
        <v>50</v>
      </c>
      <c r="O69" s="25">
        <f t="shared" si="31"/>
        <v>45.024738867509626</v>
      </c>
      <c r="P69" s="37">
        <v>0</v>
      </c>
    </row>
    <row r="71" spans="1:16" s="14" customFormat="1" x14ac:dyDescent="0.3"/>
    <row r="72" spans="1:16" x14ac:dyDescent="0.3">
      <c r="A72" t="s">
        <v>19</v>
      </c>
      <c r="B72" t="s">
        <v>1</v>
      </c>
      <c r="C72" t="s">
        <v>2</v>
      </c>
    </row>
    <row r="73" spans="1:16" x14ac:dyDescent="0.3">
      <c r="A73" t="s">
        <v>3</v>
      </c>
      <c r="B73">
        <v>5183</v>
      </c>
      <c r="C73">
        <v>2378</v>
      </c>
      <c r="D73">
        <f>B73+C73</f>
        <v>7561</v>
      </c>
      <c r="E73" s="16">
        <f>(B73/D73)</f>
        <v>0.68549133712471899</v>
      </c>
      <c r="F73" s="16">
        <f>C73/D73</f>
        <v>0.31450866287528106</v>
      </c>
    </row>
    <row r="74" spans="1:16" x14ac:dyDescent="0.3">
      <c r="A74" t="s">
        <v>4</v>
      </c>
      <c r="B74">
        <v>3728</v>
      </c>
      <c r="C74">
        <v>3833</v>
      </c>
      <c r="D74">
        <f>B74+C74</f>
        <v>7561</v>
      </c>
      <c r="E74" s="16">
        <f t="shared" ref="E74:E76" si="32">(B74/D74)</f>
        <v>0.49305647401137415</v>
      </c>
      <c r="F74" s="16">
        <f t="shared" ref="F74:F76" si="33">C74/D74</f>
        <v>0.5069435259886258</v>
      </c>
    </row>
    <row r="75" spans="1:16" x14ac:dyDescent="0.3">
      <c r="A75" t="s">
        <v>0</v>
      </c>
      <c r="B75">
        <f>2974+1174</f>
        <v>4148</v>
      </c>
      <c r="C75">
        <f>1129+2284</f>
        <v>3413</v>
      </c>
      <c r="D75">
        <f t="shared" ref="D75:D76" si="34">B75+C75</f>
        <v>7561</v>
      </c>
      <c r="E75" s="16">
        <f t="shared" si="32"/>
        <v>0.54860468192038092</v>
      </c>
      <c r="F75" s="16">
        <f t="shared" si="33"/>
        <v>0.45139531807961908</v>
      </c>
    </row>
    <row r="76" spans="1:16" x14ac:dyDescent="0.3">
      <c r="A76" t="s">
        <v>5</v>
      </c>
      <c r="B76">
        <f>4470+2157</f>
        <v>6627</v>
      </c>
      <c r="C76">
        <f>674+260</f>
        <v>934</v>
      </c>
      <c r="D76">
        <f t="shared" si="34"/>
        <v>7561</v>
      </c>
      <c r="E76" s="16">
        <f t="shared" si="32"/>
        <v>0.87647136622139932</v>
      </c>
      <c r="F76" s="16">
        <f t="shared" si="33"/>
        <v>0.12352863377860071</v>
      </c>
    </row>
    <row r="77" spans="1:16" ht="15" thickBot="1" x14ac:dyDescent="0.35"/>
    <row r="78" spans="1:16" ht="15" thickBot="1" x14ac:dyDescent="0.35">
      <c r="A78" s="61"/>
      <c r="B78" s="63" t="s">
        <v>12</v>
      </c>
      <c r="C78" s="64"/>
      <c r="D78" s="64"/>
      <c r="E78" s="64"/>
      <c r="F78" s="65"/>
      <c r="G78" s="63" t="s">
        <v>11</v>
      </c>
      <c r="H78" s="64"/>
      <c r="I78" s="64"/>
      <c r="J78" s="64"/>
      <c r="K78" s="65"/>
      <c r="L78" s="63" t="s">
        <v>13</v>
      </c>
      <c r="M78" s="64"/>
      <c r="N78" s="64"/>
      <c r="O78" s="64"/>
      <c r="P78" s="65"/>
    </row>
    <row r="79" spans="1:16" ht="15" thickBot="1" x14ac:dyDescent="0.35">
      <c r="A79" s="62"/>
      <c r="B79" s="9" t="s">
        <v>6</v>
      </c>
      <c r="C79" s="10" t="s">
        <v>7</v>
      </c>
      <c r="D79" s="7" t="s">
        <v>8</v>
      </c>
      <c r="E79" s="7" t="s">
        <v>9</v>
      </c>
      <c r="F79" s="8" t="s">
        <v>10</v>
      </c>
      <c r="G79" s="9" t="s">
        <v>6</v>
      </c>
      <c r="H79" s="10" t="s">
        <v>7</v>
      </c>
      <c r="I79" s="7" t="s">
        <v>8</v>
      </c>
      <c r="J79" s="7" t="s">
        <v>9</v>
      </c>
      <c r="K79" s="8" t="s">
        <v>10</v>
      </c>
      <c r="L79" s="9" t="s">
        <v>6</v>
      </c>
      <c r="M79" s="10" t="s">
        <v>7</v>
      </c>
      <c r="N79" s="7" t="s">
        <v>8</v>
      </c>
      <c r="O79" s="7" t="s">
        <v>9</v>
      </c>
      <c r="P79" s="8" t="s">
        <v>10</v>
      </c>
    </row>
    <row r="80" spans="1:16" x14ac:dyDescent="0.3">
      <c r="A80" s="11" t="s">
        <v>3</v>
      </c>
      <c r="B80" s="29">
        <v>31.45</v>
      </c>
      <c r="C80" s="30">
        <v>15.73</v>
      </c>
      <c r="D80" s="24">
        <v>50</v>
      </c>
      <c r="E80" s="24">
        <f>2*((C80*D80)/(C80+D80))</f>
        <v>23.931233835387189</v>
      </c>
      <c r="F80" s="36">
        <v>0</v>
      </c>
      <c r="G80" s="34">
        <v>68.44</v>
      </c>
      <c r="H80" s="24">
        <v>50.94</v>
      </c>
      <c r="I80" s="24">
        <v>50.01</v>
      </c>
      <c r="J80" s="24">
        <f>2*((H80*I80)/(H80+I80))</f>
        <v>50.470716196136706</v>
      </c>
      <c r="K80" s="36">
        <v>0</v>
      </c>
      <c r="L80" s="31">
        <v>68.55</v>
      </c>
      <c r="M80" s="24">
        <v>34.270000000000003</v>
      </c>
      <c r="N80" s="32">
        <v>50</v>
      </c>
      <c r="O80" s="24">
        <f>2*((M80*N80)/(M80+N80))</f>
        <v>40.666903999050668</v>
      </c>
      <c r="P80" s="36">
        <v>0</v>
      </c>
    </row>
    <row r="81" spans="1:16" x14ac:dyDescent="0.3">
      <c r="A81" s="12" t="s">
        <v>4</v>
      </c>
      <c r="B81" s="31">
        <v>50.72</v>
      </c>
      <c r="C81" s="24">
        <v>58.69</v>
      </c>
      <c r="D81" s="24">
        <v>50</v>
      </c>
      <c r="E81" s="24">
        <f t="shared" ref="E81:E83" si="35">2*((C81*D81)/(C81+D81))</f>
        <v>53.997607875609532</v>
      </c>
      <c r="F81" s="36">
        <v>1E-3</v>
      </c>
      <c r="G81" s="31">
        <v>28.71</v>
      </c>
      <c r="H81" s="24">
        <v>25.77</v>
      </c>
      <c r="I81" s="24">
        <v>28.96</v>
      </c>
      <c r="J81" s="24">
        <f t="shared" ref="J81:J83" si="36">2*((H81*I81)/(H81+I81))</f>
        <v>27.272033619587063</v>
      </c>
      <c r="K81" s="36">
        <v>-0.41899999999999998</v>
      </c>
      <c r="L81" s="31">
        <v>32.5</v>
      </c>
      <c r="M81" s="24">
        <v>27.1</v>
      </c>
      <c r="N81" s="24">
        <v>32.840000000000003</v>
      </c>
      <c r="O81" s="24">
        <f t="shared" ref="O81:O82" si="37">2*((M81*N81)/(M81+N81))</f>
        <v>29.695161828495166</v>
      </c>
      <c r="P81" s="36">
        <v>-0.34100000000000003</v>
      </c>
    </row>
    <row r="82" spans="1:16" x14ac:dyDescent="0.3">
      <c r="A82" s="12" t="s">
        <v>0</v>
      </c>
      <c r="B82" s="31">
        <v>69.540000000000006</v>
      </c>
      <c r="C82" s="24">
        <v>69.27</v>
      </c>
      <c r="D82" s="24">
        <v>69.31</v>
      </c>
      <c r="E82" s="24">
        <f t="shared" si="35"/>
        <v>69.289994227161216</v>
      </c>
      <c r="F82" s="36">
        <v>0.38600000000000001</v>
      </c>
      <c r="G82" s="31">
        <v>29.96</v>
      </c>
      <c r="H82" s="24">
        <v>30.25</v>
      </c>
      <c r="I82" s="24">
        <v>30.34</v>
      </c>
      <c r="J82" s="24">
        <f t="shared" si="36"/>
        <v>30.294933157286678</v>
      </c>
      <c r="K82" s="36">
        <v>-0.38500000000000001</v>
      </c>
      <c r="L82" s="31">
        <v>54.86</v>
      </c>
      <c r="M82" s="24">
        <v>27.43</v>
      </c>
      <c r="N82" s="32">
        <v>50</v>
      </c>
      <c r="O82" s="24">
        <f t="shared" si="37"/>
        <v>35.425545654139221</v>
      </c>
      <c r="P82" s="36">
        <v>0</v>
      </c>
    </row>
    <row r="83" spans="1:16" ht="15" thickBot="1" x14ac:dyDescent="0.35">
      <c r="A83" s="13" t="s">
        <v>5</v>
      </c>
      <c r="B83" s="33">
        <v>62.56</v>
      </c>
      <c r="C83" s="25">
        <v>48.83</v>
      </c>
      <c r="D83" s="25">
        <v>47.64</v>
      </c>
      <c r="E83" s="25">
        <f t="shared" si="35"/>
        <v>48.227660412563488</v>
      </c>
      <c r="F83" s="37">
        <v>-2.8000000000000001E-2</v>
      </c>
      <c r="G83" s="33">
        <v>87.65</v>
      </c>
      <c r="H83" s="25">
        <v>43.82</v>
      </c>
      <c r="I83" s="25">
        <v>50</v>
      </c>
      <c r="J83" s="25">
        <f t="shared" si="36"/>
        <v>46.706459177147735</v>
      </c>
      <c r="K83" s="37">
        <v>0</v>
      </c>
      <c r="L83" s="33">
        <v>87.65</v>
      </c>
      <c r="M83" s="25">
        <v>43.82</v>
      </c>
      <c r="N83" s="25">
        <v>50</v>
      </c>
      <c r="O83" s="25">
        <f>2*((M83*N83)/(M83+N83))</f>
        <v>46.706459177147735</v>
      </c>
      <c r="P83" s="37">
        <v>0</v>
      </c>
    </row>
    <row r="84" spans="1:16" x14ac:dyDescent="0.3">
      <c r="G84" s="34"/>
      <c r="H84" s="34"/>
      <c r="I84" s="34"/>
      <c r="J84" s="34"/>
    </row>
    <row r="85" spans="1:16" s="14" customFormat="1" x14ac:dyDescent="0.3"/>
    <row r="86" spans="1:16" x14ac:dyDescent="0.3">
      <c r="A86" t="s">
        <v>20</v>
      </c>
      <c r="B86" t="s">
        <v>1</v>
      </c>
      <c r="C86" t="s">
        <v>2</v>
      </c>
    </row>
    <row r="87" spans="1:16" x14ac:dyDescent="0.3">
      <c r="A87" t="s">
        <v>3</v>
      </c>
      <c r="B87">
        <f>694+431</f>
        <v>1125</v>
      </c>
      <c r="C87">
        <f>515+1847</f>
        <v>2362</v>
      </c>
      <c r="D87">
        <f>B87+C87</f>
        <v>3487</v>
      </c>
      <c r="E87" s="16">
        <f>(B87/D87)</f>
        <v>0.32262689991396615</v>
      </c>
      <c r="F87" s="16">
        <f>C87/D87</f>
        <v>0.6773731000860338</v>
      </c>
    </row>
    <row r="88" spans="1:16" x14ac:dyDescent="0.3">
      <c r="A88" t="s">
        <v>4</v>
      </c>
      <c r="B88">
        <f>758+808</f>
        <v>1566</v>
      </c>
      <c r="C88">
        <f>451+1470</f>
        <v>1921</v>
      </c>
      <c r="D88">
        <f t="shared" ref="D88:D90" si="38">B88+C88</f>
        <v>3487</v>
      </c>
      <c r="E88" s="16">
        <f t="shared" ref="E88:E90" si="39">(B88/D88)</f>
        <v>0.44909664468024091</v>
      </c>
      <c r="F88" s="16">
        <f t="shared" ref="F88:F90" si="40">C88/D88</f>
        <v>0.55090335531975909</v>
      </c>
    </row>
    <row r="89" spans="1:16" x14ac:dyDescent="0.3">
      <c r="A89" t="s">
        <v>0</v>
      </c>
      <c r="B89">
        <v>967</v>
      </c>
      <c r="C89">
        <v>2520</v>
      </c>
      <c r="D89">
        <f t="shared" si="38"/>
        <v>3487</v>
      </c>
      <c r="E89" s="16">
        <f t="shared" si="39"/>
        <v>0.27731574419271582</v>
      </c>
      <c r="F89" s="16">
        <f t="shared" si="40"/>
        <v>0.72268425580728424</v>
      </c>
    </row>
    <row r="90" spans="1:16" x14ac:dyDescent="0.3">
      <c r="A90" t="s">
        <v>5</v>
      </c>
      <c r="B90">
        <v>2374</v>
      </c>
      <c r="C90">
        <v>1113</v>
      </c>
      <c r="D90">
        <f t="shared" si="38"/>
        <v>3487</v>
      </c>
      <c r="E90" s="16">
        <f t="shared" si="39"/>
        <v>0.68081445368511617</v>
      </c>
      <c r="F90" s="16">
        <f t="shared" si="40"/>
        <v>0.31918554631488383</v>
      </c>
    </row>
    <row r="91" spans="1:16" ht="15" thickBot="1" x14ac:dyDescent="0.35"/>
    <row r="92" spans="1:16" ht="15" thickBot="1" x14ac:dyDescent="0.35">
      <c r="A92" s="61"/>
      <c r="B92" s="63" t="s">
        <v>12</v>
      </c>
      <c r="C92" s="64"/>
      <c r="D92" s="64"/>
      <c r="E92" s="64"/>
      <c r="F92" s="65"/>
      <c r="G92" s="63" t="s">
        <v>11</v>
      </c>
      <c r="H92" s="64"/>
      <c r="I92" s="64"/>
      <c r="J92" s="64"/>
      <c r="K92" s="65"/>
      <c r="L92" s="63" t="s">
        <v>13</v>
      </c>
      <c r="M92" s="64"/>
      <c r="N92" s="64"/>
      <c r="O92" s="64"/>
      <c r="P92" s="65"/>
    </row>
    <row r="93" spans="1:16" ht="15" thickBot="1" x14ac:dyDescent="0.35">
      <c r="A93" s="62"/>
      <c r="B93" s="9" t="s">
        <v>6</v>
      </c>
      <c r="C93" s="10" t="s">
        <v>7</v>
      </c>
      <c r="D93" s="7" t="s">
        <v>8</v>
      </c>
      <c r="E93" s="7" t="s">
        <v>9</v>
      </c>
      <c r="F93" s="8" t="s">
        <v>10</v>
      </c>
      <c r="G93" s="9" t="s">
        <v>6</v>
      </c>
      <c r="H93" s="10" t="s">
        <v>7</v>
      </c>
      <c r="I93" s="7" t="s">
        <v>8</v>
      </c>
      <c r="J93" s="7" t="s">
        <v>9</v>
      </c>
      <c r="K93" s="8" t="s">
        <v>10</v>
      </c>
      <c r="L93" s="9" t="s">
        <v>6</v>
      </c>
      <c r="M93" s="10" t="s">
        <v>7</v>
      </c>
      <c r="N93" s="7" t="s">
        <v>8</v>
      </c>
      <c r="O93" s="7" t="s">
        <v>9</v>
      </c>
      <c r="P93" s="8" t="s">
        <v>10</v>
      </c>
    </row>
    <row r="94" spans="1:16" x14ac:dyDescent="0.3">
      <c r="A94" s="11" t="s">
        <v>3</v>
      </c>
      <c r="B94" s="29">
        <v>72.87</v>
      </c>
      <c r="C94" s="30">
        <v>69.239999999999995</v>
      </c>
      <c r="D94" s="24">
        <v>69.94</v>
      </c>
      <c r="E94" s="24">
        <f>2*((C94*D94)/(C94+D94))</f>
        <v>69.588239689610575</v>
      </c>
      <c r="F94" s="36">
        <v>0.39100000000000001</v>
      </c>
      <c r="G94" s="31">
        <v>67.650000000000006</v>
      </c>
      <c r="H94" s="24">
        <v>43.86</v>
      </c>
      <c r="I94" s="24">
        <v>49.96</v>
      </c>
      <c r="J94" s="24">
        <f>2*((H94*I94)/(H94+I94))</f>
        <v>46.711694734598176</v>
      </c>
      <c r="K94" s="36">
        <v>-1E-3</v>
      </c>
      <c r="L94" s="31">
        <v>27.13</v>
      </c>
      <c r="M94" s="24">
        <v>30.76</v>
      </c>
      <c r="N94" s="24">
        <v>30.06</v>
      </c>
      <c r="O94" s="24">
        <f>2*((M94*N94)/(M94+N94))</f>
        <v>30.405971719829004</v>
      </c>
      <c r="P94" s="36">
        <v>-0.314</v>
      </c>
    </row>
    <row r="95" spans="1:16" x14ac:dyDescent="0.3">
      <c r="A95" s="12" t="s">
        <v>4</v>
      </c>
      <c r="B95" s="31">
        <v>63.89</v>
      </c>
      <c r="C95" s="24">
        <v>63.61</v>
      </c>
      <c r="D95" s="24">
        <v>62.46</v>
      </c>
      <c r="E95" s="24">
        <f t="shared" ref="E95:E97" si="41">2*((C95*D95)/(C95+D95))</f>
        <v>63.029754898072504</v>
      </c>
      <c r="F95" s="36">
        <v>0.255</v>
      </c>
      <c r="G95" s="31">
        <v>55.09</v>
      </c>
      <c r="H95" s="24">
        <v>27.55</v>
      </c>
      <c r="I95" s="32">
        <v>50</v>
      </c>
      <c r="J95" s="24">
        <f t="shared" ref="J95:J97" si="42">2*((H95*I95)/(H95+I95))</f>
        <v>35.525467440361062</v>
      </c>
      <c r="K95" s="36">
        <v>0</v>
      </c>
      <c r="L95" s="31">
        <v>44.91</v>
      </c>
      <c r="M95" s="24">
        <v>22.45</v>
      </c>
      <c r="N95" s="32">
        <v>50</v>
      </c>
      <c r="O95" s="24">
        <f t="shared" ref="O95:O97" si="43">2*((M95*N95)/(M95+N95))</f>
        <v>30.986887508626637</v>
      </c>
      <c r="P95" s="36">
        <v>0</v>
      </c>
    </row>
    <row r="96" spans="1:16" x14ac:dyDescent="0.3">
      <c r="A96" s="12" t="s">
        <v>0</v>
      </c>
      <c r="B96" s="31">
        <v>72.27</v>
      </c>
      <c r="C96" s="24">
        <v>36.130000000000003</v>
      </c>
      <c r="D96" s="24">
        <v>50</v>
      </c>
      <c r="E96" s="24">
        <f t="shared" si="41"/>
        <v>41.948217810286785</v>
      </c>
      <c r="F96" s="36">
        <v>0</v>
      </c>
      <c r="G96" s="31">
        <v>28.33</v>
      </c>
      <c r="H96" s="24">
        <v>33.47</v>
      </c>
      <c r="I96" s="24">
        <v>31.17</v>
      </c>
      <c r="J96" s="24">
        <f t="shared" si="42"/>
        <v>32.279081064356433</v>
      </c>
      <c r="K96" s="36">
        <v>-0.26700000000000002</v>
      </c>
      <c r="L96" s="31">
        <v>72.27</v>
      </c>
      <c r="M96" s="24">
        <v>36.130000000000003</v>
      </c>
      <c r="N96" s="32">
        <v>50</v>
      </c>
      <c r="O96" s="24">
        <f t="shared" si="43"/>
        <v>41.948217810286785</v>
      </c>
      <c r="P96" s="36">
        <v>0</v>
      </c>
    </row>
    <row r="97" spans="1:16" ht="15" thickBot="1" x14ac:dyDescent="0.35">
      <c r="A97" s="13" t="s">
        <v>5</v>
      </c>
      <c r="B97" s="33">
        <v>31.92</v>
      </c>
      <c r="C97" s="25">
        <v>15.96</v>
      </c>
      <c r="D97" s="25">
        <v>50</v>
      </c>
      <c r="E97" s="25">
        <f t="shared" si="41"/>
        <v>24.196482716798055</v>
      </c>
      <c r="F97" s="37">
        <v>0</v>
      </c>
      <c r="G97" s="33">
        <v>68.08</v>
      </c>
      <c r="H97" s="25">
        <v>34.04</v>
      </c>
      <c r="I97" s="25">
        <v>50</v>
      </c>
      <c r="J97" s="25">
        <f t="shared" si="42"/>
        <v>40.504521656354122</v>
      </c>
      <c r="K97" s="37">
        <v>0</v>
      </c>
      <c r="L97" s="33">
        <v>68.08</v>
      </c>
      <c r="M97" s="25">
        <v>34.04</v>
      </c>
      <c r="N97" s="25">
        <v>50</v>
      </c>
      <c r="O97" s="25">
        <f t="shared" si="43"/>
        <v>40.504521656354122</v>
      </c>
      <c r="P97" s="37">
        <v>0</v>
      </c>
    </row>
    <row r="99" spans="1:16" s="14" customFormat="1" x14ac:dyDescent="0.3"/>
    <row r="100" spans="1:16" x14ac:dyDescent="0.3">
      <c r="A100" t="s">
        <v>21</v>
      </c>
      <c r="B100" t="s">
        <v>1</v>
      </c>
      <c r="C100" t="s">
        <v>2</v>
      </c>
    </row>
    <row r="101" spans="1:16" x14ac:dyDescent="0.3">
      <c r="A101" t="s">
        <v>3</v>
      </c>
      <c r="B101">
        <v>1052</v>
      </c>
      <c r="C101">
        <v>2465</v>
      </c>
      <c r="D101">
        <f>B101+C101</f>
        <v>3517</v>
      </c>
      <c r="E101" s="16">
        <f>(B101/D101)</f>
        <v>0.29911856696047767</v>
      </c>
      <c r="F101" s="16">
        <f>C101/D101</f>
        <v>0.70088143303952233</v>
      </c>
    </row>
    <row r="102" spans="1:16" x14ac:dyDescent="0.3">
      <c r="A102" t="s">
        <v>4</v>
      </c>
      <c r="B102">
        <f>812+1004</f>
        <v>1816</v>
      </c>
      <c r="C102">
        <f>562+1139</f>
        <v>1701</v>
      </c>
      <c r="D102">
        <f t="shared" ref="D102:D104" si="44">B102+C102</f>
        <v>3517</v>
      </c>
      <c r="E102" s="16">
        <f t="shared" ref="E102:E104" si="45">(B102/D102)</f>
        <v>0.5163491612169463</v>
      </c>
      <c r="F102" s="16">
        <f t="shared" ref="F102:F104" si="46">C102/D102</f>
        <v>0.48365083878305376</v>
      </c>
    </row>
    <row r="103" spans="1:16" x14ac:dyDescent="0.3">
      <c r="A103" t="s">
        <v>0</v>
      </c>
      <c r="B103">
        <v>801</v>
      </c>
      <c r="C103">
        <v>2716</v>
      </c>
      <c r="D103">
        <f t="shared" si="44"/>
        <v>3517</v>
      </c>
      <c r="E103" s="16">
        <f t="shared" si="45"/>
        <v>0.2277509240830253</v>
      </c>
      <c r="F103" s="16">
        <f>C103/D103</f>
        <v>0.77224907591697467</v>
      </c>
    </row>
    <row r="104" spans="1:16" x14ac:dyDescent="0.3">
      <c r="A104" t="s">
        <v>5</v>
      </c>
      <c r="B104">
        <f>396+602</f>
        <v>998</v>
      </c>
      <c r="C104">
        <f>1248+1271</f>
        <v>2519</v>
      </c>
      <c r="D104">
        <f t="shared" si="44"/>
        <v>3517</v>
      </c>
      <c r="E104" s="16">
        <f t="shared" si="45"/>
        <v>0.283764572078476</v>
      </c>
      <c r="F104" s="16">
        <f t="shared" si="46"/>
        <v>0.71623542792152406</v>
      </c>
    </row>
    <row r="105" spans="1:16" ht="15" thickBot="1" x14ac:dyDescent="0.35"/>
    <row r="106" spans="1:16" ht="15" thickBot="1" x14ac:dyDescent="0.35">
      <c r="A106" s="61"/>
      <c r="B106" s="63" t="s">
        <v>12</v>
      </c>
      <c r="C106" s="64"/>
      <c r="D106" s="64"/>
      <c r="E106" s="64"/>
      <c r="F106" s="65"/>
      <c r="G106" s="63" t="s">
        <v>11</v>
      </c>
      <c r="H106" s="64"/>
      <c r="I106" s="64"/>
      <c r="J106" s="64"/>
      <c r="K106" s="65"/>
      <c r="L106" s="63" t="s">
        <v>13</v>
      </c>
      <c r="M106" s="64"/>
      <c r="N106" s="64"/>
      <c r="O106" s="64"/>
      <c r="P106" s="65"/>
    </row>
    <row r="107" spans="1:16" ht="15" thickBot="1" x14ac:dyDescent="0.35">
      <c r="A107" s="62"/>
      <c r="B107" s="9" t="s">
        <v>6</v>
      </c>
      <c r="C107" s="10" t="s">
        <v>7</v>
      </c>
      <c r="D107" s="7" t="s">
        <v>8</v>
      </c>
      <c r="E107" s="7" t="s">
        <v>9</v>
      </c>
      <c r="F107" s="8" t="s">
        <v>10</v>
      </c>
      <c r="G107" s="9" t="s">
        <v>6</v>
      </c>
      <c r="H107" s="10" t="s">
        <v>7</v>
      </c>
      <c r="I107" s="7" t="s">
        <v>8</v>
      </c>
      <c r="J107" s="7" t="s">
        <v>9</v>
      </c>
      <c r="K107" s="8" t="s">
        <v>10</v>
      </c>
      <c r="L107" s="9" t="s">
        <v>6</v>
      </c>
      <c r="M107" s="10" t="s">
        <v>7</v>
      </c>
      <c r="N107" s="7" t="s">
        <v>8</v>
      </c>
      <c r="O107" s="7" t="s">
        <v>9</v>
      </c>
      <c r="P107" s="8" t="s">
        <v>10</v>
      </c>
    </row>
    <row r="108" spans="1:16" x14ac:dyDescent="0.3">
      <c r="A108" s="11" t="s">
        <v>3</v>
      </c>
      <c r="B108" s="29">
        <v>70.09</v>
      </c>
      <c r="C108" s="30">
        <v>35.04</v>
      </c>
      <c r="D108" s="24">
        <v>50</v>
      </c>
      <c r="E108" s="24">
        <f>2*((C108*D108)/(C108+D108))</f>
        <v>41.204139228598308</v>
      </c>
      <c r="F108" s="36">
        <v>0</v>
      </c>
      <c r="G108" s="31">
        <v>22.55</v>
      </c>
      <c r="H108" s="24">
        <v>25.62</v>
      </c>
      <c r="I108" s="24">
        <v>22.13</v>
      </c>
      <c r="J108" s="24">
        <f>2*((H108*I108)/(H108+I108))</f>
        <v>23.747459685863873</v>
      </c>
      <c r="K108" s="36">
        <v>-0.432</v>
      </c>
      <c r="L108" s="31">
        <v>29.91</v>
      </c>
      <c r="M108" s="24">
        <v>14.96</v>
      </c>
      <c r="N108" s="32">
        <v>50</v>
      </c>
      <c r="O108" s="24">
        <f>2*((M108*N108)/(M108+N108))</f>
        <v>23.029556650246302</v>
      </c>
      <c r="P108" s="36">
        <v>0</v>
      </c>
    </row>
    <row r="109" spans="1:16" x14ac:dyDescent="0.3">
      <c r="A109" s="12" t="s">
        <v>4</v>
      </c>
      <c r="B109" s="31">
        <v>55.47</v>
      </c>
      <c r="C109" s="24">
        <v>56.12</v>
      </c>
      <c r="D109" s="24">
        <v>55.84</v>
      </c>
      <c r="E109" s="24">
        <f t="shared" ref="E109:E111" si="47">2*((C109*D109)/(C109+D109))</f>
        <v>55.979649874955335</v>
      </c>
      <c r="F109" s="36">
        <v>0.11600000000000001</v>
      </c>
      <c r="G109" s="31">
        <v>51.63</v>
      </c>
      <c r="H109" s="24">
        <v>25.82</v>
      </c>
      <c r="I109" s="32">
        <v>50</v>
      </c>
      <c r="J109" s="24">
        <f t="shared" ref="J109:J111" si="48">2*((H109*I109)/(H109+I109))</f>
        <v>34.05433922447903</v>
      </c>
      <c r="K109" s="36">
        <v>0</v>
      </c>
      <c r="L109" s="31">
        <v>51.63</v>
      </c>
      <c r="M109" s="24">
        <v>25.82</v>
      </c>
      <c r="N109" s="32">
        <v>50</v>
      </c>
      <c r="O109" s="24">
        <f t="shared" ref="O109:O111" si="49">2*((M109*N109)/(M109+N109))</f>
        <v>34.05433922447903</v>
      </c>
      <c r="P109" s="36">
        <v>0</v>
      </c>
    </row>
    <row r="110" spans="1:16" x14ac:dyDescent="0.3">
      <c r="A110" s="12" t="s">
        <v>0</v>
      </c>
      <c r="B110" s="31">
        <v>77.22</v>
      </c>
      <c r="C110" s="24">
        <v>38.61</v>
      </c>
      <c r="D110" s="24">
        <v>50</v>
      </c>
      <c r="E110" s="24">
        <f t="shared" si="47"/>
        <v>43.572960162509872</v>
      </c>
      <c r="F110" s="36">
        <v>0</v>
      </c>
      <c r="G110" s="31">
        <v>19.53</v>
      </c>
      <c r="H110" s="24">
        <v>24.26</v>
      </c>
      <c r="I110" s="24">
        <v>15.16</v>
      </c>
      <c r="J110" s="24">
        <f t="shared" si="48"/>
        <v>18.659644850329784</v>
      </c>
      <c r="K110" s="36">
        <v>-0.438</v>
      </c>
      <c r="L110" s="31">
        <v>77.05</v>
      </c>
      <c r="M110" s="24">
        <v>38.590000000000003</v>
      </c>
      <c r="N110" s="24">
        <v>49.89</v>
      </c>
      <c r="O110" s="24">
        <f t="shared" si="49"/>
        <v>43.518424502712477</v>
      </c>
      <c r="P110" s="36">
        <v>-3.0000000000000001E-3</v>
      </c>
    </row>
    <row r="111" spans="1:16" ht="15" thickBot="1" x14ac:dyDescent="0.35">
      <c r="A111" s="13" t="s">
        <v>5</v>
      </c>
      <c r="B111" s="33">
        <v>47.4</v>
      </c>
      <c r="C111" s="25">
        <v>45.97</v>
      </c>
      <c r="D111" s="25">
        <v>45.07</v>
      </c>
      <c r="E111" s="25">
        <f t="shared" si="47"/>
        <v>45.515551405975394</v>
      </c>
      <c r="F111" s="37">
        <v>-8.3000000000000004E-2</v>
      </c>
      <c r="G111" s="33">
        <v>71.62</v>
      </c>
      <c r="H111" s="25">
        <v>35.81</v>
      </c>
      <c r="I111" s="25">
        <v>50</v>
      </c>
      <c r="J111" s="25">
        <f t="shared" si="48"/>
        <v>41.731732898263601</v>
      </c>
      <c r="K111" s="37">
        <v>0</v>
      </c>
      <c r="L111" s="33">
        <v>71.62</v>
      </c>
      <c r="M111" s="25">
        <v>35.81</v>
      </c>
      <c r="N111" s="25">
        <v>50</v>
      </c>
      <c r="O111" s="25">
        <f t="shared" si="49"/>
        <v>41.731732898263601</v>
      </c>
      <c r="P111" s="37">
        <v>0</v>
      </c>
    </row>
    <row r="113" spans="1:16" s="14" customFormat="1" x14ac:dyDescent="0.3"/>
    <row r="114" spans="1:16" x14ac:dyDescent="0.3">
      <c r="A114" t="s">
        <v>22</v>
      </c>
      <c r="B114" t="s">
        <v>1</v>
      </c>
      <c r="C114" t="s">
        <v>2</v>
      </c>
    </row>
    <row r="115" spans="1:16" x14ac:dyDescent="0.3">
      <c r="A115" t="s">
        <v>3</v>
      </c>
      <c r="B115">
        <v>5501</v>
      </c>
      <c r="C115">
        <v>518</v>
      </c>
      <c r="D115">
        <f>B115+C115</f>
        <v>6019</v>
      </c>
      <c r="E115" s="16">
        <f>(B115/D115)</f>
        <v>0.91393919255690315</v>
      </c>
      <c r="F115" s="16">
        <f>C115/D115</f>
        <v>8.6060807443096854E-2</v>
      </c>
    </row>
    <row r="116" spans="1:16" x14ac:dyDescent="0.3">
      <c r="A116" t="s">
        <v>4</v>
      </c>
      <c r="B116">
        <v>5505</v>
      </c>
      <c r="C116">
        <v>514</v>
      </c>
      <c r="D116">
        <f t="shared" ref="D116:D118" si="50">B116+C116</f>
        <v>6019</v>
      </c>
      <c r="E116" s="16">
        <f t="shared" ref="E116:E118" si="51">(B116/D116)</f>
        <v>0.91460375477654099</v>
      </c>
      <c r="F116" s="16">
        <f t="shared" ref="F116:F118" si="52">C116/D116</f>
        <v>8.5396245223459052E-2</v>
      </c>
    </row>
    <row r="117" spans="1:16" x14ac:dyDescent="0.3">
      <c r="A117" t="s">
        <v>0</v>
      </c>
      <c r="B117">
        <f>5229+112</f>
        <v>5341</v>
      </c>
      <c r="C117">
        <f>661+17</f>
        <v>678</v>
      </c>
      <c r="D117">
        <f t="shared" si="50"/>
        <v>6019</v>
      </c>
      <c r="E117" s="16">
        <f t="shared" si="51"/>
        <v>0.88735670377139064</v>
      </c>
      <c r="F117" s="16">
        <f t="shared" si="52"/>
        <v>0.1126432962286094</v>
      </c>
    </row>
    <row r="118" spans="1:16" x14ac:dyDescent="0.3">
      <c r="A118" t="s">
        <v>5</v>
      </c>
      <c r="B118">
        <v>5990</v>
      </c>
      <c r="C118">
        <v>29</v>
      </c>
      <c r="D118">
        <f t="shared" si="50"/>
        <v>6019</v>
      </c>
      <c r="E118" s="16">
        <f t="shared" si="51"/>
        <v>0.99518192390762583</v>
      </c>
      <c r="F118" s="16">
        <f t="shared" si="52"/>
        <v>4.8180760923741484E-3</v>
      </c>
    </row>
    <row r="119" spans="1:16" ht="15" thickBot="1" x14ac:dyDescent="0.35"/>
    <row r="120" spans="1:16" ht="15" thickBot="1" x14ac:dyDescent="0.35">
      <c r="A120" s="61"/>
      <c r="B120" s="63" t="s">
        <v>12</v>
      </c>
      <c r="C120" s="64"/>
      <c r="D120" s="64"/>
      <c r="E120" s="64"/>
      <c r="F120" s="65"/>
      <c r="G120" s="63" t="s">
        <v>11</v>
      </c>
      <c r="H120" s="64"/>
      <c r="I120" s="64"/>
      <c r="J120" s="64"/>
      <c r="K120" s="65"/>
      <c r="L120" s="63" t="s">
        <v>13</v>
      </c>
      <c r="M120" s="64"/>
      <c r="N120" s="64"/>
      <c r="O120" s="64"/>
      <c r="P120" s="65"/>
    </row>
    <row r="121" spans="1:16" ht="15" thickBot="1" x14ac:dyDescent="0.35">
      <c r="A121" s="62"/>
      <c r="B121" s="9" t="s">
        <v>6</v>
      </c>
      <c r="C121" s="10" t="s">
        <v>7</v>
      </c>
      <c r="D121" s="7" t="s">
        <v>8</v>
      </c>
      <c r="E121" s="7" t="s">
        <v>9</v>
      </c>
      <c r="F121" s="8" t="s">
        <v>10</v>
      </c>
      <c r="G121" s="9" t="s">
        <v>6</v>
      </c>
      <c r="H121" s="10" t="s">
        <v>7</v>
      </c>
      <c r="I121" s="7" t="s">
        <v>8</v>
      </c>
      <c r="J121" s="7" t="s">
        <v>9</v>
      </c>
      <c r="K121" s="8" t="s">
        <v>10</v>
      </c>
      <c r="L121" s="9" t="s">
        <v>6</v>
      </c>
      <c r="M121" s="10" t="s">
        <v>7</v>
      </c>
      <c r="N121" s="7" t="s">
        <v>8</v>
      </c>
      <c r="O121" s="7" t="s">
        <v>9</v>
      </c>
      <c r="P121" s="8" t="s">
        <v>10</v>
      </c>
    </row>
    <row r="122" spans="1:16" x14ac:dyDescent="0.3">
      <c r="A122" s="11" t="s">
        <v>3</v>
      </c>
      <c r="B122" s="29">
        <v>91.39</v>
      </c>
      <c r="C122" s="30">
        <v>45.7</v>
      </c>
      <c r="D122" s="24">
        <v>50</v>
      </c>
      <c r="E122" s="24">
        <f>2*((C122*D122)/(C122+D122))</f>
        <v>47.753396029258099</v>
      </c>
      <c r="F122" s="36">
        <v>0</v>
      </c>
      <c r="G122" s="29">
        <v>91.39</v>
      </c>
      <c r="H122" s="30">
        <v>45.7</v>
      </c>
      <c r="I122" s="24">
        <v>50</v>
      </c>
      <c r="J122" s="24">
        <f>2*((H122*I122)/(H122+I122))</f>
        <v>47.753396029258099</v>
      </c>
      <c r="K122" s="36">
        <v>0</v>
      </c>
      <c r="L122" s="29">
        <v>91.39</v>
      </c>
      <c r="M122" s="30">
        <v>45.7</v>
      </c>
      <c r="N122" s="24">
        <v>50</v>
      </c>
      <c r="O122" s="24">
        <f>2*((M122*N122)/(M122+N122))</f>
        <v>47.753396029258099</v>
      </c>
      <c r="P122" s="36">
        <v>0</v>
      </c>
    </row>
    <row r="123" spans="1:16" x14ac:dyDescent="0.3">
      <c r="A123" s="12" t="s">
        <v>4</v>
      </c>
      <c r="B123" s="31">
        <v>91.46</v>
      </c>
      <c r="C123" s="24">
        <v>45.73</v>
      </c>
      <c r="D123" s="24">
        <v>50</v>
      </c>
      <c r="E123" s="24">
        <f t="shared" ref="E123:E125" si="53">2*((C123*D123)/(C123+D123))</f>
        <v>47.769769142379616</v>
      </c>
      <c r="F123" s="36">
        <v>0</v>
      </c>
      <c r="G123" s="31">
        <v>91.46</v>
      </c>
      <c r="H123" s="24">
        <v>45.73</v>
      </c>
      <c r="I123" s="24">
        <v>50</v>
      </c>
      <c r="J123" s="24">
        <f t="shared" ref="J123" si="54">2*((H123*I123)/(H123+I123))</f>
        <v>47.769769142379616</v>
      </c>
      <c r="K123" s="36">
        <v>0</v>
      </c>
      <c r="L123" s="31">
        <v>91.46</v>
      </c>
      <c r="M123" s="24">
        <v>45.73</v>
      </c>
      <c r="N123" s="24">
        <v>50</v>
      </c>
      <c r="O123" s="24">
        <f>2*((M123*N123)/(M123+N123))</f>
        <v>47.769769142379616</v>
      </c>
      <c r="P123" s="36">
        <v>0</v>
      </c>
    </row>
    <row r="124" spans="1:16" x14ac:dyDescent="0.3">
      <c r="A124" s="12" t="s">
        <v>0</v>
      </c>
      <c r="B124" s="31">
        <v>87.16</v>
      </c>
      <c r="C124" s="24">
        <v>50.98</v>
      </c>
      <c r="D124" s="24">
        <v>50.21</v>
      </c>
      <c r="E124" s="24">
        <f t="shared" si="53"/>
        <v>50.592070362684055</v>
      </c>
      <c r="F124" s="36">
        <v>6.0000000000000001E-3</v>
      </c>
      <c r="G124" s="31">
        <v>88.74</v>
      </c>
      <c r="H124" s="24">
        <v>44.37</v>
      </c>
      <c r="I124" s="32">
        <v>50</v>
      </c>
      <c r="J124" s="24">
        <f t="shared" ref="J124:J125" si="55">2*((H124*I124)/(H124+I124))</f>
        <v>47.017060506516898</v>
      </c>
      <c r="K124" s="36">
        <v>0</v>
      </c>
      <c r="L124" s="31">
        <v>88.74</v>
      </c>
      <c r="M124" s="24">
        <v>44.37</v>
      </c>
      <c r="N124" s="32">
        <v>50</v>
      </c>
      <c r="O124" s="24">
        <f t="shared" ref="O124:O125" si="56">2*((M124*N124)/(M124+N124))</f>
        <v>47.017060506516898</v>
      </c>
      <c r="P124" s="36">
        <v>0</v>
      </c>
    </row>
    <row r="125" spans="1:16" ht="15" thickBot="1" x14ac:dyDescent="0.35">
      <c r="A125" s="13" t="s">
        <v>5</v>
      </c>
      <c r="B125" s="33">
        <v>99.52</v>
      </c>
      <c r="C125" s="25">
        <v>49.76</v>
      </c>
      <c r="D125" s="25">
        <v>50</v>
      </c>
      <c r="E125" s="25">
        <f t="shared" si="53"/>
        <v>49.879711307137136</v>
      </c>
      <c r="F125" s="37">
        <v>0</v>
      </c>
      <c r="G125" s="33">
        <v>99.52</v>
      </c>
      <c r="H125" s="25">
        <v>49.76</v>
      </c>
      <c r="I125" s="25">
        <v>50</v>
      </c>
      <c r="J125" s="25">
        <f t="shared" si="55"/>
        <v>49.879711307137136</v>
      </c>
      <c r="K125" s="37">
        <v>0</v>
      </c>
      <c r="L125" s="33">
        <v>99.52</v>
      </c>
      <c r="M125" s="25">
        <v>49.76</v>
      </c>
      <c r="N125" s="25">
        <v>50</v>
      </c>
      <c r="O125" s="25">
        <f t="shared" si="56"/>
        <v>49.879711307137136</v>
      </c>
      <c r="P125" s="37">
        <v>0</v>
      </c>
    </row>
    <row r="127" spans="1:16" s="14" customFormat="1" x14ac:dyDescent="0.3"/>
    <row r="128" spans="1:16" x14ac:dyDescent="0.3">
      <c r="A128" t="s">
        <v>23</v>
      </c>
      <c r="B128" t="s">
        <v>1</v>
      </c>
      <c r="C128" t="s">
        <v>2</v>
      </c>
    </row>
    <row r="129" spans="1:16" x14ac:dyDescent="0.3">
      <c r="A129" t="s">
        <v>3</v>
      </c>
      <c r="B129">
        <f>1436+1330</f>
        <v>2766</v>
      </c>
      <c r="C129">
        <f>1736+1351</f>
        <v>3087</v>
      </c>
      <c r="D129">
        <f>B129+C129</f>
        <v>5853</v>
      </c>
      <c r="E129" s="16">
        <f>(B129/D129)</f>
        <v>0.47257816504356742</v>
      </c>
      <c r="F129" s="16">
        <f>C129/D129</f>
        <v>0.52742183495643258</v>
      </c>
    </row>
    <row r="130" spans="1:16" x14ac:dyDescent="0.3">
      <c r="A130" t="s">
        <v>4</v>
      </c>
      <c r="B130">
        <v>3693</v>
      </c>
      <c r="C130">
        <v>2160</v>
      </c>
      <c r="D130">
        <f t="shared" ref="D130:D132" si="57">B130+C130</f>
        <v>5853</v>
      </c>
      <c r="E130" s="16">
        <f t="shared" ref="E130:E132" si="58">(B130/D130)</f>
        <v>0.63095848282931832</v>
      </c>
      <c r="F130" s="16">
        <f t="shared" ref="F130:F132" si="59">C130/D130</f>
        <v>0.36904151717068168</v>
      </c>
    </row>
    <row r="131" spans="1:16" x14ac:dyDescent="0.3">
      <c r="A131" t="s">
        <v>0</v>
      </c>
      <c r="B131">
        <f>836+1186</f>
        <v>2022</v>
      </c>
      <c r="C131">
        <f>2331+1500</f>
        <v>3831</v>
      </c>
      <c r="D131">
        <f t="shared" si="57"/>
        <v>5853</v>
      </c>
      <c r="E131" s="16">
        <f t="shared" si="58"/>
        <v>0.34546386468477702</v>
      </c>
      <c r="F131" s="16">
        <f t="shared" si="59"/>
        <v>0.65453613531522292</v>
      </c>
    </row>
    <row r="132" spans="1:16" x14ac:dyDescent="0.3">
      <c r="A132" t="s">
        <v>5</v>
      </c>
      <c r="B132">
        <v>4479</v>
      </c>
      <c r="C132">
        <v>1374</v>
      </c>
      <c r="D132">
        <f t="shared" si="57"/>
        <v>5853</v>
      </c>
      <c r="E132" s="16">
        <f t="shared" si="58"/>
        <v>0.76524859046642746</v>
      </c>
      <c r="F132" s="16">
        <f t="shared" si="59"/>
        <v>0.23475140953357251</v>
      </c>
    </row>
    <row r="133" spans="1:16" ht="15" thickBot="1" x14ac:dyDescent="0.35"/>
    <row r="134" spans="1:16" ht="15" thickBot="1" x14ac:dyDescent="0.35">
      <c r="A134" s="61"/>
      <c r="B134" s="63" t="s">
        <v>12</v>
      </c>
      <c r="C134" s="64"/>
      <c r="D134" s="64"/>
      <c r="E134" s="64"/>
      <c r="F134" s="65"/>
      <c r="G134" s="63" t="s">
        <v>11</v>
      </c>
      <c r="H134" s="64"/>
      <c r="I134" s="64"/>
      <c r="J134" s="64"/>
      <c r="K134" s="65"/>
      <c r="L134" s="63" t="s">
        <v>13</v>
      </c>
      <c r="M134" s="64"/>
      <c r="N134" s="64"/>
      <c r="O134" s="64"/>
      <c r="P134" s="65"/>
    </row>
    <row r="135" spans="1:16" ht="15" thickBot="1" x14ac:dyDescent="0.35">
      <c r="A135" s="62"/>
      <c r="B135" s="9" t="s">
        <v>6</v>
      </c>
      <c r="C135" s="10" t="s">
        <v>7</v>
      </c>
      <c r="D135" s="7" t="s">
        <v>8</v>
      </c>
      <c r="E135" s="7" t="s">
        <v>9</v>
      </c>
      <c r="F135" s="8" t="s">
        <v>10</v>
      </c>
      <c r="G135" s="9" t="s">
        <v>6</v>
      </c>
      <c r="H135" s="10" t="s">
        <v>7</v>
      </c>
      <c r="I135" s="7" t="s">
        <v>8</v>
      </c>
      <c r="J135" s="7" t="s">
        <v>9</v>
      </c>
      <c r="K135" s="8" t="s">
        <v>10</v>
      </c>
      <c r="L135" s="9" t="s">
        <v>6</v>
      </c>
      <c r="M135" s="10" t="s">
        <v>7</v>
      </c>
      <c r="N135" s="7" t="s">
        <v>8</v>
      </c>
      <c r="O135" s="7" t="s">
        <v>9</v>
      </c>
      <c r="P135" s="8" t="s">
        <v>10</v>
      </c>
    </row>
    <row r="136" spans="1:16" x14ac:dyDescent="0.3">
      <c r="A136" s="11" t="s">
        <v>3</v>
      </c>
      <c r="B136" s="29">
        <v>47.62</v>
      </c>
      <c r="C136" s="30">
        <v>47.83</v>
      </c>
      <c r="D136" s="24">
        <v>47.84</v>
      </c>
      <c r="E136" s="24">
        <f>2*((C136*D136)/(C136+D136))</f>
        <v>47.834999477370133</v>
      </c>
      <c r="F136" s="36">
        <v>-4.2999999999999997E-2</v>
      </c>
      <c r="G136" s="31">
        <v>52.54</v>
      </c>
      <c r="H136" s="24">
        <v>51.34</v>
      </c>
      <c r="I136" s="24">
        <v>50.81</v>
      </c>
      <c r="J136" s="24">
        <f>2*((H136*I136)/(H136+I136))</f>
        <v>51.073625061184536</v>
      </c>
      <c r="K136" s="36">
        <v>1.7000000000000001E-2</v>
      </c>
      <c r="L136" s="31">
        <v>52.74</v>
      </c>
      <c r="M136" s="24">
        <v>26.37</v>
      </c>
      <c r="N136" s="32">
        <v>50</v>
      </c>
      <c r="O136" s="24">
        <f>2*((M136*N136)/(M136+N136))</f>
        <v>34.529265418357994</v>
      </c>
      <c r="P136" s="36">
        <v>0</v>
      </c>
    </row>
    <row r="137" spans="1:16" x14ac:dyDescent="0.3">
      <c r="A137" s="12" t="s">
        <v>4</v>
      </c>
      <c r="B137" s="31">
        <v>36.9</v>
      </c>
      <c r="C137" s="24">
        <v>18.45</v>
      </c>
      <c r="D137" s="24">
        <v>50</v>
      </c>
      <c r="E137" s="24">
        <f t="shared" ref="E137:E139" si="60">2*((C137*D137)/(C137+D137))</f>
        <v>26.953981008035061</v>
      </c>
      <c r="F137" s="36">
        <v>0</v>
      </c>
      <c r="G137" s="31">
        <v>38.340000000000003</v>
      </c>
      <c r="H137" s="24">
        <v>35.92</v>
      </c>
      <c r="I137" s="24">
        <v>35.26</v>
      </c>
      <c r="J137" s="24">
        <f t="shared" ref="J137:J139" si="61">2*((H137*I137)/(H137+I137))</f>
        <v>35.586940151728008</v>
      </c>
      <c r="K137" s="36">
        <v>-0.28599999999999998</v>
      </c>
      <c r="L137" s="31">
        <v>36.07</v>
      </c>
      <c r="M137" s="24">
        <v>34.97</v>
      </c>
      <c r="N137" s="24">
        <v>33.96</v>
      </c>
      <c r="O137" s="24">
        <f t="shared" ref="O137:O139" si="62">2*((M137*N137)/(M137+N137))</f>
        <v>34.457600464239079</v>
      </c>
      <c r="P137" s="36">
        <v>-0.30499999999999999</v>
      </c>
    </row>
    <row r="138" spans="1:16" x14ac:dyDescent="0.3">
      <c r="A138" s="12" t="s">
        <v>0</v>
      </c>
      <c r="B138" s="31">
        <v>39.909999999999997</v>
      </c>
      <c r="C138" s="24">
        <v>41.12</v>
      </c>
      <c r="D138" s="24">
        <v>40.25</v>
      </c>
      <c r="E138" s="24">
        <f t="shared" si="60"/>
        <v>40.680349022981439</v>
      </c>
      <c r="F138" s="36">
        <v>-0.17199999999999999</v>
      </c>
      <c r="G138" s="31">
        <v>65.44</v>
      </c>
      <c r="H138" s="24">
        <v>32.72</v>
      </c>
      <c r="I138" s="24">
        <v>49.99</v>
      </c>
      <c r="J138" s="24">
        <f t="shared" si="61"/>
        <v>39.551996131060328</v>
      </c>
      <c r="K138" s="36">
        <v>0</v>
      </c>
      <c r="L138" s="31">
        <v>65.45</v>
      </c>
      <c r="M138" s="24">
        <v>32.729999999999997</v>
      </c>
      <c r="N138" s="32">
        <v>50</v>
      </c>
      <c r="O138" s="24">
        <f t="shared" si="62"/>
        <v>39.562432007736007</v>
      </c>
      <c r="P138" s="36">
        <v>0</v>
      </c>
    </row>
    <row r="139" spans="1:16" ht="15" thickBot="1" x14ac:dyDescent="0.35">
      <c r="A139" s="13" t="s">
        <v>5</v>
      </c>
      <c r="B139" s="33">
        <v>23.48</v>
      </c>
      <c r="C139" s="25">
        <v>11.74</v>
      </c>
      <c r="D139" s="25">
        <v>50</v>
      </c>
      <c r="E139" s="25">
        <f t="shared" si="60"/>
        <v>19.015225137674118</v>
      </c>
      <c r="F139" s="37">
        <v>0</v>
      </c>
      <c r="G139" s="33">
        <v>76.52</v>
      </c>
      <c r="H139" s="25">
        <v>38.26</v>
      </c>
      <c r="I139" s="25">
        <v>50</v>
      </c>
      <c r="J139" s="25">
        <f t="shared" si="61"/>
        <v>43.349195558576938</v>
      </c>
      <c r="K139" s="37">
        <v>0</v>
      </c>
      <c r="L139" s="33">
        <v>76.52</v>
      </c>
      <c r="M139" s="25">
        <v>38.26</v>
      </c>
      <c r="N139" s="25">
        <v>50</v>
      </c>
      <c r="O139" s="25">
        <f t="shared" si="62"/>
        <v>43.349195558576938</v>
      </c>
      <c r="P139" s="37">
        <v>0</v>
      </c>
    </row>
    <row r="141" spans="1:16" s="17" customFormat="1" x14ac:dyDescent="0.3"/>
    <row r="142" spans="1:16" x14ac:dyDescent="0.3">
      <c r="A142" t="s">
        <v>24</v>
      </c>
      <c r="B142" t="s">
        <v>1</v>
      </c>
      <c r="C142" t="s">
        <v>2</v>
      </c>
      <c r="G142" t="s">
        <v>27</v>
      </c>
    </row>
    <row r="143" spans="1:16" x14ac:dyDescent="0.3">
      <c r="A143" t="s">
        <v>3</v>
      </c>
      <c r="B143">
        <f>15589+10044</f>
        <v>25633</v>
      </c>
      <c r="C143">
        <f>10399+8931</f>
        <v>19330</v>
      </c>
      <c r="D143">
        <f>B143+C143</f>
        <v>44963</v>
      </c>
      <c r="E143" s="16">
        <f>(B143/D143)</f>
        <v>0.57009096368124901</v>
      </c>
      <c r="F143" s="16">
        <f>C143/D143</f>
        <v>0.42990903631875099</v>
      </c>
      <c r="G143">
        <f>B3+B17</f>
        <v>25633</v>
      </c>
      <c r="H143">
        <f>C3+C17</f>
        <v>19330</v>
      </c>
    </row>
    <row r="144" spans="1:16" x14ac:dyDescent="0.3">
      <c r="A144" t="s">
        <v>4</v>
      </c>
      <c r="B144">
        <f>18324+8132</f>
        <v>26456</v>
      </c>
      <c r="C144">
        <f>12550+5957</f>
        <v>18507</v>
      </c>
      <c r="D144">
        <f t="shared" ref="D144:D146" si="63">B144+C144</f>
        <v>44963</v>
      </c>
      <c r="E144" s="16">
        <f t="shared" ref="E144:E146" si="64">(B144/D144)</f>
        <v>0.58839490247536863</v>
      </c>
      <c r="F144" s="16">
        <f t="shared" ref="F144:F146" si="65">C144/D144</f>
        <v>0.41160509752463137</v>
      </c>
      <c r="G144">
        <f t="shared" ref="G144:H144" si="66">B4+B18</f>
        <v>26456</v>
      </c>
      <c r="H144">
        <f t="shared" si="66"/>
        <v>18507</v>
      </c>
    </row>
    <row r="145" spans="1:16" x14ac:dyDescent="0.3">
      <c r="A145" t="s">
        <v>0</v>
      </c>
      <c r="B145">
        <f>7220+13270</f>
        <v>20490</v>
      </c>
      <c r="C145">
        <f>9319+15154</f>
        <v>24473</v>
      </c>
      <c r="D145">
        <f>B145+C145</f>
        <v>44963</v>
      </c>
      <c r="E145" s="16">
        <f t="shared" si="64"/>
        <v>0.4557080265996486</v>
      </c>
      <c r="F145" s="16">
        <f t="shared" si="65"/>
        <v>0.5442919734003514</v>
      </c>
      <c r="G145">
        <f t="shared" ref="G145:H145" si="67">B5+B19</f>
        <v>20490</v>
      </c>
      <c r="H145">
        <f t="shared" si="67"/>
        <v>24473</v>
      </c>
    </row>
    <row r="146" spans="1:16" x14ac:dyDescent="0.3">
      <c r="A146" t="s">
        <v>5</v>
      </c>
      <c r="B146">
        <f>29195+4040</f>
        <v>33235</v>
      </c>
      <c r="C146">
        <f>11016+712</f>
        <v>11728</v>
      </c>
      <c r="D146">
        <f t="shared" si="63"/>
        <v>44963</v>
      </c>
      <c r="E146" s="16">
        <f t="shared" si="64"/>
        <v>0.73916331205657981</v>
      </c>
      <c r="F146" s="16">
        <f t="shared" si="65"/>
        <v>0.26083668794342013</v>
      </c>
      <c r="G146">
        <f t="shared" ref="G146:H146" si="68">B6+B20</f>
        <v>33235</v>
      </c>
      <c r="H146">
        <f t="shared" si="68"/>
        <v>11728</v>
      </c>
    </row>
    <row r="147" spans="1:16" ht="15" thickBot="1" x14ac:dyDescent="0.35"/>
    <row r="148" spans="1:16" ht="15" thickBot="1" x14ac:dyDescent="0.35">
      <c r="A148" s="61"/>
      <c r="B148" s="63" t="s">
        <v>12</v>
      </c>
      <c r="C148" s="64"/>
      <c r="D148" s="64"/>
      <c r="E148" s="64"/>
      <c r="F148" s="65"/>
      <c r="G148" s="63" t="s">
        <v>11</v>
      </c>
      <c r="H148" s="64"/>
      <c r="I148" s="64"/>
      <c r="J148" s="64"/>
      <c r="K148" s="65"/>
      <c r="L148" s="63" t="s">
        <v>13</v>
      </c>
      <c r="M148" s="64"/>
      <c r="N148" s="64"/>
      <c r="O148" s="64"/>
      <c r="P148" s="65"/>
    </row>
    <row r="149" spans="1:16" ht="15" thickBot="1" x14ac:dyDescent="0.35">
      <c r="A149" s="62"/>
      <c r="B149" s="9" t="s">
        <v>6</v>
      </c>
      <c r="C149" s="10" t="s">
        <v>7</v>
      </c>
      <c r="D149" s="7" t="s">
        <v>8</v>
      </c>
      <c r="E149" s="7" t="s">
        <v>9</v>
      </c>
      <c r="F149" s="8" t="s">
        <v>10</v>
      </c>
      <c r="G149" s="9" t="s">
        <v>6</v>
      </c>
      <c r="H149" s="10" t="s">
        <v>7</v>
      </c>
      <c r="I149" s="7" t="s">
        <v>8</v>
      </c>
      <c r="J149" s="7" t="s">
        <v>9</v>
      </c>
      <c r="K149" s="8" t="s">
        <v>10</v>
      </c>
      <c r="L149" s="9" t="s">
        <v>6</v>
      </c>
      <c r="M149" s="10" t="s">
        <v>7</v>
      </c>
      <c r="N149" s="7" t="s">
        <v>8</v>
      </c>
      <c r="O149" s="7" t="s">
        <v>9</v>
      </c>
      <c r="P149" s="8" t="s">
        <v>10</v>
      </c>
    </row>
    <row r="150" spans="1:16" x14ac:dyDescent="0.3">
      <c r="A150" s="11" t="s">
        <v>3</v>
      </c>
      <c r="B150" s="29">
        <v>54.53</v>
      </c>
      <c r="C150" s="30">
        <v>53.53</v>
      </c>
      <c r="D150" s="24">
        <v>53.51</v>
      </c>
      <c r="E150" s="24">
        <f>2*((C150*D150)/(C150+D150))</f>
        <v>53.519998131539616</v>
      </c>
      <c r="F150" s="36">
        <v>7.0000000000000007E-2</v>
      </c>
      <c r="G150" s="31">
        <v>52.06</v>
      </c>
      <c r="H150" s="24">
        <v>49.12</v>
      </c>
      <c r="I150" s="24">
        <v>49.24</v>
      </c>
      <c r="J150" s="24">
        <f>2*((H150*I150)/(H150+I150))</f>
        <v>49.179926799511996</v>
      </c>
      <c r="K150" s="36">
        <v>-1.6E-2</v>
      </c>
      <c r="L150" s="5">
        <v>50.89</v>
      </c>
      <c r="M150" s="3">
        <v>49.94</v>
      </c>
      <c r="N150" s="15">
        <v>49.94</v>
      </c>
      <c r="O150" s="3">
        <f>2*((M150*N150)/(M150+N150))</f>
        <v>49.939999999999991</v>
      </c>
      <c r="P150" s="36">
        <v>-1E-3</v>
      </c>
    </row>
    <row r="151" spans="1:16" x14ac:dyDescent="0.3">
      <c r="A151" s="12" t="s">
        <v>4</v>
      </c>
      <c r="B151" s="31">
        <v>54</v>
      </c>
      <c r="C151" s="24">
        <v>50.82</v>
      </c>
      <c r="D151" s="24">
        <v>50.72</v>
      </c>
      <c r="E151" s="24">
        <f t="shared" ref="E151:E153" si="69">2*((C151*D151)/(C151+D151))</f>
        <v>50.769950758321848</v>
      </c>
      <c r="F151" s="36">
        <v>1.4999999999999999E-2</v>
      </c>
      <c r="G151" s="31">
        <v>52.41</v>
      </c>
      <c r="H151" s="24">
        <v>48.05</v>
      </c>
      <c r="I151" s="24">
        <v>48.4</v>
      </c>
      <c r="J151" s="24">
        <f t="shared" ref="J151:J153" si="70">2*((H151*I151)/(H151+I151))</f>
        <v>48.224364955935719</v>
      </c>
      <c r="K151" s="36">
        <v>-3.4000000000000002E-2</v>
      </c>
      <c r="L151" s="5">
        <v>52.21</v>
      </c>
      <c r="M151" s="3">
        <v>49.35</v>
      </c>
      <c r="N151" s="3">
        <v>49.4</v>
      </c>
      <c r="O151" s="3">
        <f t="shared" ref="O151:O153" si="71">2*((M151*N151)/(M151+N151))</f>
        <v>49.374987341772147</v>
      </c>
      <c r="P151" s="36">
        <v>-1.2E-2</v>
      </c>
    </row>
    <row r="152" spans="1:16" x14ac:dyDescent="0.3">
      <c r="A152" s="12" t="s">
        <v>0</v>
      </c>
      <c r="B152" s="31">
        <v>49.76</v>
      </c>
      <c r="C152" s="24">
        <v>48.48</v>
      </c>
      <c r="D152" s="24">
        <v>48.58</v>
      </c>
      <c r="E152" s="24">
        <f t="shared" si="69"/>
        <v>48.5299484854729</v>
      </c>
      <c r="F152" s="36">
        <v>-2.9000000000000001E-2</v>
      </c>
      <c r="G152" s="31">
        <v>43.58</v>
      </c>
      <c r="H152" s="24">
        <v>43.72</v>
      </c>
      <c r="I152" s="24">
        <v>43.68</v>
      </c>
      <c r="J152" s="24">
        <f t="shared" si="70"/>
        <v>43.699990846681921</v>
      </c>
      <c r="K152" s="36">
        <v>-0.125</v>
      </c>
      <c r="L152" s="5">
        <v>51.97</v>
      </c>
      <c r="M152" s="3">
        <v>51.63</v>
      </c>
      <c r="N152" s="15">
        <v>51.64</v>
      </c>
      <c r="O152" s="3">
        <f t="shared" si="71"/>
        <v>51.634999515832284</v>
      </c>
      <c r="P152" s="36">
        <v>3.3000000000000002E-2</v>
      </c>
    </row>
    <row r="153" spans="1:16" ht="15" thickBot="1" x14ac:dyDescent="0.35">
      <c r="A153" s="13" t="s">
        <v>5</v>
      </c>
      <c r="B153" s="33">
        <v>66.510000000000005</v>
      </c>
      <c r="C153" s="25">
        <v>43.79</v>
      </c>
      <c r="D153" s="25">
        <v>46.96</v>
      </c>
      <c r="E153" s="25">
        <f t="shared" si="69"/>
        <v>45.319634159779618</v>
      </c>
      <c r="F153" s="37">
        <v>-7.4999999999999997E-2</v>
      </c>
      <c r="G153" s="33">
        <v>71.239999999999995</v>
      </c>
      <c r="H153" s="25">
        <v>41.83</v>
      </c>
      <c r="I153" s="25">
        <v>48.62</v>
      </c>
      <c r="J153" s="25">
        <f t="shared" si="70"/>
        <v>44.970140409065785</v>
      </c>
      <c r="K153" s="37">
        <v>-3.7999999999999999E-2</v>
      </c>
      <c r="L153" s="6">
        <v>71.62</v>
      </c>
      <c r="M153" s="7">
        <v>58.99</v>
      </c>
      <c r="N153" s="7">
        <v>55.52</v>
      </c>
      <c r="O153" s="7">
        <f t="shared" si="71"/>
        <v>57.20242424242425</v>
      </c>
      <c r="P153" s="37">
        <v>0.13</v>
      </c>
    </row>
    <row r="154" spans="1:16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6" spans="1:16" s="17" customFormat="1" x14ac:dyDescent="0.3"/>
    <row r="157" spans="1:16" x14ac:dyDescent="0.3">
      <c r="A157" t="s">
        <v>25</v>
      </c>
      <c r="B157" t="s">
        <v>1</v>
      </c>
      <c r="C157" t="s">
        <v>2</v>
      </c>
      <c r="G157" t="s">
        <v>27</v>
      </c>
    </row>
    <row r="158" spans="1:16" x14ac:dyDescent="0.3">
      <c r="A158" t="s">
        <v>3</v>
      </c>
      <c r="B158">
        <f>2865+16137</f>
        <v>19002</v>
      </c>
      <c r="C158">
        <f>6818+7713</f>
        <v>14531</v>
      </c>
      <c r="D158">
        <f>B158+C158</f>
        <v>33533</v>
      </c>
      <c r="E158" s="16">
        <f>(B158/D158)</f>
        <v>0.5666656726210002</v>
      </c>
      <c r="F158" s="16">
        <f>C158/D158</f>
        <v>0.4333343273789998</v>
      </c>
      <c r="G158">
        <f>B31+B45+B59+B73</f>
        <v>19002</v>
      </c>
      <c r="H158">
        <f>C31+C45+C59+C73</f>
        <v>14531</v>
      </c>
    </row>
    <row r="159" spans="1:16" x14ac:dyDescent="0.3">
      <c r="A159" t="s">
        <v>4</v>
      </c>
      <c r="B159">
        <f>16033+4625</f>
        <v>20658</v>
      </c>
      <c r="C159">
        <f>9986+2889</f>
        <v>12875</v>
      </c>
      <c r="D159">
        <f t="shared" ref="D159:D161" si="72">B159+C159</f>
        <v>33533</v>
      </c>
      <c r="E159" s="16">
        <f t="shared" ref="E159:E161" si="73">(B159/D159)</f>
        <v>0.61604986133062956</v>
      </c>
      <c r="F159" s="16">
        <f t="shared" ref="F159:F161" si="74">C159/D159</f>
        <v>0.38395013866937044</v>
      </c>
      <c r="G159">
        <f t="shared" ref="G159:H159" si="75">B32+B46+B60+B74</f>
        <v>20658</v>
      </c>
      <c r="H159">
        <f t="shared" si="75"/>
        <v>12875</v>
      </c>
    </row>
    <row r="160" spans="1:16" x14ac:dyDescent="0.3">
      <c r="A160" t="s">
        <v>0</v>
      </c>
      <c r="B160">
        <f>11051+5391</f>
        <v>16442</v>
      </c>
      <c r="C160">
        <f>11279+5812</f>
        <v>17091</v>
      </c>
      <c r="D160">
        <f t="shared" si="72"/>
        <v>33533</v>
      </c>
      <c r="E160" s="16">
        <f t="shared" si="73"/>
        <v>0.49032296543703219</v>
      </c>
      <c r="F160" s="16">
        <f t="shared" si="74"/>
        <v>0.50967703456296787</v>
      </c>
      <c r="G160">
        <f t="shared" ref="G160:H160" si="76">B33+B47+B61+B75</f>
        <v>16442</v>
      </c>
      <c r="H160">
        <f t="shared" si="76"/>
        <v>17091</v>
      </c>
    </row>
    <row r="161" spans="1:16" x14ac:dyDescent="0.3">
      <c r="A161" t="s">
        <v>5</v>
      </c>
      <c r="B161">
        <v>25663</v>
      </c>
      <c r="C161">
        <v>7870</v>
      </c>
      <c r="D161">
        <f t="shared" si="72"/>
        <v>33533</v>
      </c>
      <c r="E161" s="16">
        <f t="shared" si="73"/>
        <v>0.76530581814928578</v>
      </c>
      <c r="F161" s="16">
        <f t="shared" si="74"/>
        <v>0.23469418185071422</v>
      </c>
      <c r="G161">
        <f t="shared" ref="G161:H161" si="77">B34+B48+B62+B76</f>
        <v>25663</v>
      </c>
      <c r="H161">
        <f t="shared" si="77"/>
        <v>7870</v>
      </c>
    </row>
    <row r="162" spans="1:16" ht="15" thickBot="1" x14ac:dyDescent="0.35">
      <c r="E162" s="16"/>
      <c r="F162" s="16"/>
    </row>
    <row r="163" spans="1:16" ht="15" thickBot="1" x14ac:dyDescent="0.35">
      <c r="A163" s="61"/>
      <c r="B163" s="63" t="s">
        <v>12</v>
      </c>
      <c r="C163" s="64"/>
      <c r="D163" s="64"/>
      <c r="E163" s="64"/>
      <c r="F163" s="65"/>
      <c r="G163" s="63" t="s">
        <v>11</v>
      </c>
      <c r="H163" s="64"/>
      <c r="I163" s="64"/>
      <c r="J163" s="64"/>
      <c r="K163" s="65"/>
      <c r="L163" s="63" t="s">
        <v>13</v>
      </c>
      <c r="M163" s="64"/>
      <c r="N163" s="64"/>
      <c r="O163" s="64"/>
      <c r="P163" s="65"/>
    </row>
    <row r="164" spans="1:16" ht="15" thickBot="1" x14ac:dyDescent="0.35">
      <c r="A164" s="62"/>
      <c r="B164" s="9" t="s">
        <v>6</v>
      </c>
      <c r="C164" s="10" t="s">
        <v>7</v>
      </c>
      <c r="D164" s="7" t="s">
        <v>8</v>
      </c>
      <c r="E164" s="7" t="s">
        <v>9</v>
      </c>
      <c r="F164" s="8" t="s">
        <v>10</v>
      </c>
      <c r="G164" s="9" t="s">
        <v>6</v>
      </c>
      <c r="H164" s="10" t="s">
        <v>7</v>
      </c>
      <c r="I164" s="7" t="s">
        <v>8</v>
      </c>
      <c r="J164" s="7" t="s">
        <v>9</v>
      </c>
      <c r="K164" s="8" t="s">
        <v>10</v>
      </c>
      <c r="L164" s="9" t="s">
        <v>6</v>
      </c>
      <c r="M164" s="10" t="s">
        <v>7</v>
      </c>
      <c r="N164" s="7" t="s">
        <v>8</v>
      </c>
      <c r="O164" s="7" t="s">
        <v>9</v>
      </c>
      <c r="P164" s="8" t="s">
        <v>10</v>
      </c>
    </row>
    <row r="165" spans="1:16" x14ac:dyDescent="0.3">
      <c r="A165" s="11" t="s">
        <v>3</v>
      </c>
      <c r="B165" s="29">
        <v>31.55</v>
      </c>
      <c r="C165" s="30">
        <v>30.96</v>
      </c>
      <c r="D165" s="24">
        <v>34.08</v>
      </c>
      <c r="E165" s="24">
        <f>2*((C165*D165)/(C165+D165))</f>
        <v>32.445166051660522</v>
      </c>
      <c r="F165" s="36">
        <v>-0.29599999999999999</v>
      </c>
      <c r="G165" s="31">
        <v>41.68</v>
      </c>
      <c r="H165" s="24">
        <v>41.25</v>
      </c>
      <c r="I165" s="24">
        <v>41.12</v>
      </c>
      <c r="J165" s="24">
        <f>2*((H165*I165)/(H165+I165))</f>
        <v>41.18489741410707</v>
      </c>
      <c r="K165" s="36">
        <v>-0.17599999999999999</v>
      </c>
      <c r="L165" s="31">
        <v>45.53</v>
      </c>
      <c r="M165" s="24">
        <v>44.52</v>
      </c>
      <c r="N165" s="32">
        <v>44.53</v>
      </c>
      <c r="O165" s="24">
        <f>2*((M165*N165)/(M165+N165))</f>
        <v>44.524999438517689</v>
      </c>
      <c r="P165" s="36">
        <v>-0.11</v>
      </c>
    </row>
    <row r="166" spans="1:16" x14ac:dyDescent="0.3">
      <c r="A166" s="12" t="s">
        <v>4</v>
      </c>
      <c r="B166" s="31">
        <v>56.43</v>
      </c>
      <c r="C166" s="24">
        <v>50.03</v>
      </c>
      <c r="D166" s="24">
        <v>50.03</v>
      </c>
      <c r="E166" s="24">
        <f t="shared" ref="E166:E168" si="78">2*((C166*D166)/(C166+D166))</f>
        <v>50.03</v>
      </c>
      <c r="F166" s="36">
        <v>1E-3</v>
      </c>
      <c r="G166" s="31">
        <v>53.96</v>
      </c>
      <c r="H166" s="24">
        <v>50.77</v>
      </c>
      <c r="I166" s="24">
        <v>50.75</v>
      </c>
      <c r="J166" s="24">
        <f t="shared" ref="J166:J168" si="79">2*((H166*I166)/(H166+I166))</f>
        <v>50.759998029944839</v>
      </c>
      <c r="K166" s="36">
        <v>1.4999999999999999E-2</v>
      </c>
      <c r="L166" s="31">
        <v>50.99</v>
      </c>
      <c r="M166" s="24">
        <v>42.53</v>
      </c>
      <c r="N166" s="24">
        <v>44.42</v>
      </c>
      <c r="O166" s="24">
        <f t="shared" ref="O166:O168" si="80">2*((M166*N166)/(M166+N166))</f>
        <v>43.454458884416333</v>
      </c>
      <c r="P166" s="36">
        <v>-0.121</v>
      </c>
    </row>
    <row r="167" spans="1:16" x14ac:dyDescent="0.3">
      <c r="A167" s="12" t="s">
        <v>0</v>
      </c>
      <c r="B167" s="31">
        <v>50.29</v>
      </c>
      <c r="C167" s="24">
        <v>50.68</v>
      </c>
      <c r="D167" s="24">
        <v>50.61</v>
      </c>
      <c r="E167" s="24">
        <f t="shared" si="78"/>
        <v>50.644975812024882</v>
      </c>
      <c r="F167" s="36">
        <v>1.2E-2</v>
      </c>
      <c r="G167" s="31">
        <v>51.3</v>
      </c>
      <c r="H167" s="24">
        <v>51.63</v>
      </c>
      <c r="I167" s="24">
        <v>51.54</v>
      </c>
      <c r="J167" s="24">
        <f t="shared" si="79"/>
        <v>51.584960744402444</v>
      </c>
      <c r="K167" s="36">
        <v>3.1E-2</v>
      </c>
      <c r="L167" s="31">
        <v>47.32</v>
      </c>
      <c r="M167" s="24">
        <v>45.73</v>
      </c>
      <c r="N167" s="32">
        <v>46.83</v>
      </c>
      <c r="O167" s="24">
        <f t="shared" si="80"/>
        <v>46.27346369922212</v>
      </c>
      <c r="P167" s="36">
        <v>-6.4000000000000001E-2</v>
      </c>
    </row>
    <row r="168" spans="1:16" ht="15" thickBot="1" x14ac:dyDescent="0.35">
      <c r="A168" s="13" t="s">
        <v>5</v>
      </c>
      <c r="B168" s="33">
        <v>76.53</v>
      </c>
      <c r="C168" s="25">
        <v>38.270000000000003</v>
      </c>
      <c r="D168" s="25">
        <v>50</v>
      </c>
      <c r="E168" s="25">
        <f t="shared" si="78"/>
        <v>43.355613458706245</v>
      </c>
      <c r="F168" s="37">
        <v>0</v>
      </c>
      <c r="G168" s="33">
        <v>76.53</v>
      </c>
      <c r="H168" s="25">
        <v>88.27</v>
      </c>
      <c r="I168" s="25">
        <v>50.01</v>
      </c>
      <c r="J168" s="25">
        <f t="shared" si="79"/>
        <v>63.84701619901648</v>
      </c>
      <c r="K168" s="37">
        <v>0</v>
      </c>
      <c r="L168" s="33">
        <v>70.569999999999993</v>
      </c>
      <c r="M168" s="25">
        <v>45.12</v>
      </c>
      <c r="N168" s="25">
        <v>47.91</v>
      </c>
      <c r="O168" s="25">
        <f t="shared" si="80"/>
        <v>46.473163495646553</v>
      </c>
      <c r="P168" s="37">
        <v>-5.3999999999999999E-2</v>
      </c>
    </row>
    <row r="170" spans="1:16" s="17" customFormat="1" x14ac:dyDescent="0.3"/>
    <row r="171" spans="1:16" x14ac:dyDescent="0.3">
      <c r="A171" t="s">
        <v>26</v>
      </c>
      <c r="B171" t="s">
        <v>1</v>
      </c>
      <c r="C171" t="s">
        <v>2</v>
      </c>
      <c r="G171" t="s">
        <v>27</v>
      </c>
    </row>
    <row r="172" spans="1:16" x14ac:dyDescent="0.3">
      <c r="A172" t="s">
        <v>3</v>
      </c>
      <c r="B172">
        <f>4943+5501</f>
        <v>10444</v>
      </c>
      <c r="C172">
        <f>7912+520</f>
        <v>8432</v>
      </c>
      <c r="D172">
        <f>B172+C172</f>
        <v>18876</v>
      </c>
      <c r="E172" s="16">
        <f>(B172/D172)</f>
        <v>0.55329518965882607</v>
      </c>
      <c r="F172" s="16">
        <f>C172/D172</f>
        <v>0.44670481034117399</v>
      </c>
      <c r="G172">
        <f>B87+B101+B115+B129</f>
        <v>10444</v>
      </c>
      <c r="H172">
        <f>C87+C101+C115+C129</f>
        <v>8432</v>
      </c>
    </row>
    <row r="173" spans="1:16" x14ac:dyDescent="0.3">
      <c r="A173" t="s">
        <v>4</v>
      </c>
      <c r="B173">
        <f>9627+2953</f>
        <v>12580</v>
      </c>
      <c r="C173">
        <f>3290+3006</f>
        <v>6296</v>
      </c>
      <c r="D173">
        <f t="shared" ref="D173:D175" si="81">B173+C173</f>
        <v>18876</v>
      </c>
      <c r="E173" s="16">
        <f t="shared" ref="E173:E175" si="82">(B173/D173)</f>
        <v>0.66645475736384829</v>
      </c>
      <c r="F173" s="16">
        <f t="shared" ref="F173:F175" si="83">C173/D173</f>
        <v>0.33354524263615171</v>
      </c>
      <c r="G173">
        <f t="shared" ref="G173:H173" si="84">B88+B102+B116+B130</f>
        <v>12580</v>
      </c>
      <c r="H173">
        <f t="shared" si="84"/>
        <v>6296</v>
      </c>
    </row>
    <row r="174" spans="1:16" x14ac:dyDescent="0.3">
      <c r="A174" t="s">
        <v>0</v>
      </c>
      <c r="B174">
        <f>1931+7200</f>
        <v>9131</v>
      </c>
      <c r="C174">
        <f>2160+7585</f>
        <v>9745</v>
      </c>
      <c r="D174">
        <f t="shared" si="81"/>
        <v>18876</v>
      </c>
      <c r="E174" s="16">
        <f t="shared" si="82"/>
        <v>0.48373596100868826</v>
      </c>
      <c r="F174" s="16">
        <f t="shared" si="83"/>
        <v>0.51626403899131168</v>
      </c>
      <c r="G174">
        <f t="shared" ref="G174:H174" si="85">B89+B103+B117+B131</f>
        <v>9131</v>
      </c>
      <c r="H174">
        <f t="shared" si="85"/>
        <v>9745</v>
      </c>
    </row>
    <row r="175" spans="1:16" x14ac:dyDescent="0.3">
      <c r="A175" t="s">
        <v>5</v>
      </c>
      <c r="B175">
        <f>13295+546</f>
        <v>13841</v>
      </c>
      <c r="C175">
        <f>4843+192</f>
        <v>5035</v>
      </c>
      <c r="D175">
        <f t="shared" si="81"/>
        <v>18876</v>
      </c>
      <c r="E175" s="16">
        <f t="shared" si="82"/>
        <v>0.7332591650773469</v>
      </c>
      <c r="F175" s="16">
        <f t="shared" si="83"/>
        <v>0.2667408349226531</v>
      </c>
      <c r="G175">
        <f t="shared" ref="G175:H175" si="86">B90+B104+B118+B132</f>
        <v>13841</v>
      </c>
      <c r="H175">
        <f t="shared" si="86"/>
        <v>5035</v>
      </c>
    </row>
    <row r="176" spans="1:16" ht="15" thickBot="1" x14ac:dyDescent="0.35"/>
    <row r="177" spans="1:20" ht="15" thickBot="1" x14ac:dyDescent="0.35">
      <c r="A177" s="61"/>
      <c r="B177" s="63" t="s">
        <v>12</v>
      </c>
      <c r="C177" s="64"/>
      <c r="D177" s="64"/>
      <c r="E177" s="64"/>
      <c r="F177" s="65"/>
      <c r="G177" s="63" t="s">
        <v>11</v>
      </c>
      <c r="H177" s="64"/>
      <c r="I177" s="64"/>
      <c r="J177" s="64"/>
      <c r="K177" s="65"/>
      <c r="L177" s="63" t="s">
        <v>13</v>
      </c>
      <c r="M177" s="64"/>
      <c r="N177" s="64"/>
      <c r="O177" s="64"/>
      <c r="P177" s="65"/>
    </row>
    <row r="178" spans="1:20" ht="15" thickBot="1" x14ac:dyDescent="0.35">
      <c r="A178" s="62"/>
      <c r="B178" s="9" t="s">
        <v>6</v>
      </c>
      <c r="C178" s="10" t="s">
        <v>7</v>
      </c>
      <c r="D178" s="7" t="s">
        <v>8</v>
      </c>
      <c r="E178" s="7" t="s">
        <v>9</v>
      </c>
      <c r="F178" s="8" t="s">
        <v>10</v>
      </c>
      <c r="G178" s="9" t="s">
        <v>6</v>
      </c>
      <c r="H178" s="10" t="s">
        <v>7</v>
      </c>
      <c r="I178" s="7" t="s">
        <v>8</v>
      </c>
      <c r="J178" s="7" t="s">
        <v>9</v>
      </c>
      <c r="K178" s="8" t="s">
        <v>10</v>
      </c>
      <c r="L178" s="9" t="s">
        <v>6</v>
      </c>
      <c r="M178" s="10" t="s">
        <v>7</v>
      </c>
      <c r="N178" s="7" t="s">
        <v>8</v>
      </c>
      <c r="O178" s="7" t="s">
        <v>9</v>
      </c>
      <c r="P178" s="8" t="s">
        <v>10</v>
      </c>
    </row>
    <row r="179" spans="1:20" x14ac:dyDescent="0.3">
      <c r="A179" s="11" t="s">
        <v>3</v>
      </c>
      <c r="B179" s="29">
        <v>28.94</v>
      </c>
      <c r="C179" s="30">
        <v>23.54</v>
      </c>
      <c r="D179" s="24">
        <v>26.75</v>
      </c>
      <c r="E179" s="24">
        <f>2*((C179*D179)/(C179+D179))</f>
        <v>25.042553191489361</v>
      </c>
      <c r="F179" s="36">
        <v>-0.47799999999999998</v>
      </c>
      <c r="G179" s="31">
        <v>46.07</v>
      </c>
      <c r="H179" s="24">
        <v>46.4</v>
      </c>
      <c r="I179" s="24">
        <v>46.37</v>
      </c>
      <c r="J179" s="24">
        <f>2*((H179*I179)/(H179+I179))</f>
        <v>46.38499514929395</v>
      </c>
      <c r="K179" s="36">
        <v>-7.0999999999999994E-2</v>
      </c>
      <c r="L179" s="31">
        <v>41.79</v>
      </c>
      <c r="M179" s="24">
        <v>42.67</v>
      </c>
      <c r="N179" s="32">
        <v>43.06</v>
      </c>
      <c r="O179" s="24">
        <f>2*((M179*N179)/(M179+N179))</f>
        <v>42.864112912632685</v>
      </c>
      <c r="P179" s="36">
        <v>-0.13400000000000001</v>
      </c>
    </row>
    <row r="180" spans="1:20" x14ac:dyDescent="0.3">
      <c r="A180" s="12" t="s">
        <v>4</v>
      </c>
      <c r="B180" s="31">
        <v>66.930000000000007</v>
      </c>
      <c r="C180" s="24">
        <v>62.49</v>
      </c>
      <c r="D180" s="24">
        <v>62.14</v>
      </c>
      <c r="E180" s="24">
        <f t="shared" ref="E180:E182" si="87">2*((C180*D180)/(C180+D180))</f>
        <v>62.314508545294075</v>
      </c>
      <c r="F180" s="36">
        <v>0.246</v>
      </c>
      <c r="G180" s="31">
        <v>48.82</v>
      </c>
      <c r="H180" s="24">
        <v>45.69</v>
      </c>
      <c r="I180" s="24">
        <v>45.31</v>
      </c>
      <c r="J180" s="24">
        <f t="shared" ref="J180:J182" si="88">2*((H180*I180)/(H180+I180))</f>
        <v>45.499206593406598</v>
      </c>
      <c r="K180" s="36">
        <v>-8.8999999999999996E-2</v>
      </c>
      <c r="L180" s="31">
        <v>49.82</v>
      </c>
      <c r="M180" s="24">
        <v>48.58</v>
      </c>
      <c r="N180" s="24">
        <v>48.41</v>
      </c>
      <c r="O180" s="24">
        <f t="shared" ref="O180:O182" si="89">2*((M180*N180)/(M180+N180))</f>
        <v>48.494851015568614</v>
      </c>
      <c r="P180" s="36">
        <v>-2.9000000000000001E-2</v>
      </c>
    </row>
    <row r="181" spans="1:20" x14ac:dyDescent="0.3">
      <c r="A181" s="12" t="s">
        <v>0</v>
      </c>
      <c r="B181" s="31">
        <v>50.41</v>
      </c>
      <c r="C181" s="24">
        <v>49.25</v>
      </c>
      <c r="D181" s="24">
        <v>49.49</v>
      </c>
      <c r="E181" s="24">
        <f t="shared" si="87"/>
        <v>49.369708324893658</v>
      </c>
      <c r="F181" s="36">
        <v>-0.01</v>
      </c>
      <c r="G181" s="31">
        <v>58.47</v>
      </c>
      <c r="H181" s="24">
        <v>59.42</v>
      </c>
      <c r="I181" s="24">
        <v>57.8</v>
      </c>
      <c r="J181" s="24">
        <f t="shared" si="88"/>
        <v>58.598805664562363</v>
      </c>
      <c r="K181" s="36">
        <v>0.158</v>
      </c>
      <c r="L181" s="31">
        <v>53.93</v>
      </c>
      <c r="M181" s="24">
        <v>53.76</v>
      </c>
      <c r="N181" s="32">
        <v>53.62</v>
      </c>
      <c r="O181" s="24">
        <f t="shared" si="89"/>
        <v>53.689908735332466</v>
      </c>
      <c r="P181" s="36">
        <v>7.2999999999999995E-2</v>
      </c>
    </row>
    <row r="182" spans="1:20" ht="15" thickBot="1" x14ac:dyDescent="0.35">
      <c r="A182" s="13" t="s">
        <v>5</v>
      </c>
      <c r="B182" s="33">
        <v>71.45</v>
      </c>
      <c r="C182" s="25">
        <v>49.66</v>
      </c>
      <c r="D182" s="25">
        <v>49.93</v>
      </c>
      <c r="E182" s="25">
        <f t="shared" si="87"/>
        <v>49.794633999397526</v>
      </c>
      <c r="F182" s="37">
        <v>-2E-3</v>
      </c>
      <c r="G182" s="33">
        <v>73.17</v>
      </c>
      <c r="H182" s="25">
        <v>55.84</v>
      </c>
      <c r="I182" s="25">
        <v>50.2</v>
      </c>
      <c r="J182" s="25">
        <f t="shared" si="88"/>
        <v>52.870011316484344</v>
      </c>
      <c r="K182" s="37">
        <v>6.0000000000000001E-3</v>
      </c>
      <c r="L182" s="33">
        <v>65.66</v>
      </c>
      <c r="M182" s="25">
        <v>57.62</v>
      </c>
      <c r="N182" s="25">
        <v>58.21</v>
      </c>
      <c r="O182" s="25">
        <f t="shared" si="89"/>
        <v>57.913497366830697</v>
      </c>
      <c r="P182" s="37">
        <v>0.158</v>
      </c>
    </row>
    <row r="184" spans="1:20" s="18" customFormat="1" x14ac:dyDescent="0.3"/>
    <row r="185" spans="1:20" ht="15" thickBot="1" x14ac:dyDescent="0.35">
      <c r="A185" t="s">
        <v>31</v>
      </c>
      <c r="H185" t="s">
        <v>32</v>
      </c>
      <c r="O185" t="s">
        <v>33</v>
      </c>
    </row>
    <row r="186" spans="1:20" ht="15" thickBot="1" x14ac:dyDescent="0.35">
      <c r="A186" s="67"/>
      <c r="B186" s="61"/>
      <c r="C186" s="20" t="s">
        <v>6</v>
      </c>
      <c r="D186" s="21" t="s">
        <v>7</v>
      </c>
      <c r="E186" s="22" t="s">
        <v>8</v>
      </c>
      <c r="F186" s="23" t="s">
        <v>9</v>
      </c>
      <c r="H186" s="63"/>
      <c r="I186" s="65"/>
      <c r="J186" s="21" t="s">
        <v>6</v>
      </c>
      <c r="K186" s="21" t="s">
        <v>7</v>
      </c>
      <c r="L186" s="22" t="s">
        <v>8</v>
      </c>
      <c r="M186" s="23" t="s">
        <v>9</v>
      </c>
      <c r="O186" s="63"/>
      <c r="P186" s="65"/>
      <c r="Q186" s="21" t="s">
        <v>6</v>
      </c>
      <c r="R186" s="21" t="s">
        <v>7</v>
      </c>
      <c r="S186" s="22" t="s">
        <v>8</v>
      </c>
      <c r="T186" s="23" t="s">
        <v>9</v>
      </c>
    </row>
    <row r="187" spans="1:20" x14ac:dyDescent="0.3">
      <c r="A187" s="66" t="s">
        <v>3</v>
      </c>
      <c r="B187" s="19" t="s">
        <v>29</v>
      </c>
      <c r="C187" s="24">
        <f>B150</f>
        <v>54.53</v>
      </c>
      <c r="D187" s="24">
        <f t="shared" ref="D187:E187" si="90">C150</f>
        <v>53.53</v>
      </c>
      <c r="E187" s="24">
        <f t="shared" si="90"/>
        <v>53.51</v>
      </c>
      <c r="F187" s="26">
        <f>E150</f>
        <v>53.519998131539616</v>
      </c>
      <c r="H187" s="59" t="s">
        <v>3</v>
      </c>
      <c r="I187" s="4" t="s">
        <v>29</v>
      </c>
      <c r="J187" s="24">
        <f>B165</f>
        <v>31.55</v>
      </c>
      <c r="K187" s="24">
        <f t="shared" ref="K187:M187" si="91">C165</f>
        <v>30.96</v>
      </c>
      <c r="L187" s="24">
        <f t="shared" si="91"/>
        <v>34.08</v>
      </c>
      <c r="M187" s="26">
        <f t="shared" si="91"/>
        <v>32.445166051660522</v>
      </c>
      <c r="O187" s="59" t="s">
        <v>3</v>
      </c>
      <c r="P187" s="4" t="s">
        <v>29</v>
      </c>
      <c r="Q187" s="24">
        <f>B179</f>
        <v>28.94</v>
      </c>
      <c r="R187" s="24">
        <f t="shared" ref="R187:S187" si="92">C179</f>
        <v>23.54</v>
      </c>
      <c r="S187" s="24">
        <f t="shared" si="92"/>
        <v>26.75</v>
      </c>
      <c r="T187" s="26">
        <f>E179</f>
        <v>25.042553191489361</v>
      </c>
    </row>
    <row r="188" spans="1:20" x14ac:dyDescent="0.3">
      <c r="A188" s="59"/>
      <c r="B188" s="4" t="s">
        <v>14</v>
      </c>
      <c r="C188" s="24">
        <f>B10</f>
        <v>44.12</v>
      </c>
      <c r="D188" s="24">
        <f t="shared" ref="D188:F188" si="93">C10</f>
        <v>44.23</v>
      </c>
      <c r="E188" s="24">
        <f t="shared" si="93"/>
        <v>44.22</v>
      </c>
      <c r="F188" s="26">
        <f t="shared" si="93"/>
        <v>44.224999434708877</v>
      </c>
      <c r="H188" s="59"/>
      <c r="I188" s="4" t="s">
        <v>16</v>
      </c>
      <c r="J188" s="24">
        <f>B38</f>
        <v>52.06</v>
      </c>
      <c r="K188" s="24">
        <f t="shared" ref="K188:M188" si="94">C38</f>
        <v>40.71</v>
      </c>
      <c r="L188" s="24">
        <f t="shared" si="94"/>
        <v>39.01</v>
      </c>
      <c r="M188" s="26">
        <f t="shared" si="94"/>
        <v>39.841874059207228</v>
      </c>
      <c r="O188" s="59"/>
      <c r="P188" s="4" t="s">
        <v>20</v>
      </c>
      <c r="Q188" s="24">
        <f>B94</f>
        <v>72.87</v>
      </c>
      <c r="R188" s="24">
        <f t="shared" ref="R188:T188" si="95">C94</f>
        <v>69.239999999999995</v>
      </c>
      <c r="S188" s="24">
        <f t="shared" si="95"/>
        <v>69.94</v>
      </c>
      <c r="T188" s="26">
        <f t="shared" si="95"/>
        <v>69.588239689610575</v>
      </c>
    </row>
    <row r="189" spans="1:20" x14ac:dyDescent="0.3">
      <c r="A189" s="59"/>
      <c r="B189" s="4" t="s">
        <v>15</v>
      </c>
      <c r="C189" s="24">
        <f>B24</f>
        <v>56.45</v>
      </c>
      <c r="D189" s="24">
        <f t="shared" ref="D189:F189" si="96">C24</f>
        <v>48.63</v>
      </c>
      <c r="E189" s="24">
        <f t="shared" si="96"/>
        <v>49.14</v>
      </c>
      <c r="F189" s="26">
        <f t="shared" si="96"/>
        <v>48.883669837373425</v>
      </c>
      <c r="H189" s="59"/>
      <c r="I189" s="4" t="s">
        <v>17</v>
      </c>
      <c r="J189" s="24">
        <f>B52</f>
        <v>40.299999999999997</v>
      </c>
      <c r="K189" s="24">
        <f t="shared" ref="K189:M189" si="97">C52</f>
        <v>59.69</v>
      </c>
      <c r="L189" s="24">
        <f t="shared" si="97"/>
        <v>51.72</v>
      </c>
      <c r="M189" s="26">
        <f t="shared" si="97"/>
        <v>55.419922807647431</v>
      </c>
      <c r="O189" s="59"/>
      <c r="P189" s="4" t="s">
        <v>21</v>
      </c>
      <c r="Q189" s="24">
        <f>B108</f>
        <v>70.09</v>
      </c>
      <c r="R189" s="24">
        <f t="shared" ref="R189:T189" si="98">C108</f>
        <v>35.04</v>
      </c>
      <c r="S189" s="24">
        <f t="shared" si="98"/>
        <v>50</v>
      </c>
      <c r="T189" s="26">
        <f t="shared" si="98"/>
        <v>41.204139228598308</v>
      </c>
    </row>
    <row r="190" spans="1:20" x14ac:dyDescent="0.3">
      <c r="A190" s="59" t="s">
        <v>4</v>
      </c>
      <c r="B190" s="4" t="s">
        <v>29</v>
      </c>
      <c r="C190" s="24">
        <f>B151</f>
        <v>54</v>
      </c>
      <c r="D190" s="24">
        <f>C151</f>
        <v>50.82</v>
      </c>
      <c r="E190" s="24">
        <f>D151</f>
        <v>50.72</v>
      </c>
      <c r="F190" s="26">
        <f>E151</f>
        <v>50.769950758321848</v>
      </c>
      <c r="H190" s="59"/>
      <c r="I190" s="4" t="s">
        <v>18</v>
      </c>
      <c r="J190" s="24">
        <f>B66</f>
        <v>45.83</v>
      </c>
      <c r="K190" s="24">
        <f t="shared" ref="K190:M190" si="99">C66</f>
        <v>22.91</v>
      </c>
      <c r="L190" s="24">
        <f t="shared" si="99"/>
        <v>50</v>
      </c>
      <c r="M190" s="26">
        <f t="shared" si="99"/>
        <v>31.42230146756275</v>
      </c>
      <c r="O190" s="59"/>
      <c r="P190" s="4" t="s">
        <v>22</v>
      </c>
      <c r="Q190" s="24">
        <f>B122</f>
        <v>91.39</v>
      </c>
      <c r="R190" s="24">
        <f t="shared" ref="R190:T190" si="100">C122</f>
        <v>45.7</v>
      </c>
      <c r="S190" s="24">
        <f t="shared" si="100"/>
        <v>50</v>
      </c>
      <c r="T190" s="26">
        <f t="shared" si="100"/>
        <v>47.753396029258099</v>
      </c>
    </row>
    <row r="191" spans="1:20" x14ac:dyDescent="0.3">
      <c r="A191" s="59"/>
      <c r="B191" s="4" t="s">
        <v>14</v>
      </c>
      <c r="C191" s="24">
        <f>B11</f>
        <v>56.15</v>
      </c>
      <c r="D191" s="24">
        <f t="shared" ref="D191:F191" si="101">C11</f>
        <v>49.6</v>
      </c>
      <c r="E191" s="24">
        <f t="shared" si="101"/>
        <v>49.59</v>
      </c>
      <c r="F191" s="26">
        <f t="shared" si="101"/>
        <v>49.59499949591693</v>
      </c>
      <c r="H191" s="59"/>
      <c r="I191" s="4" t="s">
        <v>19</v>
      </c>
      <c r="J191" s="24">
        <f>B80</f>
        <v>31.45</v>
      </c>
      <c r="K191" s="24">
        <f t="shared" ref="K191:M191" si="102">C80</f>
        <v>15.73</v>
      </c>
      <c r="L191" s="24">
        <f t="shared" si="102"/>
        <v>50</v>
      </c>
      <c r="M191" s="26">
        <f t="shared" si="102"/>
        <v>23.931233835387189</v>
      </c>
      <c r="O191" s="59"/>
      <c r="P191" s="4" t="s">
        <v>23</v>
      </c>
      <c r="Q191" s="24">
        <f>B136</f>
        <v>47.62</v>
      </c>
      <c r="R191" s="24">
        <f t="shared" ref="R191:T191" si="103">C136</f>
        <v>47.83</v>
      </c>
      <c r="S191" s="24">
        <f t="shared" si="103"/>
        <v>47.84</v>
      </c>
      <c r="T191" s="26">
        <f t="shared" si="103"/>
        <v>47.834999477370133</v>
      </c>
    </row>
    <row r="192" spans="1:20" x14ac:dyDescent="0.3">
      <c r="A192" s="59"/>
      <c r="B192" s="4" t="s">
        <v>15</v>
      </c>
      <c r="C192" s="24">
        <f>B25</f>
        <v>58.36</v>
      </c>
      <c r="D192" s="24">
        <f t="shared" ref="D192:F192" si="104">C25</f>
        <v>58.78</v>
      </c>
      <c r="E192" s="24">
        <f t="shared" si="104"/>
        <v>58.58</v>
      </c>
      <c r="F192" s="26">
        <f t="shared" si="104"/>
        <v>58.679829584185406</v>
      </c>
      <c r="H192" s="59" t="s">
        <v>4</v>
      </c>
      <c r="I192" s="4" t="s">
        <v>29</v>
      </c>
      <c r="J192" s="24">
        <f>B166</f>
        <v>56.43</v>
      </c>
      <c r="K192" s="24">
        <f t="shared" ref="K192:M192" si="105">C166</f>
        <v>50.03</v>
      </c>
      <c r="L192" s="24">
        <f t="shared" si="105"/>
        <v>50.03</v>
      </c>
      <c r="M192" s="26">
        <f t="shared" si="105"/>
        <v>50.03</v>
      </c>
      <c r="O192" s="59" t="s">
        <v>4</v>
      </c>
      <c r="P192" s="4" t="s">
        <v>29</v>
      </c>
      <c r="Q192" s="24">
        <f>B180</f>
        <v>66.930000000000007</v>
      </c>
      <c r="R192" s="24">
        <f t="shared" ref="R192:T192" si="106">C180</f>
        <v>62.49</v>
      </c>
      <c r="S192" s="24">
        <f t="shared" si="106"/>
        <v>62.14</v>
      </c>
      <c r="T192" s="26">
        <f t="shared" si="106"/>
        <v>62.314508545294075</v>
      </c>
    </row>
    <row r="193" spans="1:20" x14ac:dyDescent="0.3">
      <c r="A193" s="59" t="s">
        <v>0</v>
      </c>
      <c r="B193" s="4" t="s">
        <v>29</v>
      </c>
      <c r="C193" s="24">
        <f>B152</f>
        <v>49.76</v>
      </c>
      <c r="D193" s="24">
        <f t="shared" ref="D193:F193" si="107">C152</f>
        <v>48.48</v>
      </c>
      <c r="E193" s="24">
        <f t="shared" si="107"/>
        <v>48.58</v>
      </c>
      <c r="F193" s="26">
        <f t="shared" si="107"/>
        <v>48.5299484854729</v>
      </c>
      <c r="H193" s="59"/>
      <c r="I193" s="4" t="s">
        <v>16</v>
      </c>
      <c r="J193" s="24">
        <f>B39</f>
        <v>45.25</v>
      </c>
      <c r="K193" s="24">
        <f t="shared" ref="K193:M193" si="108">C39</f>
        <v>58.24</v>
      </c>
      <c r="L193" s="24">
        <f t="shared" si="108"/>
        <v>60.86</v>
      </c>
      <c r="M193" s="26">
        <f t="shared" si="108"/>
        <v>59.521182199832083</v>
      </c>
      <c r="O193" s="59"/>
      <c r="P193" s="4" t="s">
        <v>20</v>
      </c>
      <c r="Q193" s="24">
        <f>B95</f>
        <v>63.89</v>
      </c>
      <c r="R193" s="24">
        <f t="shared" ref="R193:T193" si="109">C95</f>
        <v>63.61</v>
      </c>
      <c r="S193" s="24">
        <f t="shared" si="109"/>
        <v>62.46</v>
      </c>
      <c r="T193" s="26">
        <f t="shared" si="109"/>
        <v>63.029754898072504</v>
      </c>
    </row>
    <row r="194" spans="1:20" x14ac:dyDescent="0.3">
      <c r="A194" s="59"/>
      <c r="B194" s="4" t="s">
        <v>14</v>
      </c>
      <c r="C194" s="24">
        <f>B12</f>
        <v>33.72</v>
      </c>
      <c r="D194" s="24">
        <f t="shared" ref="D194:F194" si="110">C12</f>
        <v>29.45</v>
      </c>
      <c r="E194" s="24">
        <f t="shared" si="110"/>
        <v>32.53</v>
      </c>
      <c r="F194" s="26">
        <f t="shared" si="110"/>
        <v>30.913472087770248</v>
      </c>
      <c r="H194" s="59"/>
      <c r="I194" s="4" t="s">
        <v>17</v>
      </c>
      <c r="J194" s="24">
        <f>B53</f>
        <v>56.49</v>
      </c>
      <c r="K194" s="24">
        <f t="shared" ref="K194:M194" si="111">C53</f>
        <v>38.26</v>
      </c>
      <c r="L194" s="24">
        <f t="shared" si="111"/>
        <v>49.97</v>
      </c>
      <c r="M194" s="26">
        <f t="shared" si="111"/>
        <v>43.337916808341838</v>
      </c>
      <c r="O194" s="59"/>
      <c r="P194" s="4" t="s">
        <v>21</v>
      </c>
      <c r="Q194" s="24">
        <f>B109</f>
        <v>55.47</v>
      </c>
      <c r="R194" s="24">
        <f t="shared" ref="R194:T194" si="112">C109</f>
        <v>56.12</v>
      </c>
      <c r="S194" s="24">
        <f t="shared" si="112"/>
        <v>55.84</v>
      </c>
      <c r="T194" s="26">
        <f t="shared" si="112"/>
        <v>55.979649874955335</v>
      </c>
    </row>
    <row r="195" spans="1:20" x14ac:dyDescent="0.3">
      <c r="A195" s="59"/>
      <c r="B195" s="4" t="s">
        <v>15</v>
      </c>
      <c r="C195" s="24">
        <f>B26</f>
        <v>58.74</v>
      </c>
      <c r="D195" s="24">
        <f t="shared" ref="D195:F195" si="113">C26</f>
        <v>34.880000000000003</v>
      </c>
      <c r="E195" s="24">
        <f t="shared" si="113"/>
        <v>38.19</v>
      </c>
      <c r="F195" s="26">
        <f t="shared" si="113"/>
        <v>36.460030108115511</v>
      </c>
      <c r="H195" s="59"/>
      <c r="I195" s="4" t="s">
        <v>18</v>
      </c>
      <c r="J195" s="24">
        <f>B67</f>
        <v>32.89</v>
      </c>
      <c r="K195" s="24">
        <f t="shared" ref="K195:M195" si="114">C67</f>
        <v>36.76</v>
      </c>
      <c r="L195" s="24">
        <f t="shared" si="114"/>
        <v>34.46</v>
      </c>
      <c r="M195" s="26">
        <f t="shared" si="114"/>
        <v>35.572861555742769</v>
      </c>
      <c r="O195" s="59"/>
      <c r="P195" s="4" t="s">
        <v>22</v>
      </c>
      <c r="Q195" s="24">
        <f>B123</f>
        <v>91.46</v>
      </c>
      <c r="R195" s="24">
        <f t="shared" ref="R195:T195" si="115">C123</f>
        <v>45.73</v>
      </c>
      <c r="S195" s="24">
        <f t="shared" si="115"/>
        <v>50</v>
      </c>
      <c r="T195" s="26">
        <f t="shared" si="115"/>
        <v>47.769769142379616</v>
      </c>
    </row>
    <row r="196" spans="1:20" x14ac:dyDescent="0.3">
      <c r="A196" s="59" t="s">
        <v>5</v>
      </c>
      <c r="B196" s="4" t="s">
        <v>29</v>
      </c>
      <c r="C196" s="24">
        <f>B153</f>
        <v>66.510000000000005</v>
      </c>
      <c r="D196" s="24">
        <f t="shared" ref="D196:F196" si="116">C153</f>
        <v>43.79</v>
      </c>
      <c r="E196" s="24">
        <f t="shared" si="116"/>
        <v>46.96</v>
      </c>
      <c r="F196" s="26">
        <f t="shared" si="116"/>
        <v>45.319634159779618</v>
      </c>
      <c r="H196" s="59"/>
      <c r="I196" s="4" t="s">
        <v>19</v>
      </c>
      <c r="J196" s="24">
        <f>B81</f>
        <v>50.72</v>
      </c>
      <c r="K196" s="24">
        <f t="shared" ref="K196:M196" si="117">C81</f>
        <v>58.69</v>
      </c>
      <c r="L196" s="24">
        <f t="shared" si="117"/>
        <v>50</v>
      </c>
      <c r="M196" s="26">
        <f t="shared" si="117"/>
        <v>53.997607875609532</v>
      </c>
      <c r="O196" s="59"/>
      <c r="P196" s="4" t="s">
        <v>23</v>
      </c>
      <c r="Q196" s="24">
        <f>B137</f>
        <v>36.9</v>
      </c>
      <c r="R196" s="24">
        <f t="shared" ref="R196:T196" si="118">C137</f>
        <v>18.45</v>
      </c>
      <c r="S196" s="24">
        <f t="shared" si="118"/>
        <v>50</v>
      </c>
      <c r="T196" s="26">
        <f t="shared" si="118"/>
        <v>26.953981008035061</v>
      </c>
    </row>
    <row r="197" spans="1:20" x14ac:dyDescent="0.3">
      <c r="A197" s="59"/>
      <c r="B197" s="4" t="s">
        <v>14</v>
      </c>
      <c r="C197" s="24">
        <f>B13</f>
        <v>77.22</v>
      </c>
      <c r="D197" s="24">
        <f t="shared" ref="D197:F197" si="119">C13</f>
        <v>54.59</v>
      </c>
      <c r="E197" s="24">
        <f t="shared" si="119"/>
        <v>50.34</v>
      </c>
      <c r="F197" s="26">
        <f t="shared" si="119"/>
        <v>52.378930715715242</v>
      </c>
      <c r="H197" s="59" t="s">
        <v>0</v>
      </c>
      <c r="I197" s="4" t="s">
        <v>29</v>
      </c>
      <c r="J197" s="24">
        <f>B167</f>
        <v>50.29</v>
      </c>
      <c r="K197" s="24">
        <f t="shared" ref="K197:M197" si="120">C167</f>
        <v>50.68</v>
      </c>
      <c r="L197" s="24">
        <f t="shared" si="120"/>
        <v>50.61</v>
      </c>
      <c r="M197" s="26">
        <f t="shared" si="120"/>
        <v>50.644975812024882</v>
      </c>
      <c r="O197" s="59" t="s">
        <v>0</v>
      </c>
      <c r="P197" s="4" t="s">
        <v>29</v>
      </c>
      <c r="Q197" s="24">
        <f>B181</f>
        <v>50.41</v>
      </c>
      <c r="R197" s="24">
        <f t="shared" ref="R197:T197" si="121">C181</f>
        <v>49.25</v>
      </c>
      <c r="S197" s="24">
        <f t="shared" si="121"/>
        <v>49.49</v>
      </c>
      <c r="T197" s="26">
        <f t="shared" si="121"/>
        <v>49.369708324893658</v>
      </c>
    </row>
    <row r="198" spans="1:20" x14ac:dyDescent="0.3">
      <c r="A198" s="59"/>
      <c r="B198" s="4" t="s">
        <v>15</v>
      </c>
      <c r="C198" s="24">
        <f>B27</f>
        <v>59.44</v>
      </c>
      <c r="D198" s="24">
        <f t="shared" ref="D198:F198" si="122">C27</f>
        <v>37.74</v>
      </c>
      <c r="E198" s="24">
        <f t="shared" si="122"/>
        <v>43.56</v>
      </c>
      <c r="F198" s="26">
        <f t="shared" si="122"/>
        <v>40.441682656826565</v>
      </c>
      <c r="H198" s="59"/>
      <c r="I198" s="4" t="s">
        <v>16</v>
      </c>
      <c r="J198" s="24">
        <f>B40</f>
        <v>28.76</v>
      </c>
      <c r="K198" s="24">
        <f t="shared" ref="K198:M198" si="123">C40</f>
        <v>36.590000000000003</v>
      </c>
      <c r="L198" s="24">
        <f t="shared" si="123"/>
        <v>34.71</v>
      </c>
      <c r="M198" s="26">
        <f t="shared" si="123"/>
        <v>35.625214586255261</v>
      </c>
      <c r="O198" s="59"/>
      <c r="P198" s="4" t="s">
        <v>20</v>
      </c>
      <c r="Q198" s="24">
        <f>B96</f>
        <v>72.27</v>
      </c>
      <c r="R198" s="24">
        <f t="shared" ref="R198:T198" si="124">C96</f>
        <v>36.130000000000003</v>
      </c>
      <c r="S198" s="24">
        <f t="shared" si="124"/>
        <v>50</v>
      </c>
      <c r="T198" s="26">
        <f t="shared" si="124"/>
        <v>41.948217810286785</v>
      </c>
    </row>
    <row r="199" spans="1:20" x14ac:dyDescent="0.3">
      <c r="A199" s="59" t="s">
        <v>28</v>
      </c>
      <c r="B199" s="4" t="s">
        <v>29</v>
      </c>
      <c r="C199" s="24">
        <f>AVERAGE(C187,C190,C193,C196)</f>
        <v>56.2</v>
      </c>
      <c r="D199" s="24">
        <f t="shared" ref="D199:F199" si="125">AVERAGE(D187,D190,D193,D196)</f>
        <v>49.154999999999994</v>
      </c>
      <c r="E199" s="24">
        <f t="shared" si="125"/>
        <v>49.942500000000003</v>
      </c>
      <c r="F199" s="26">
        <f t="shared" si="125"/>
        <v>49.534882883778494</v>
      </c>
      <c r="H199" s="59"/>
      <c r="I199" s="4" t="s">
        <v>17</v>
      </c>
      <c r="J199" s="24">
        <f>B54</f>
        <v>73.27</v>
      </c>
      <c r="K199" s="24">
        <f t="shared" ref="K199:M199" si="126">C54</f>
        <v>36.64</v>
      </c>
      <c r="L199" s="24">
        <f t="shared" si="126"/>
        <v>50</v>
      </c>
      <c r="M199" s="26">
        <f t="shared" si="126"/>
        <v>42.289935364727611</v>
      </c>
      <c r="O199" s="59"/>
      <c r="P199" s="4" t="s">
        <v>21</v>
      </c>
      <c r="Q199" s="24">
        <f>B110</f>
        <v>77.22</v>
      </c>
      <c r="R199" s="24">
        <f t="shared" ref="R199:T199" si="127">C110</f>
        <v>38.61</v>
      </c>
      <c r="S199" s="24">
        <f t="shared" si="127"/>
        <v>50</v>
      </c>
      <c r="T199" s="26">
        <f t="shared" si="127"/>
        <v>43.572960162509872</v>
      </c>
    </row>
    <row r="200" spans="1:20" x14ac:dyDescent="0.3">
      <c r="A200" s="59"/>
      <c r="B200" s="4" t="s">
        <v>14</v>
      </c>
      <c r="C200" s="24">
        <f>AVERAGE(C188,C191,C194,C197)</f>
        <v>52.802500000000002</v>
      </c>
      <c r="D200" s="24">
        <f t="shared" ref="D200:F200" si="128">AVERAGE(D188,D191,D194,D197)</f>
        <v>44.467500000000001</v>
      </c>
      <c r="E200" s="24">
        <f t="shared" si="128"/>
        <v>44.17</v>
      </c>
      <c r="F200" s="26">
        <f t="shared" si="128"/>
        <v>44.278100433527825</v>
      </c>
      <c r="H200" s="59"/>
      <c r="I200" s="4" t="s">
        <v>18</v>
      </c>
      <c r="J200" s="24">
        <f>B68</f>
        <v>48.82</v>
      </c>
      <c r="K200" s="24">
        <f t="shared" ref="K200:M200" si="129">C68</f>
        <v>50.93</v>
      </c>
      <c r="L200" s="24">
        <f t="shared" si="129"/>
        <v>50.92</v>
      </c>
      <c r="M200" s="26">
        <f t="shared" si="129"/>
        <v>50.924999509081985</v>
      </c>
      <c r="O200" s="59"/>
      <c r="P200" s="4" t="s">
        <v>22</v>
      </c>
      <c r="Q200" s="24">
        <f>B124</f>
        <v>87.16</v>
      </c>
      <c r="R200" s="24">
        <f t="shared" ref="R200:T200" si="130">C124</f>
        <v>50.98</v>
      </c>
      <c r="S200" s="24">
        <f t="shared" si="130"/>
        <v>50.21</v>
      </c>
      <c r="T200" s="26">
        <f t="shared" si="130"/>
        <v>50.592070362684055</v>
      </c>
    </row>
    <row r="201" spans="1:20" ht="15" thickBot="1" x14ac:dyDescent="0.35">
      <c r="A201" s="60"/>
      <c r="B201" s="8" t="s">
        <v>15</v>
      </c>
      <c r="C201" s="25">
        <f>AVERAGE(C189,C192,C195,C198)</f>
        <v>58.247500000000002</v>
      </c>
      <c r="D201" s="25">
        <f t="shared" ref="D201:F201" si="131">AVERAGE(D189,D192,D195,D198)</f>
        <v>45.0075</v>
      </c>
      <c r="E201" s="25">
        <f t="shared" si="131"/>
        <v>47.3675</v>
      </c>
      <c r="F201" s="27">
        <f t="shared" si="131"/>
        <v>46.116303046625227</v>
      </c>
      <c r="H201" s="59"/>
      <c r="I201" s="4" t="s">
        <v>19</v>
      </c>
      <c r="J201" s="24">
        <f>B82</f>
        <v>69.540000000000006</v>
      </c>
      <c r="K201" s="24">
        <f t="shared" ref="K201:M201" si="132">C82</f>
        <v>69.27</v>
      </c>
      <c r="L201" s="24">
        <f t="shared" si="132"/>
        <v>69.31</v>
      </c>
      <c r="M201" s="26">
        <f t="shared" si="132"/>
        <v>69.289994227161216</v>
      </c>
      <c r="O201" s="59"/>
      <c r="P201" s="4" t="s">
        <v>23</v>
      </c>
      <c r="Q201" s="24">
        <f>B138</f>
        <v>39.909999999999997</v>
      </c>
      <c r="R201" s="24">
        <f t="shared" ref="R201:T201" si="133">C138</f>
        <v>41.12</v>
      </c>
      <c r="S201" s="24">
        <f t="shared" si="133"/>
        <v>40.25</v>
      </c>
      <c r="T201" s="26">
        <f t="shared" si="133"/>
        <v>40.680349022981439</v>
      </c>
    </row>
    <row r="202" spans="1:20" x14ac:dyDescent="0.3">
      <c r="H202" s="59" t="s">
        <v>5</v>
      </c>
      <c r="I202" s="4" t="s">
        <v>29</v>
      </c>
      <c r="J202" s="24">
        <f>B168</f>
        <v>76.53</v>
      </c>
      <c r="K202" s="24">
        <f t="shared" ref="K202:M202" si="134">C168</f>
        <v>38.270000000000003</v>
      </c>
      <c r="L202" s="24">
        <f t="shared" si="134"/>
        <v>50</v>
      </c>
      <c r="M202" s="26">
        <f t="shared" si="134"/>
        <v>43.355613458706245</v>
      </c>
      <c r="O202" s="59" t="s">
        <v>5</v>
      </c>
      <c r="P202" s="4" t="s">
        <v>29</v>
      </c>
      <c r="Q202" s="24">
        <f>B182</f>
        <v>71.45</v>
      </c>
      <c r="R202" s="24">
        <f t="shared" ref="R202:S202" si="135">C182</f>
        <v>49.66</v>
      </c>
      <c r="S202" s="24">
        <f t="shared" si="135"/>
        <v>49.93</v>
      </c>
      <c r="T202" s="26">
        <f>E182</f>
        <v>49.794633999397526</v>
      </c>
    </row>
    <row r="203" spans="1:20" x14ac:dyDescent="0.3">
      <c r="H203" s="59"/>
      <c r="I203" s="4" t="s">
        <v>16</v>
      </c>
      <c r="J203" s="24">
        <f>B41</f>
        <v>57.84</v>
      </c>
      <c r="K203" s="24">
        <f t="shared" ref="K203:M203" si="136">C41</f>
        <v>44.39</v>
      </c>
      <c r="L203" s="24">
        <f t="shared" si="136"/>
        <v>41.28</v>
      </c>
      <c r="M203" s="26">
        <f t="shared" si="136"/>
        <v>42.778550250963001</v>
      </c>
      <c r="O203" s="59"/>
      <c r="P203" s="4" t="s">
        <v>20</v>
      </c>
      <c r="Q203" s="24">
        <f>B97</f>
        <v>31.92</v>
      </c>
      <c r="R203" s="24">
        <f t="shared" ref="R203:T203" si="137">C97</f>
        <v>15.96</v>
      </c>
      <c r="S203" s="24">
        <f t="shared" si="137"/>
        <v>50</v>
      </c>
      <c r="T203" s="26">
        <f t="shared" si="137"/>
        <v>24.196482716798055</v>
      </c>
    </row>
    <row r="204" spans="1:20" x14ac:dyDescent="0.3">
      <c r="H204" s="59"/>
      <c r="I204" s="4" t="s">
        <v>17</v>
      </c>
      <c r="J204" s="24">
        <f>B55</f>
        <v>56.56</v>
      </c>
      <c r="K204" s="24">
        <f t="shared" ref="K204:M204" si="138">C55</f>
        <v>60.47</v>
      </c>
      <c r="L204" s="24">
        <f t="shared" si="138"/>
        <v>58.32</v>
      </c>
      <c r="M204" s="26">
        <f t="shared" si="138"/>
        <v>59.37554339590875</v>
      </c>
      <c r="O204" s="59"/>
      <c r="P204" s="4" t="s">
        <v>21</v>
      </c>
      <c r="Q204" s="24">
        <f>B111</f>
        <v>47.4</v>
      </c>
      <c r="R204" s="24">
        <f t="shared" ref="R204:T204" si="139">C111</f>
        <v>45.97</v>
      </c>
      <c r="S204" s="24">
        <f t="shared" si="139"/>
        <v>45.07</v>
      </c>
      <c r="T204" s="26">
        <f t="shared" si="139"/>
        <v>45.515551405975394</v>
      </c>
    </row>
    <row r="205" spans="1:20" x14ac:dyDescent="0.3">
      <c r="H205" s="59"/>
      <c r="I205" s="4" t="s">
        <v>18</v>
      </c>
      <c r="J205" s="24">
        <f>B69</f>
        <v>60.27</v>
      </c>
      <c r="K205" s="24">
        <f t="shared" ref="K205:M205" si="140">C69</f>
        <v>47.22</v>
      </c>
      <c r="L205" s="24">
        <f t="shared" si="140"/>
        <v>46.05</v>
      </c>
      <c r="M205" s="26">
        <f t="shared" si="140"/>
        <v>46.627661627532966</v>
      </c>
      <c r="O205" s="59"/>
      <c r="P205" s="4" t="s">
        <v>22</v>
      </c>
      <c r="Q205" s="24">
        <f>B125</f>
        <v>99.52</v>
      </c>
      <c r="R205" s="24">
        <f t="shared" ref="R205:T205" si="141">C125</f>
        <v>49.76</v>
      </c>
      <c r="S205" s="24">
        <f t="shared" si="141"/>
        <v>50</v>
      </c>
      <c r="T205" s="26">
        <f t="shared" si="141"/>
        <v>49.879711307137136</v>
      </c>
    </row>
    <row r="206" spans="1:20" x14ac:dyDescent="0.3">
      <c r="H206" s="59"/>
      <c r="I206" s="4" t="s">
        <v>19</v>
      </c>
      <c r="J206" s="24">
        <f>B83</f>
        <v>62.56</v>
      </c>
      <c r="K206" s="24">
        <f t="shared" ref="K206:M206" si="142">C83</f>
        <v>48.83</v>
      </c>
      <c r="L206" s="24">
        <f t="shared" si="142"/>
        <v>47.64</v>
      </c>
      <c r="M206" s="26">
        <f t="shared" si="142"/>
        <v>48.227660412563488</v>
      </c>
      <c r="O206" s="59"/>
      <c r="P206" s="4" t="s">
        <v>23</v>
      </c>
      <c r="Q206" s="24">
        <f>B139</f>
        <v>23.48</v>
      </c>
      <c r="R206" s="24">
        <f t="shared" ref="R206:T206" si="143">C139</f>
        <v>11.74</v>
      </c>
      <c r="S206" s="24">
        <f t="shared" si="143"/>
        <v>50</v>
      </c>
      <c r="T206" s="26">
        <f t="shared" si="143"/>
        <v>19.015225137674118</v>
      </c>
    </row>
    <row r="207" spans="1:20" x14ac:dyDescent="0.3">
      <c r="H207" s="59" t="s">
        <v>28</v>
      </c>
      <c r="I207" s="4" t="s">
        <v>29</v>
      </c>
      <c r="J207" s="24">
        <f>AVERAGE(J187,J192,J197,J202)</f>
        <v>53.7</v>
      </c>
      <c r="K207" s="24">
        <f t="shared" ref="K207:M207" si="144">AVERAGE(K187,K192,K197,K202)</f>
        <v>42.485000000000007</v>
      </c>
      <c r="L207" s="24">
        <f t="shared" si="144"/>
        <v>46.18</v>
      </c>
      <c r="M207" s="26">
        <f t="shared" si="144"/>
        <v>44.118938830597912</v>
      </c>
      <c r="O207" s="59" t="s">
        <v>28</v>
      </c>
      <c r="P207" s="4" t="s">
        <v>29</v>
      </c>
      <c r="Q207" s="24">
        <f>AVERAGE(Q187,Q192,Q197,Q202)</f>
        <v>54.432500000000005</v>
      </c>
      <c r="R207" s="24">
        <f t="shared" ref="R207:T207" si="145">AVERAGE(R187,R192,R197,R202)</f>
        <v>46.234999999999999</v>
      </c>
      <c r="S207" s="24">
        <f t="shared" si="145"/>
        <v>47.077500000000001</v>
      </c>
      <c r="T207" s="26">
        <f t="shared" si="145"/>
        <v>46.630351015268651</v>
      </c>
    </row>
    <row r="208" spans="1:20" x14ac:dyDescent="0.3">
      <c r="H208" s="59"/>
      <c r="I208" s="4" t="s">
        <v>16</v>
      </c>
      <c r="J208" s="24">
        <f>AVERAGE(J188,J193,J198,J203)</f>
        <v>45.977500000000006</v>
      </c>
      <c r="K208" s="24">
        <f t="shared" ref="J208:M211" si="146">AVERAGE(K188,K193,K198,K203)</f>
        <v>44.982500000000002</v>
      </c>
      <c r="L208" s="24">
        <f t="shared" si="146"/>
        <v>43.965000000000003</v>
      </c>
      <c r="M208" s="26">
        <f t="shared" si="146"/>
        <v>44.441705274064397</v>
      </c>
      <c r="O208" s="59"/>
      <c r="P208" s="4" t="s">
        <v>20</v>
      </c>
      <c r="Q208" s="24">
        <f t="shared" ref="Q208:T210" si="147">AVERAGE(Q188,Q193,Q198,Q203)</f>
        <v>60.237499999999997</v>
      </c>
      <c r="R208" s="24">
        <f t="shared" si="147"/>
        <v>46.234999999999999</v>
      </c>
      <c r="S208" s="24">
        <f t="shared" si="147"/>
        <v>58.1</v>
      </c>
      <c r="T208" s="26">
        <f t="shared" si="147"/>
        <v>49.690673778691981</v>
      </c>
    </row>
    <row r="209" spans="1:20" x14ac:dyDescent="0.3">
      <c r="H209" s="59"/>
      <c r="I209" s="4" t="s">
        <v>17</v>
      </c>
      <c r="J209" s="24">
        <f t="shared" si="146"/>
        <v>56.655000000000001</v>
      </c>
      <c r="K209" s="24">
        <f t="shared" si="146"/>
        <v>48.764999999999993</v>
      </c>
      <c r="L209" s="24">
        <f t="shared" si="146"/>
        <v>52.502499999999998</v>
      </c>
      <c r="M209" s="26">
        <f>AVERAGE(M189,M194,M199,M204)</f>
        <v>50.105829594156411</v>
      </c>
      <c r="O209" s="59"/>
      <c r="P209" s="4" t="s">
        <v>21</v>
      </c>
      <c r="Q209" s="24">
        <f>AVERAGE(Q189,Q194,Q199,Q204)</f>
        <v>62.545000000000002</v>
      </c>
      <c r="R209" s="24">
        <f t="shared" ref="R209:T209" si="148">AVERAGE(R189,R194,R199,R204)</f>
        <v>43.934999999999995</v>
      </c>
      <c r="S209" s="24">
        <f t="shared" si="148"/>
        <v>50.227499999999999</v>
      </c>
      <c r="T209" s="26">
        <f t="shared" si="148"/>
        <v>46.568075168009727</v>
      </c>
    </row>
    <row r="210" spans="1:20" x14ac:dyDescent="0.3">
      <c r="H210" s="59"/>
      <c r="I210" s="4" t="s">
        <v>18</v>
      </c>
      <c r="J210" s="24">
        <f t="shared" si="146"/>
        <v>46.952500000000001</v>
      </c>
      <c r="K210" s="24">
        <f t="shared" si="146"/>
        <v>39.454999999999998</v>
      </c>
      <c r="L210" s="24">
        <f t="shared" si="146"/>
        <v>45.357500000000002</v>
      </c>
      <c r="M210" s="26">
        <f t="shared" si="146"/>
        <v>41.13695603998012</v>
      </c>
      <c r="O210" s="59"/>
      <c r="P210" s="4" t="s">
        <v>22</v>
      </c>
      <c r="Q210" s="24">
        <f t="shared" si="147"/>
        <v>92.382499999999993</v>
      </c>
      <c r="R210" s="24">
        <f t="shared" si="147"/>
        <v>48.042499999999997</v>
      </c>
      <c r="S210" s="24">
        <f t="shared" si="147"/>
        <v>50.052500000000002</v>
      </c>
      <c r="T210" s="26">
        <f t="shared" si="147"/>
        <v>48.998736710364724</v>
      </c>
    </row>
    <row r="211" spans="1:20" ht="15" thickBot="1" x14ac:dyDescent="0.35">
      <c r="H211" s="60"/>
      <c r="I211" s="8" t="s">
        <v>19</v>
      </c>
      <c r="J211" s="25">
        <f>AVERAGE(J191,J196,J201,J206)</f>
        <v>53.567500000000003</v>
      </c>
      <c r="K211" s="25">
        <f t="shared" si="146"/>
        <v>48.129999999999995</v>
      </c>
      <c r="L211" s="25">
        <f t="shared" si="146"/>
        <v>54.237499999999997</v>
      </c>
      <c r="M211" s="27">
        <f t="shared" si="146"/>
        <v>48.861624087680362</v>
      </c>
      <c r="O211" s="60"/>
      <c r="P211" s="8" t="s">
        <v>23</v>
      </c>
      <c r="Q211" s="25">
        <f>AVERAGE(Q191,Q196,Q201,Q206)</f>
        <v>36.977499999999999</v>
      </c>
      <c r="R211" s="25">
        <f t="shared" ref="R211:T211" si="149">AVERAGE(R191,R196,R201,R206)</f>
        <v>29.785</v>
      </c>
      <c r="S211" s="25">
        <f t="shared" si="149"/>
        <v>47.022500000000001</v>
      </c>
      <c r="T211" s="27">
        <f t="shared" si="149"/>
        <v>33.621138661515189</v>
      </c>
    </row>
    <row r="213" spans="1:20" s="28" customFormat="1" x14ac:dyDescent="0.3"/>
    <row r="214" spans="1:20" x14ac:dyDescent="0.3">
      <c r="A214" t="s">
        <v>30</v>
      </c>
      <c r="B214" t="s">
        <v>1</v>
      </c>
      <c r="C214" t="s">
        <v>2</v>
      </c>
    </row>
    <row r="215" spans="1:20" x14ac:dyDescent="0.3">
      <c r="A215" t="s">
        <v>3</v>
      </c>
      <c r="B215">
        <f>15+1210</f>
        <v>1225</v>
      </c>
      <c r="C215">
        <f>14+1847</f>
        <v>1861</v>
      </c>
      <c r="D215">
        <f>B215+C215</f>
        <v>3086</v>
      </c>
      <c r="E215" s="16">
        <f>(B215/D215)</f>
        <v>0.39695398574206092</v>
      </c>
      <c r="F215" s="16">
        <f>C215/D215</f>
        <v>0.60304601425793913</v>
      </c>
    </row>
    <row r="216" spans="1:20" x14ac:dyDescent="0.3">
      <c r="A216" t="s">
        <v>4</v>
      </c>
      <c r="B216">
        <f>2453+11</f>
        <v>2464</v>
      </c>
      <c r="C216">
        <v>622</v>
      </c>
      <c r="D216">
        <f t="shared" ref="D216:D218" si="150">B216+C216</f>
        <v>3086</v>
      </c>
      <c r="E216" s="16">
        <f t="shared" ref="E216:E218" si="151">(B216/D216)</f>
        <v>0.7984445884640311</v>
      </c>
      <c r="F216" s="16">
        <f t="shared" ref="F216:F218" si="152">C216/D216</f>
        <v>0.2015554115359689</v>
      </c>
    </row>
    <row r="217" spans="1:20" x14ac:dyDescent="0.3">
      <c r="A217" t="s">
        <v>0</v>
      </c>
      <c r="B217">
        <v>2043</v>
      </c>
      <c r="C217">
        <v>1043</v>
      </c>
      <c r="D217">
        <f t="shared" si="150"/>
        <v>3086</v>
      </c>
      <c r="E217" s="16">
        <f t="shared" si="151"/>
        <v>0.6620220349967596</v>
      </c>
      <c r="F217" s="16">
        <f t="shared" si="152"/>
        <v>0.33797796500324045</v>
      </c>
    </row>
    <row r="218" spans="1:20" x14ac:dyDescent="0.3">
      <c r="A218" t="s">
        <v>5</v>
      </c>
      <c r="B218">
        <v>2647</v>
      </c>
      <c r="C218">
        <v>439</v>
      </c>
      <c r="D218">
        <f t="shared" si="150"/>
        <v>3086</v>
      </c>
      <c r="E218" s="16">
        <f t="shared" si="151"/>
        <v>0.8577446532728451</v>
      </c>
      <c r="F218" s="16">
        <f t="shared" si="152"/>
        <v>0.1422553467271549</v>
      </c>
    </row>
    <row r="219" spans="1:20" ht="15" thickBot="1" x14ac:dyDescent="0.35"/>
    <row r="220" spans="1:20" ht="15" thickBot="1" x14ac:dyDescent="0.35">
      <c r="A220" s="61"/>
      <c r="B220" s="63" t="s">
        <v>12</v>
      </c>
      <c r="C220" s="64"/>
      <c r="D220" s="64"/>
      <c r="E220" s="64"/>
      <c r="F220" s="65"/>
      <c r="G220" s="63" t="s">
        <v>11</v>
      </c>
      <c r="H220" s="64"/>
      <c r="I220" s="64"/>
      <c r="J220" s="64"/>
      <c r="K220" s="65"/>
      <c r="L220" s="63" t="s">
        <v>13</v>
      </c>
      <c r="M220" s="64"/>
      <c r="N220" s="64"/>
      <c r="O220" s="64"/>
      <c r="P220" s="65"/>
    </row>
    <row r="221" spans="1:20" ht="15" thickBot="1" x14ac:dyDescent="0.35">
      <c r="A221" s="62"/>
      <c r="B221" s="9" t="s">
        <v>6</v>
      </c>
      <c r="C221" s="10" t="s">
        <v>7</v>
      </c>
      <c r="D221" s="7" t="s">
        <v>8</v>
      </c>
      <c r="E221" s="7" t="s">
        <v>9</v>
      </c>
      <c r="F221" s="8" t="s">
        <v>10</v>
      </c>
      <c r="G221" s="9" t="s">
        <v>6</v>
      </c>
      <c r="H221" s="10" t="s">
        <v>7</v>
      </c>
      <c r="I221" s="7" t="s">
        <v>8</v>
      </c>
      <c r="J221" s="7" t="s">
        <v>9</v>
      </c>
      <c r="K221" s="8" t="s">
        <v>10</v>
      </c>
      <c r="L221" s="9" t="s">
        <v>6</v>
      </c>
      <c r="M221" s="10" t="s">
        <v>7</v>
      </c>
      <c r="N221" s="7" t="s">
        <v>8</v>
      </c>
      <c r="O221" s="7" t="s">
        <v>9</v>
      </c>
      <c r="P221" s="8" t="s">
        <v>10</v>
      </c>
    </row>
    <row r="222" spans="1:20" x14ac:dyDescent="0.3">
      <c r="A222" s="11" t="s">
        <v>3</v>
      </c>
      <c r="B222" s="29">
        <v>60.34</v>
      </c>
      <c r="C222" s="30">
        <v>56.07</v>
      </c>
      <c r="D222" s="24">
        <v>50.24</v>
      </c>
      <c r="E222" s="24">
        <f>2*((C222*D222)/(C222+D222))</f>
        <v>52.99514250776032</v>
      </c>
      <c r="F222" s="36">
        <v>6.0000000000000001E-3</v>
      </c>
      <c r="G222" s="31">
        <v>60.3</v>
      </c>
      <c r="H222" s="24">
        <v>30.15</v>
      </c>
      <c r="I222" s="32">
        <v>50</v>
      </c>
      <c r="J222" s="24">
        <f>2*((H222*I222)/(H222+I222))</f>
        <v>37.616968184653771</v>
      </c>
      <c r="K222" s="36">
        <v>0</v>
      </c>
      <c r="L222" s="31">
        <v>59.92</v>
      </c>
      <c r="M222" s="24">
        <v>54.93</v>
      </c>
      <c r="N222" s="32">
        <v>52.17</v>
      </c>
      <c r="O222" s="24">
        <f>2*((M222*N222)/(M222+N222))</f>
        <v>53.514436974789923</v>
      </c>
      <c r="P222" s="36">
        <v>4.9000000000000002E-2</v>
      </c>
    </row>
    <row r="223" spans="1:20" x14ac:dyDescent="0.3">
      <c r="A223" s="12" t="s">
        <v>4</v>
      </c>
      <c r="B223" s="31">
        <v>79.55</v>
      </c>
      <c r="C223" s="24">
        <v>47.6</v>
      </c>
      <c r="D223" s="24">
        <v>49.94</v>
      </c>
      <c r="E223" s="24">
        <f t="shared" ref="E223:E225" si="153">2*((C223*D223)/(C223+D223))</f>
        <v>48.74193151527578</v>
      </c>
      <c r="F223" s="36">
        <v>-2E-3</v>
      </c>
      <c r="G223" s="31">
        <v>79.84</v>
      </c>
      <c r="H223" s="24">
        <v>39.92</v>
      </c>
      <c r="I223" s="32">
        <v>50</v>
      </c>
      <c r="J223" s="24">
        <f t="shared" ref="J223:J225" si="154">2*((H223*I223)/(H223+I223))</f>
        <v>44.395017793594306</v>
      </c>
      <c r="K223" s="36">
        <v>0</v>
      </c>
      <c r="L223" s="31">
        <v>79.39</v>
      </c>
      <c r="M223" s="24">
        <v>59.27</v>
      </c>
      <c r="N223" s="24">
        <v>51.1</v>
      </c>
      <c r="O223" s="24">
        <f t="shared" ref="O223:O225" si="155">2*((M223*N223)/(M223+N223))</f>
        <v>54.882613028902782</v>
      </c>
      <c r="P223" s="36">
        <v>3.3000000000000002E-2</v>
      </c>
    </row>
    <row r="224" spans="1:20" x14ac:dyDescent="0.3">
      <c r="A224" s="12" t="s">
        <v>0</v>
      </c>
      <c r="B224" s="31">
        <v>65.98</v>
      </c>
      <c r="C224" s="24">
        <v>44.62</v>
      </c>
      <c r="D224" s="24">
        <v>49.9</v>
      </c>
      <c r="E224" s="24">
        <f t="shared" si="153"/>
        <v>47.112526449428692</v>
      </c>
      <c r="F224" s="36">
        <v>-3.0000000000000001E-3</v>
      </c>
      <c r="G224" s="31">
        <v>66.2</v>
      </c>
      <c r="H224" s="24">
        <v>33.1</v>
      </c>
      <c r="I224" s="32">
        <v>50</v>
      </c>
      <c r="J224" s="24">
        <f t="shared" si="154"/>
        <v>39.831528279181711</v>
      </c>
      <c r="K224" s="36">
        <v>0</v>
      </c>
      <c r="L224" s="31">
        <v>66.069999999999993</v>
      </c>
      <c r="M224" s="24">
        <v>56.73</v>
      </c>
      <c r="N224" s="32">
        <v>50.63</v>
      </c>
      <c r="O224" s="24">
        <f t="shared" si="155"/>
        <v>53.506704545454546</v>
      </c>
      <c r="P224" s="36">
        <v>1.6E-2</v>
      </c>
    </row>
    <row r="225" spans="1:16" ht="15" thickBot="1" x14ac:dyDescent="0.35">
      <c r="A225" s="13" t="s">
        <v>5</v>
      </c>
      <c r="B225" s="33">
        <v>85.64</v>
      </c>
      <c r="C225" s="25">
        <v>42.88</v>
      </c>
      <c r="D225" s="25">
        <v>49.92</v>
      </c>
      <c r="E225" s="25">
        <f t="shared" si="153"/>
        <v>46.132965517241381</v>
      </c>
      <c r="F225" s="37">
        <v>-3.0000000000000001E-3</v>
      </c>
      <c r="G225" s="33">
        <v>85.77</v>
      </c>
      <c r="H225" s="25">
        <v>42.89</v>
      </c>
      <c r="I225" s="25">
        <v>50</v>
      </c>
      <c r="J225" s="25">
        <f t="shared" si="154"/>
        <v>46.172892668747984</v>
      </c>
      <c r="K225" s="37">
        <v>0</v>
      </c>
      <c r="L225" s="33">
        <v>85.9</v>
      </c>
      <c r="M225" s="25">
        <v>73.58</v>
      </c>
      <c r="N225" s="25">
        <v>51.12</v>
      </c>
      <c r="O225" s="25">
        <f t="shared" si="155"/>
        <v>60.32733921411387</v>
      </c>
      <c r="P225" s="37">
        <v>3.6999999999999998E-2</v>
      </c>
    </row>
  </sheetData>
  <sheetProtection sheet="1" objects="1" scenarios="1"/>
  <mergeCells count="74">
    <mergeCell ref="A220:A221"/>
    <mergeCell ref="B220:F220"/>
    <mergeCell ref="G220:K220"/>
    <mergeCell ref="L220:P220"/>
    <mergeCell ref="L8:P8"/>
    <mergeCell ref="G8:K8"/>
    <mergeCell ref="B8:F8"/>
    <mergeCell ref="A8:A9"/>
    <mergeCell ref="A22:A23"/>
    <mergeCell ref="B22:F22"/>
    <mergeCell ref="G22:K22"/>
    <mergeCell ref="L22:P22"/>
    <mergeCell ref="A36:A37"/>
    <mergeCell ref="B36:F36"/>
    <mergeCell ref="G36:K36"/>
    <mergeCell ref="L36:P36"/>
    <mergeCell ref="A50:A51"/>
    <mergeCell ref="B50:F50"/>
    <mergeCell ref="G50:K50"/>
    <mergeCell ref="L50:P50"/>
    <mergeCell ref="A64:A65"/>
    <mergeCell ref="B64:F64"/>
    <mergeCell ref="G64:K64"/>
    <mergeCell ref="L64:P64"/>
    <mergeCell ref="A78:A79"/>
    <mergeCell ref="B78:F78"/>
    <mergeCell ref="G78:K78"/>
    <mergeCell ref="L78:P78"/>
    <mergeCell ref="A92:A93"/>
    <mergeCell ref="B92:F92"/>
    <mergeCell ref="G92:K92"/>
    <mergeCell ref="L92:P92"/>
    <mergeCell ref="A134:A135"/>
    <mergeCell ref="B134:F134"/>
    <mergeCell ref="G134:K134"/>
    <mergeCell ref="L134:P134"/>
    <mergeCell ref="A106:A107"/>
    <mergeCell ref="B106:F106"/>
    <mergeCell ref="G106:K106"/>
    <mergeCell ref="L106:P106"/>
    <mergeCell ref="A120:A121"/>
    <mergeCell ref="B120:F120"/>
    <mergeCell ref="G120:K120"/>
    <mergeCell ref="L120:P120"/>
    <mergeCell ref="A148:A149"/>
    <mergeCell ref="B148:F148"/>
    <mergeCell ref="G148:K148"/>
    <mergeCell ref="L148:P148"/>
    <mergeCell ref="A163:A164"/>
    <mergeCell ref="B163:F163"/>
    <mergeCell ref="G163:K163"/>
    <mergeCell ref="L163:P163"/>
    <mergeCell ref="L177:P177"/>
    <mergeCell ref="A187:A189"/>
    <mergeCell ref="H186:I186"/>
    <mergeCell ref="O186:P186"/>
    <mergeCell ref="H187:H191"/>
    <mergeCell ref="A186:B186"/>
    <mergeCell ref="A190:A192"/>
    <mergeCell ref="A193:A195"/>
    <mergeCell ref="A196:A198"/>
    <mergeCell ref="A199:A201"/>
    <mergeCell ref="A177:A178"/>
    <mergeCell ref="H202:H206"/>
    <mergeCell ref="B177:F177"/>
    <mergeCell ref="G177:K177"/>
    <mergeCell ref="H207:H211"/>
    <mergeCell ref="O187:O191"/>
    <mergeCell ref="O192:O196"/>
    <mergeCell ref="O197:O201"/>
    <mergeCell ref="O202:O206"/>
    <mergeCell ref="O207:O211"/>
    <mergeCell ref="H192:H196"/>
    <mergeCell ref="H197:H20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77"/>
  <sheetViews>
    <sheetView workbookViewId="0">
      <selection activeCell="AH2" sqref="AH2"/>
    </sheetView>
  </sheetViews>
  <sheetFormatPr defaultColWidth="12.6640625" defaultRowHeight="14.4" x14ac:dyDescent="0.3"/>
  <cols>
    <col min="1" max="2" width="12.6640625" style="42"/>
    <col min="3" max="6" width="16.6640625" style="42" customWidth="1"/>
    <col min="7" max="16384" width="12.6640625" style="42"/>
  </cols>
  <sheetData>
    <row r="1" spans="1:51" x14ac:dyDescent="0.3">
      <c r="A1" s="45"/>
      <c r="B1" s="54" t="s">
        <v>116</v>
      </c>
      <c r="C1" s="54"/>
      <c r="D1" s="5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</row>
    <row r="2" spans="1:51" s="55" customFormat="1" x14ac:dyDescent="0.3">
      <c r="A2" s="55" t="s">
        <v>141</v>
      </c>
      <c r="B2" s="55" t="s">
        <v>135</v>
      </c>
      <c r="C2" s="55" t="s">
        <v>136</v>
      </c>
      <c r="D2" s="55" t="s">
        <v>137</v>
      </c>
      <c r="E2" s="55" t="s">
        <v>138</v>
      </c>
      <c r="F2" s="55" t="s">
        <v>139</v>
      </c>
      <c r="H2" s="55" t="s">
        <v>180</v>
      </c>
      <c r="S2" s="55" t="s">
        <v>181</v>
      </c>
      <c r="AD2" s="55" t="s">
        <v>182</v>
      </c>
      <c r="AO2" s="55" t="s">
        <v>184</v>
      </c>
    </row>
    <row r="3" spans="1:51" x14ac:dyDescent="0.3">
      <c r="A3" s="56">
        <v>1</v>
      </c>
      <c r="B3" s="57">
        <f xml:space="preserve"> 'ELR Chart'!$B83</f>
        <v>0.28125</v>
      </c>
      <c r="C3" s="57">
        <f xml:space="preserve"> 'ELR Chart'!$B163</f>
        <v>0.3125</v>
      </c>
      <c r="D3" s="57">
        <f xml:space="preserve"> 'ELR Chart'!$B243</f>
        <v>0.65625</v>
      </c>
      <c r="E3" s="57">
        <f xml:space="preserve"> 'ELR Chart'!$B323</f>
        <v>0.1875</v>
      </c>
      <c r="F3" s="57">
        <f xml:space="preserve"> 'ELR Chart'!$B403</f>
        <v>0</v>
      </c>
    </row>
    <row r="4" spans="1:51" x14ac:dyDescent="0.3">
      <c r="A4" s="42">
        <f xml:space="preserve"> A3 + 1</f>
        <v>2</v>
      </c>
      <c r="B4" s="44">
        <f xml:space="preserve"> 'ELR Chart'!$B84</f>
        <v>0.28125</v>
      </c>
      <c r="C4" s="44">
        <f xml:space="preserve"> 'ELR Chart'!$B164</f>
        <v>0.125</v>
      </c>
      <c r="D4" s="44">
        <f xml:space="preserve"> 'ELR Chart'!$B244</f>
        <v>0.5</v>
      </c>
      <c r="E4" s="44">
        <f xml:space="preserve"> 'ELR Chart'!$B324</f>
        <v>0.5</v>
      </c>
      <c r="F4" s="44">
        <f xml:space="preserve"> 'ELR Chart'!$B404</f>
        <v>0</v>
      </c>
    </row>
    <row r="5" spans="1:51" x14ac:dyDescent="0.3">
      <c r="A5" s="42">
        <f t="shared" ref="A5:A68" si="0" xml:space="preserve"> A4 + 1</f>
        <v>3</v>
      </c>
      <c r="B5" s="44">
        <f xml:space="preserve"> 'ELR Chart'!$B85</f>
        <v>0.21875</v>
      </c>
      <c r="C5" s="44">
        <f xml:space="preserve"> 'ELR Chart'!$B165</f>
        <v>0.375</v>
      </c>
      <c r="D5" s="44">
        <f xml:space="preserve"> 'ELR Chart'!$B245</f>
        <v>0.40625</v>
      </c>
      <c r="E5" s="44">
        <f xml:space="preserve"> 'ELR Chart'!$B325</f>
        <v>0.25</v>
      </c>
      <c r="F5" s="44">
        <f xml:space="preserve"> 'ELR Chart'!$B405</f>
        <v>6.25E-2</v>
      </c>
    </row>
    <row r="6" spans="1:51" x14ac:dyDescent="0.3">
      <c r="A6" s="42">
        <f t="shared" si="0"/>
        <v>4</v>
      </c>
      <c r="B6" s="44">
        <f xml:space="preserve"> 'ELR Chart'!$B86</f>
        <v>0.59375</v>
      </c>
      <c r="C6" s="44">
        <f xml:space="preserve"> 'ELR Chart'!$B166</f>
        <v>0.46875</v>
      </c>
      <c r="D6" s="44">
        <f xml:space="preserve"> 'ELR Chart'!$B246</f>
        <v>0.4375</v>
      </c>
      <c r="E6" s="44">
        <f xml:space="preserve"> 'ELR Chart'!$B326</f>
        <v>0.25</v>
      </c>
      <c r="F6" s="44">
        <f xml:space="preserve"> 'ELR Chart'!$B406</f>
        <v>0</v>
      </c>
    </row>
    <row r="7" spans="1:51" x14ac:dyDescent="0.3">
      <c r="A7" s="42">
        <f t="shared" si="0"/>
        <v>5</v>
      </c>
      <c r="B7" s="44">
        <f xml:space="preserve"> 'ELR Chart'!$B87</f>
        <v>0.53125</v>
      </c>
      <c r="C7" s="44">
        <f xml:space="preserve"> 'ELR Chart'!$B167</f>
        <v>0.375</v>
      </c>
      <c r="D7" s="44">
        <f xml:space="preserve"> 'ELR Chart'!$B247</f>
        <v>0.59375</v>
      </c>
      <c r="E7" s="44">
        <f xml:space="preserve"> 'ELR Chart'!$B327</f>
        <v>9.375E-2</v>
      </c>
      <c r="F7" s="44">
        <f xml:space="preserve"> 'ELR Chart'!$B407</f>
        <v>0</v>
      </c>
    </row>
    <row r="8" spans="1:51" x14ac:dyDescent="0.3">
      <c r="A8" s="42">
        <f t="shared" si="0"/>
        <v>6</v>
      </c>
      <c r="B8" s="44">
        <f xml:space="preserve"> 'ELR Chart'!$B88</f>
        <v>0.40625</v>
      </c>
      <c r="C8" s="44">
        <f xml:space="preserve"> 'ELR Chart'!$B168</f>
        <v>0.375</v>
      </c>
      <c r="D8" s="44">
        <f xml:space="preserve"> 'ELR Chart'!$B248</f>
        <v>0.5</v>
      </c>
      <c r="E8" s="44">
        <f xml:space="preserve"> 'ELR Chart'!$B328</f>
        <v>0.21875</v>
      </c>
      <c r="F8" s="44">
        <f xml:space="preserve"> 'ELR Chart'!$B408</f>
        <v>6.25E-2</v>
      </c>
    </row>
    <row r="9" spans="1:51" x14ac:dyDescent="0.3">
      <c r="A9" s="42">
        <f t="shared" si="0"/>
        <v>7</v>
      </c>
      <c r="B9" s="44">
        <f xml:space="preserve"> 'ELR Chart'!$B89</f>
        <v>0.4375</v>
      </c>
      <c r="C9" s="44">
        <f xml:space="preserve"> 'ELR Chart'!$B169</f>
        <v>0.3125</v>
      </c>
      <c r="D9" s="44">
        <f xml:space="preserve"> 'ELR Chart'!$B249</f>
        <v>0.59375</v>
      </c>
      <c r="E9" s="44">
        <f xml:space="preserve"> 'ELR Chart'!$B329</f>
        <v>0.125</v>
      </c>
      <c r="F9" s="44">
        <f xml:space="preserve"> 'ELR Chart'!$B409</f>
        <v>9.375E-2</v>
      </c>
    </row>
    <row r="10" spans="1:51" x14ac:dyDescent="0.3">
      <c r="A10" s="42">
        <f t="shared" si="0"/>
        <v>8</v>
      </c>
      <c r="B10" s="44">
        <f xml:space="preserve"> 'ELR Chart'!$B90</f>
        <v>0.53125</v>
      </c>
      <c r="C10" s="44">
        <f xml:space="preserve"> 'ELR Chart'!$B170</f>
        <v>0.375</v>
      </c>
      <c r="D10" s="44">
        <f xml:space="preserve"> 'ELR Chart'!$B250</f>
        <v>0.5</v>
      </c>
      <c r="E10" s="44">
        <f xml:space="preserve"> 'ELR Chart'!$B330</f>
        <v>0.25</v>
      </c>
      <c r="F10" s="44">
        <f xml:space="preserve"> 'ELR Chart'!$B410</f>
        <v>6.25E-2</v>
      </c>
    </row>
    <row r="11" spans="1:51" x14ac:dyDescent="0.3">
      <c r="A11" s="42">
        <f t="shared" si="0"/>
        <v>9</v>
      </c>
      <c r="B11" s="44">
        <f xml:space="preserve"> 'ELR Chart'!$B91</f>
        <v>0.46875</v>
      </c>
      <c r="C11" s="44">
        <f xml:space="preserve"> 'ELR Chart'!$B171</f>
        <v>0.375</v>
      </c>
      <c r="D11" s="44">
        <f xml:space="preserve"> 'ELR Chart'!$B251</f>
        <v>0.46875</v>
      </c>
      <c r="E11" s="44">
        <f xml:space="preserve"> 'ELR Chart'!$B331</f>
        <v>0.34375</v>
      </c>
      <c r="F11" s="44">
        <f xml:space="preserve"> 'ELR Chart'!$B411</f>
        <v>6.25E-2</v>
      </c>
    </row>
    <row r="12" spans="1:51" x14ac:dyDescent="0.3">
      <c r="A12" s="42">
        <f t="shared" si="0"/>
        <v>10</v>
      </c>
      <c r="B12" s="44">
        <f xml:space="preserve"> 'ELR Chart'!$B92</f>
        <v>0.5</v>
      </c>
      <c r="C12" s="44">
        <f xml:space="preserve"> 'ELR Chart'!$B172</f>
        <v>0.21875</v>
      </c>
      <c r="D12" s="44">
        <f xml:space="preserve"> 'ELR Chart'!$B252</f>
        <v>0.3125</v>
      </c>
      <c r="E12" s="44">
        <f xml:space="preserve"> 'ELR Chart'!$B332</f>
        <v>0.59375</v>
      </c>
      <c r="F12" s="44">
        <f xml:space="preserve"> 'ELR Chart'!$B412</f>
        <v>0</v>
      </c>
    </row>
    <row r="13" spans="1:51" x14ac:dyDescent="0.3">
      <c r="A13" s="42">
        <f t="shared" si="0"/>
        <v>11</v>
      </c>
      <c r="B13" s="44">
        <f xml:space="preserve"> 'ELR Chart'!$B93</f>
        <v>0.5625</v>
      </c>
      <c r="C13" s="44">
        <f xml:space="preserve"> 'ELR Chart'!$B173</f>
        <v>0.40625</v>
      </c>
      <c r="D13" s="44">
        <f xml:space="preserve"> 'ELR Chart'!$B253</f>
        <v>0.6875</v>
      </c>
      <c r="E13" s="44">
        <f xml:space="preserve"> 'ELR Chart'!$B333</f>
        <v>6.25E-2</v>
      </c>
      <c r="F13" s="44">
        <f xml:space="preserve"> 'ELR Chart'!$B413</f>
        <v>0</v>
      </c>
    </row>
    <row r="14" spans="1:51" x14ac:dyDescent="0.3">
      <c r="A14" s="42">
        <f t="shared" si="0"/>
        <v>12</v>
      </c>
      <c r="B14" s="44">
        <f xml:space="preserve"> 'ELR Chart'!$B94</f>
        <v>0.625</v>
      </c>
      <c r="C14" s="44">
        <f xml:space="preserve"> 'ELR Chart'!$B174</f>
        <v>0.53125</v>
      </c>
      <c r="D14" s="44">
        <f xml:space="preserve"> 'ELR Chart'!$B254</f>
        <v>0.59375</v>
      </c>
      <c r="E14" s="44">
        <f xml:space="preserve"> 'ELR Chart'!$B334</f>
        <v>9.375E-2</v>
      </c>
      <c r="F14" s="44">
        <f xml:space="preserve"> 'ELR Chart'!$B414</f>
        <v>0</v>
      </c>
    </row>
    <row r="15" spans="1:51" x14ac:dyDescent="0.3">
      <c r="A15" s="42">
        <f t="shared" si="0"/>
        <v>13</v>
      </c>
      <c r="B15" s="44">
        <f xml:space="preserve"> 'ELR Chart'!$B95</f>
        <v>0.46875</v>
      </c>
      <c r="C15" s="44">
        <f xml:space="preserve"> 'ELR Chart'!$B175</f>
        <v>0.34375</v>
      </c>
      <c r="D15" s="44">
        <f xml:space="preserve"> 'ELR Chart'!$B255</f>
        <v>0.5625</v>
      </c>
      <c r="E15" s="44">
        <f xml:space="preserve"> 'ELR Chart'!$B335</f>
        <v>0.21875</v>
      </c>
      <c r="F15" s="44">
        <f xml:space="preserve"> 'ELR Chart'!$B415</f>
        <v>3.125E-2</v>
      </c>
    </row>
    <row r="16" spans="1:51" x14ac:dyDescent="0.3">
      <c r="A16" s="42">
        <f t="shared" si="0"/>
        <v>14</v>
      </c>
      <c r="B16" s="44">
        <f xml:space="preserve"> 'ELR Chart'!$B96</f>
        <v>0.25</v>
      </c>
      <c r="C16" s="44">
        <f xml:space="preserve"> 'ELR Chart'!$B176</f>
        <v>0.34375</v>
      </c>
      <c r="D16" s="44">
        <f xml:space="preserve"> 'ELR Chart'!$B256</f>
        <v>0.53125</v>
      </c>
      <c r="E16" s="44">
        <f xml:space="preserve"> 'ELR Chart'!$B336</f>
        <v>6.25E-2</v>
      </c>
      <c r="F16" s="44">
        <f xml:space="preserve"> 'ELR Chart'!$B416</f>
        <v>6.25E-2</v>
      </c>
    </row>
    <row r="17" spans="1:6" x14ac:dyDescent="0.3">
      <c r="A17" s="42">
        <f t="shared" si="0"/>
        <v>15</v>
      </c>
      <c r="B17" s="44">
        <f xml:space="preserve"> 'ELR Chart'!$B97</f>
        <v>0.40625</v>
      </c>
      <c r="C17" s="44">
        <f xml:space="preserve"> 'ELR Chart'!$B177</f>
        <v>0.40625</v>
      </c>
      <c r="D17" s="44">
        <f xml:space="preserve"> 'ELR Chart'!$B257</f>
        <v>0.65625</v>
      </c>
      <c r="E17" s="44">
        <f xml:space="preserve"> 'ELR Chart'!$B337</f>
        <v>9.375E-2</v>
      </c>
      <c r="F17" s="44">
        <f xml:space="preserve"> 'ELR Chart'!$B417</f>
        <v>3.125E-2</v>
      </c>
    </row>
    <row r="18" spans="1:6" x14ac:dyDescent="0.3">
      <c r="A18" s="42">
        <f t="shared" si="0"/>
        <v>16</v>
      </c>
      <c r="B18" s="44">
        <f xml:space="preserve"> 'ELR Chart'!$B98</f>
        <v>0.59375</v>
      </c>
      <c r="C18" s="44">
        <f xml:space="preserve"> 'ELR Chart'!$B178</f>
        <v>0.28125</v>
      </c>
      <c r="D18" s="44">
        <f xml:space="preserve"> 'ELR Chart'!$B258</f>
        <v>0.6875</v>
      </c>
      <c r="E18" s="44">
        <f xml:space="preserve"> 'ELR Chart'!$B338</f>
        <v>0.125</v>
      </c>
      <c r="F18" s="44">
        <f xml:space="preserve"> 'ELR Chart'!$B418</f>
        <v>3.125E-2</v>
      </c>
    </row>
    <row r="19" spans="1:6" x14ac:dyDescent="0.3">
      <c r="A19" s="42">
        <f t="shared" si="0"/>
        <v>17</v>
      </c>
      <c r="B19" s="44">
        <f xml:space="preserve"> 'ELR Chart'!$B99</f>
        <v>0.53125</v>
      </c>
      <c r="C19" s="44">
        <f xml:space="preserve"> 'ELR Chart'!$B179</f>
        <v>0.53125</v>
      </c>
      <c r="D19" s="44">
        <f xml:space="preserve"> 'ELR Chart'!$B259</f>
        <v>0.5625</v>
      </c>
      <c r="E19" s="44">
        <f xml:space="preserve"> 'ELR Chart'!$B339</f>
        <v>6.25E-2</v>
      </c>
      <c r="F19" s="44">
        <f xml:space="preserve"> 'ELR Chart'!$B419</f>
        <v>6.25E-2</v>
      </c>
    </row>
    <row r="20" spans="1:6" x14ac:dyDescent="0.3">
      <c r="A20" s="56">
        <f t="shared" si="0"/>
        <v>18</v>
      </c>
      <c r="B20" s="57">
        <f xml:space="preserve"> 'ELR Chart'!$B100</f>
        <v>0.46875</v>
      </c>
      <c r="C20" s="57">
        <f xml:space="preserve"> 'ELR Chart'!$B180</f>
        <v>0.4375</v>
      </c>
      <c r="D20" s="57">
        <f xml:space="preserve"> 'ELR Chart'!$B260</f>
        <v>0.65625</v>
      </c>
      <c r="E20" s="57">
        <f xml:space="preserve"> 'ELR Chart'!$B340</f>
        <v>6.25E-2</v>
      </c>
      <c r="F20" s="57">
        <f xml:space="preserve"> 'ELR Chart'!$B420</f>
        <v>0</v>
      </c>
    </row>
    <row r="21" spans="1:6" x14ac:dyDescent="0.3">
      <c r="A21" s="42">
        <f t="shared" si="0"/>
        <v>19</v>
      </c>
      <c r="B21" s="44">
        <f xml:space="preserve"> 'ELR Chart'!$B101</f>
        <v>0.71875</v>
      </c>
      <c r="C21" s="44">
        <f xml:space="preserve"> 'ELR Chart'!$B181</f>
        <v>0.34375</v>
      </c>
      <c r="D21" s="44">
        <f xml:space="preserve"> 'ELR Chart'!$B261</f>
        <v>0.625</v>
      </c>
      <c r="E21" s="44">
        <f xml:space="preserve"> 'ELR Chart'!$B341</f>
        <v>0.28125</v>
      </c>
      <c r="F21" s="44">
        <f xml:space="preserve"> 'ELR Chart'!$B421</f>
        <v>0</v>
      </c>
    </row>
    <row r="22" spans="1:6" x14ac:dyDescent="0.3">
      <c r="A22" s="42">
        <f t="shared" si="0"/>
        <v>20</v>
      </c>
      <c r="B22" s="44">
        <f xml:space="preserve"> 'ELR Chart'!$B102</f>
        <v>0.40625</v>
      </c>
      <c r="C22" s="44">
        <f xml:space="preserve"> 'ELR Chart'!$B182</f>
        <v>0.4375</v>
      </c>
      <c r="D22" s="44">
        <f xml:space="preserve"> 'ELR Chart'!$B262</f>
        <v>0.53125</v>
      </c>
      <c r="E22" s="44">
        <f xml:space="preserve"> 'ELR Chart'!$B342</f>
        <v>0.21875</v>
      </c>
      <c r="F22" s="44">
        <f xml:space="preserve"> 'ELR Chart'!$B422</f>
        <v>9.375E-2</v>
      </c>
    </row>
    <row r="23" spans="1:6" x14ac:dyDescent="0.3">
      <c r="A23" s="42">
        <f t="shared" si="0"/>
        <v>21</v>
      </c>
      <c r="B23" s="44">
        <f xml:space="preserve"> 'ELR Chart'!$B103</f>
        <v>0.40625</v>
      </c>
      <c r="C23" s="44">
        <f xml:space="preserve"> 'ELR Chart'!$B183</f>
        <v>0.40625</v>
      </c>
      <c r="D23" s="44">
        <f xml:space="preserve"> 'ELR Chart'!$B263</f>
        <v>0.5625</v>
      </c>
      <c r="E23" s="44">
        <f xml:space="preserve"> 'ELR Chart'!$B343</f>
        <v>9.375E-2</v>
      </c>
      <c r="F23" s="44">
        <f xml:space="preserve"> 'ELR Chart'!$B423</f>
        <v>3.125E-2</v>
      </c>
    </row>
    <row r="24" spans="1:6" x14ac:dyDescent="0.3">
      <c r="A24" s="42">
        <f t="shared" si="0"/>
        <v>22</v>
      </c>
      <c r="B24" s="44">
        <f xml:space="preserve"> 'ELR Chart'!$B104</f>
        <v>0.375</v>
      </c>
      <c r="C24" s="44">
        <f xml:space="preserve"> 'ELR Chart'!$B184</f>
        <v>0.5</v>
      </c>
      <c r="D24" s="44">
        <f xml:space="preserve"> 'ELR Chart'!$B264</f>
        <v>0.375</v>
      </c>
      <c r="E24" s="44">
        <f xml:space="preserve"> 'ELR Chart'!$B344</f>
        <v>0.375</v>
      </c>
      <c r="F24" s="44">
        <f xml:space="preserve"> 'ELR Chart'!$B424</f>
        <v>6.25E-2</v>
      </c>
    </row>
    <row r="25" spans="1:6" x14ac:dyDescent="0.3">
      <c r="A25" s="42">
        <f t="shared" si="0"/>
        <v>23</v>
      </c>
      <c r="B25" s="44">
        <f xml:space="preserve"> 'ELR Chart'!$B105</f>
        <v>0.3125</v>
      </c>
      <c r="C25" s="44">
        <f xml:space="preserve"> 'ELR Chart'!$B185</f>
        <v>0.5</v>
      </c>
      <c r="D25" s="44">
        <f xml:space="preserve"> 'ELR Chart'!$B265</f>
        <v>0.4375</v>
      </c>
      <c r="E25" s="44">
        <f xml:space="preserve"> 'ELR Chart'!$B345</f>
        <v>0.125</v>
      </c>
      <c r="F25" s="44">
        <f xml:space="preserve"> 'ELR Chart'!$B425</f>
        <v>3.125E-2</v>
      </c>
    </row>
    <row r="26" spans="1:6" x14ac:dyDescent="0.3">
      <c r="A26" s="42">
        <f t="shared" si="0"/>
        <v>24</v>
      </c>
      <c r="B26" s="44">
        <f xml:space="preserve"> 'ELR Chart'!$B106</f>
        <v>0.40625</v>
      </c>
      <c r="C26" s="44">
        <f xml:space="preserve"> 'ELR Chart'!$B186</f>
        <v>0.46875</v>
      </c>
      <c r="D26" s="44">
        <f xml:space="preserve"> 'ELR Chart'!$B266</f>
        <v>0.5625</v>
      </c>
      <c r="E26" s="44">
        <f xml:space="preserve"> 'ELR Chart'!$B346</f>
        <v>0.1875</v>
      </c>
      <c r="F26" s="44">
        <f xml:space="preserve"> 'ELR Chart'!$B426</f>
        <v>6.25E-2</v>
      </c>
    </row>
    <row r="27" spans="1:6" x14ac:dyDescent="0.3">
      <c r="A27" s="42">
        <f t="shared" si="0"/>
        <v>25</v>
      </c>
      <c r="B27" s="44">
        <f xml:space="preserve"> 'ELR Chart'!$B107</f>
        <v>0.53125</v>
      </c>
      <c r="C27" s="44">
        <f xml:space="preserve"> 'ELR Chart'!$B187</f>
        <v>0.5</v>
      </c>
      <c r="D27" s="44">
        <f xml:space="preserve"> 'ELR Chart'!$B267</f>
        <v>0.5625</v>
      </c>
      <c r="E27" s="44">
        <f xml:space="preserve"> 'ELR Chart'!$B347</f>
        <v>0.125</v>
      </c>
      <c r="F27" s="44">
        <f xml:space="preserve"> 'ELR Chart'!$B427</f>
        <v>0</v>
      </c>
    </row>
    <row r="28" spans="1:6" x14ac:dyDescent="0.3">
      <c r="A28" s="42">
        <f t="shared" si="0"/>
        <v>26</v>
      </c>
      <c r="B28" s="44">
        <f xml:space="preserve"> 'ELR Chart'!$B108</f>
        <v>0.375</v>
      </c>
      <c r="C28" s="44">
        <f xml:space="preserve"> 'ELR Chart'!$B188</f>
        <v>0.40625</v>
      </c>
      <c r="D28" s="44">
        <f xml:space="preserve"> 'ELR Chart'!$B268</f>
        <v>0.625</v>
      </c>
      <c r="E28" s="44">
        <f xml:space="preserve"> 'ELR Chart'!$B348</f>
        <v>0.1875</v>
      </c>
      <c r="F28" s="44">
        <f xml:space="preserve"> 'ELR Chart'!$B428</f>
        <v>0</v>
      </c>
    </row>
    <row r="29" spans="1:6" x14ac:dyDescent="0.3">
      <c r="A29" s="42">
        <f t="shared" si="0"/>
        <v>27</v>
      </c>
      <c r="B29" s="44">
        <f xml:space="preserve"> 'ELR Chart'!$B109</f>
        <v>0.4375</v>
      </c>
      <c r="C29" s="44">
        <f xml:space="preserve"> 'ELR Chart'!$B189</f>
        <v>0.46875</v>
      </c>
      <c r="D29" s="44">
        <f xml:space="preserve"> 'ELR Chart'!$B269</f>
        <v>0.46875</v>
      </c>
      <c r="E29" s="44">
        <f xml:space="preserve"> 'ELR Chart'!$B349</f>
        <v>0.15625</v>
      </c>
      <c r="F29" s="44">
        <f xml:space="preserve"> 'ELR Chart'!$B429</f>
        <v>0</v>
      </c>
    </row>
    <row r="30" spans="1:6" x14ac:dyDescent="0.3">
      <c r="A30" s="42">
        <f t="shared" si="0"/>
        <v>28</v>
      </c>
      <c r="B30" s="44">
        <f xml:space="preserve"> 'ELR Chart'!$B110</f>
        <v>0.34375</v>
      </c>
      <c r="C30" s="44">
        <f xml:space="preserve"> 'ELR Chart'!$B190</f>
        <v>0.40625</v>
      </c>
      <c r="D30" s="44">
        <f xml:space="preserve"> 'ELR Chart'!$B270</f>
        <v>0.59375</v>
      </c>
      <c r="E30" s="44">
        <f xml:space="preserve"> 'ELR Chart'!$B350</f>
        <v>9.375E-2</v>
      </c>
      <c r="F30" s="44">
        <f xml:space="preserve"> 'ELR Chart'!$B430</f>
        <v>6.25E-2</v>
      </c>
    </row>
    <row r="31" spans="1:6" x14ac:dyDescent="0.3">
      <c r="A31" s="42">
        <f t="shared" si="0"/>
        <v>29</v>
      </c>
      <c r="B31" s="44">
        <f xml:space="preserve"> 'ELR Chart'!$B111</f>
        <v>0.375</v>
      </c>
      <c r="C31" s="44">
        <f xml:space="preserve"> 'ELR Chart'!$B191</f>
        <v>0.53125</v>
      </c>
      <c r="D31" s="44">
        <f xml:space="preserve"> 'ELR Chart'!$B271</f>
        <v>0.5</v>
      </c>
      <c r="E31" s="44">
        <f xml:space="preserve"> 'ELR Chart'!$B351</f>
        <v>6.25E-2</v>
      </c>
      <c r="F31" s="44">
        <f xml:space="preserve"> 'ELR Chart'!$B431</f>
        <v>3.125E-2</v>
      </c>
    </row>
    <row r="32" spans="1:6" x14ac:dyDescent="0.3">
      <c r="A32" s="42">
        <f t="shared" si="0"/>
        <v>30</v>
      </c>
      <c r="B32" s="44">
        <f xml:space="preserve"> 'ELR Chart'!$B112</f>
        <v>0.5625</v>
      </c>
      <c r="C32" s="44">
        <f xml:space="preserve"> 'ELR Chart'!$B192</f>
        <v>0.5</v>
      </c>
      <c r="D32" s="44">
        <f xml:space="preserve"> 'ELR Chart'!$B272</f>
        <v>0.65625</v>
      </c>
      <c r="E32" s="44">
        <f xml:space="preserve"> 'ELR Chart'!$B352</f>
        <v>9.375E-2</v>
      </c>
      <c r="F32" s="44">
        <f xml:space="preserve"> 'ELR Chart'!$B432</f>
        <v>3.125E-2</v>
      </c>
    </row>
    <row r="33" spans="1:6" x14ac:dyDescent="0.3">
      <c r="A33" s="42">
        <f t="shared" si="0"/>
        <v>31</v>
      </c>
      <c r="B33" s="44">
        <f xml:space="preserve"> 'ELR Chart'!$B113</f>
        <v>0.625</v>
      </c>
      <c r="C33" s="44">
        <f xml:space="preserve"> 'ELR Chart'!$B193</f>
        <v>0.53125</v>
      </c>
      <c r="D33" s="44">
        <f xml:space="preserve"> 'ELR Chart'!$B273</f>
        <v>0.53125</v>
      </c>
      <c r="E33" s="44">
        <f xml:space="preserve"> 'ELR Chart'!$B353</f>
        <v>0.1875</v>
      </c>
      <c r="F33" s="44">
        <f xml:space="preserve"> 'ELR Chart'!$B433</f>
        <v>0</v>
      </c>
    </row>
    <row r="34" spans="1:6" x14ac:dyDescent="0.3">
      <c r="A34" s="42">
        <f t="shared" si="0"/>
        <v>32</v>
      </c>
      <c r="B34" s="44">
        <f xml:space="preserve"> 'ELR Chart'!$B114</f>
        <v>0.59375</v>
      </c>
      <c r="C34" s="44">
        <f xml:space="preserve"> 'ELR Chart'!$B194</f>
        <v>0.46875</v>
      </c>
      <c r="D34" s="44">
        <f xml:space="preserve"> 'ELR Chart'!$B274</f>
        <v>0.5625</v>
      </c>
      <c r="E34" s="44">
        <f xml:space="preserve"> 'ELR Chart'!$B354</f>
        <v>0.15625</v>
      </c>
      <c r="F34" s="44">
        <f xml:space="preserve"> 'ELR Chart'!$B434</f>
        <v>3.125E-2</v>
      </c>
    </row>
    <row r="35" spans="1:6" x14ac:dyDescent="0.3">
      <c r="A35" s="42">
        <f t="shared" si="0"/>
        <v>33</v>
      </c>
      <c r="B35" s="44">
        <f xml:space="preserve"> 'ELR Chart'!$B115</f>
        <v>0.1875</v>
      </c>
      <c r="C35" s="44">
        <f xml:space="preserve"> 'ELR Chart'!$B195</f>
        <v>0.375</v>
      </c>
      <c r="D35" s="44">
        <f xml:space="preserve"> 'ELR Chart'!$B275</f>
        <v>0.4375</v>
      </c>
      <c r="E35" s="44">
        <f xml:space="preserve"> 'ELR Chart'!$B355</f>
        <v>0.125</v>
      </c>
      <c r="F35" s="44">
        <f xml:space="preserve"> 'ELR Chart'!$B435</f>
        <v>3.125E-2</v>
      </c>
    </row>
    <row r="36" spans="1:6" x14ac:dyDescent="0.3">
      <c r="A36" s="42">
        <f t="shared" si="0"/>
        <v>34</v>
      </c>
      <c r="B36" s="44">
        <f xml:space="preserve"> 'ELR Chart'!$B116</f>
        <v>0.5</v>
      </c>
      <c r="C36" s="44">
        <f xml:space="preserve"> 'ELR Chart'!$B196</f>
        <v>0.5625</v>
      </c>
      <c r="D36" s="44">
        <f xml:space="preserve"> 'ELR Chart'!$B276</f>
        <v>0.59375</v>
      </c>
      <c r="E36" s="44">
        <f xml:space="preserve"> 'ELR Chart'!$B356</f>
        <v>0.15625</v>
      </c>
      <c r="F36" s="44">
        <f xml:space="preserve"> 'ELR Chart'!$B436</f>
        <v>0</v>
      </c>
    </row>
    <row r="37" spans="1:6" x14ac:dyDescent="0.3">
      <c r="A37" s="42">
        <f t="shared" si="0"/>
        <v>35</v>
      </c>
      <c r="B37" s="44">
        <f xml:space="preserve"> 'ELR Chart'!$B117</f>
        <v>0.4375</v>
      </c>
      <c r="C37" s="44">
        <f xml:space="preserve"> 'ELR Chart'!$B197</f>
        <v>0.5625</v>
      </c>
      <c r="D37" s="44">
        <f xml:space="preserve"> 'ELR Chart'!$B277</f>
        <v>0.53125</v>
      </c>
      <c r="E37" s="44">
        <f xml:space="preserve"> 'ELR Chart'!$B357</f>
        <v>6.25E-2</v>
      </c>
      <c r="F37" s="44">
        <f xml:space="preserve"> 'ELR Chart'!$B437</f>
        <v>0</v>
      </c>
    </row>
    <row r="38" spans="1:6" x14ac:dyDescent="0.3">
      <c r="A38" s="42">
        <f t="shared" si="0"/>
        <v>36</v>
      </c>
      <c r="B38" s="44">
        <f xml:space="preserve"> 'ELR Chart'!$B118</f>
        <v>0.375</v>
      </c>
      <c r="C38" s="44">
        <f xml:space="preserve"> 'ELR Chart'!$B198</f>
        <v>0.4375</v>
      </c>
      <c r="D38" s="44">
        <f xml:space="preserve"> 'ELR Chart'!$B278</f>
        <v>0.5</v>
      </c>
      <c r="E38" s="44">
        <f xml:space="preserve"> 'ELR Chart'!$B358</f>
        <v>0.15625</v>
      </c>
      <c r="F38" s="44">
        <f xml:space="preserve"> 'ELR Chart'!$B438</f>
        <v>3.125E-2</v>
      </c>
    </row>
    <row r="39" spans="1:6" x14ac:dyDescent="0.3">
      <c r="A39" s="42">
        <f t="shared" si="0"/>
        <v>37</v>
      </c>
      <c r="B39" s="44">
        <f xml:space="preserve"> 'ELR Chart'!$B119</f>
        <v>0.375</v>
      </c>
      <c r="C39" s="44">
        <f xml:space="preserve"> 'ELR Chart'!$B199</f>
        <v>0.375</v>
      </c>
      <c r="D39" s="44">
        <f xml:space="preserve"> 'ELR Chart'!$B279</f>
        <v>0.5625</v>
      </c>
      <c r="E39" s="44">
        <f xml:space="preserve"> 'ELR Chart'!$B359</f>
        <v>0.1875</v>
      </c>
      <c r="F39" s="44">
        <f xml:space="preserve"> 'ELR Chart'!$B439</f>
        <v>3.125E-2</v>
      </c>
    </row>
    <row r="40" spans="1:6" x14ac:dyDescent="0.3">
      <c r="A40" s="42">
        <f t="shared" si="0"/>
        <v>38</v>
      </c>
      <c r="B40" s="44">
        <f xml:space="preserve"> 'ELR Chart'!$B120</f>
        <v>0.28125</v>
      </c>
      <c r="C40" s="44">
        <f xml:space="preserve"> 'ELR Chart'!$B200</f>
        <v>0.46875</v>
      </c>
      <c r="D40" s="44">
        <f xml:space="preserve"> 'ELR Chart'!$B280</f>
        <v>0.59375</v>
      </c>
      <c r="E40" s="44">
        <f xml:space="preserve"> 'ELR Chart'!$B360</f>
        <v>0</v>
      </c>
      <c r="F40" s="44">
        <f xml:space="preserve"> 'ELR Chart'!$B440</f>
        <v>6.25E-2</v>
      </c>
    </row>
    <row r="41" spans="1:6" x14ac:dyDescent="0.3">
      <c r="A41" s="42">
        <f t="shared" si="0"/>
        <v>39</v>
      </c>
      <c r="B41" s="44">
        <f xml:space="preserve"> 'ELR Chart'!$B121</f>
        <v>0.28125</v>
      </c>
      <c r="C41" s="44">
        <f xml:space="preserve"> 'ELR Chart'!$B201</f>
        <v>0.4375</v>
      </c>
      <c r="D41" s="44">
        <f xml:space="preserve"> 'ELR Chart'!$B281</f>
        <v>0.53125</v>
      </c>
      <c r="E41" s="44">
        <f xml:space="preserve"> 'ELR Chart'!$B361</f>
        <v>9.375E-2</v>
      </c>
      <c r="F41" s="44">
        <f xml:space="preserve"> 'ELR Chart'!$B441</f>
        <v>3.125E-2</v>
      </c>
    </row>
    <row r="42" spans="1:6" x14ac:dyDescent="0.3">
      <c r="A42" s="42">
        <f t="shared" si="0"/>
        <v>40</v>
      </c>
      <c r="B42" s="44">
        <f xml:space="preserve"> 'ELR Chart'!$B122</f>
        <v>0.71875</v>
      </c>
      <c r="C42" s="44">
        <f xml:space="preserve"> 'ELR Chart'!$B202</f>
        <v>0.59375</v>
      </c>
      <c r="D42" s="44">
        <f xml:space="preserve"> 'ELR Chart'!$B282</f>
        <v>0.6875</v>
      </c>
      <c r="E42" s="44">
        <f xml:space="preserve"> 'ELR Chart'!$B362</f>
        <v>6.25E-2</v>
      </c>
      <c r="F42" s="44">
        <f xml:space="preserve"> 'ELR Chart'!$B442</f>
        <v>0</v>
      </c>
    </row>
    <row r="43" spans="1:6" x14ac:dyDescent="0.3">
      <c r="A43" s="42">
        <f t="shared" si="0"/>
        <v>41</v>
      </c>
      <c r="B43" s="44">
        <f xml:space="preserve"> 'ELR Chart'!$B123</f>
        <v>0.4375</v>
      </c>
      <c r="C43" s="44">
        <f xml:space="preserve"> 'ELR Chart'!$B203</f>
        <v>0.5</v>
      </c>
      <c r="D43" s="44">
        <f xml:space="preserve"> 'ELR Chart'!$B283</f>
        <v>0.5625</v>
      </c>
      <c r="E43" s="44">
        <f xml:space="preserve"> 'ELR Chart'!$B363</f>
        <v>3.125E-2</v>
      </c>
      <c r="F43" s="44">
        <f xml:space="preserve"> 'ELR Chart'!$B443</f>
        <v>3.125E-2</v>
      </c>
    </row>
    <row r="44" spans="1:6" x14ac:dyDescent="0.3">
      <c r="A44" s="42">
        <f t="shared" si="0"/>
        <v>42</v>
      </c>
      <c r="B44" s="44">
        <f xml:space="preserve"> 'ELR Chart'!$B124</f>
        <v>0.3125</v>
      </c>
      <c r="C44" s="44">
        <f xml:space="preserve"> 'ELR Chart'!$B204</f>
        <v>0.40625</v>
      </c>
      <c r="D44" s="44">
        <f xml:space="preserve"> 'ELR Chart'!$B284</f>
        <v>0.5625</v>
      </c>
      <c r="E44" s="44">
        <f xml:space="preserve"> 'ELR Chart'!$B364</f>
        <v>9.375E-2</v>
      </c>
      <c r="F44" s="44">
        <f xml:space="preserve"> 'ELR Chart'!$B444</f>
        <v>6.25E-2</v>
      </c>
    </row>
    <row r="45" spans="1:6" x14ac:dyDescent="0.3">
      <c r="A45" s="42">
        <f t="shared" si="0"/>
        <v>43</v>
      </c>
      <c r="B45" s="44">
        <f xml:space="preserve"> 'ELR Chart'!$B125</f>
        <v>0.28125</v>
      </c>
      <c r="C45" s="44">
        <f xml:space="preserve"> 'ELR Chart'!$B205</f>
        <v>0.34375</v>
      </c>
      <c r="D45" s="44">
        <f xml:space="preserve"> 'ELR Chart'!$B285</f>
        <v>0.59375</v>
      </c>
      <c r="E45" s="44">
        <f xml:space="preserve"> 'ELR Chart'!$B365</f>
        <v>3.125E-2</v>
      </c>
      <c r="F45" s="44">
        <f xml:space="preserve"> 'ELR Chart'!$B445</f>
        <v>6.25E-2</v>
      </c>
    </row>
    <row r="46" spans="1:6" x14ac:dyDescent="0.3">
      <c r="A46" s="42">
        <f t="shared" si="0"/>
        <v>44</v>
      </c>
      <c r="B46" s="44">
        <f xml:space="preserve"> 'ELR Chart'!$B126</f>
        <v>0.40625</v>
      </c>
      <c r="C46" s="44">
        <f xml:space="preserve"> 'ELR Chart'!$B206</f>
        <v>0.34375</v>
      </c>
      <c r="D46" s="44">
        <f xml:space="preserve"> 'ELR Chart'!$B286</f>
        <v>0.59375</v>
      </c>
      <c r="E46" s="44">
        <f xml:space="preserve"> 'ELR Chart'!$B366</f>
        <v>9.375E-2</v>
      </c>
      <c r="F46" s="44">
        <f xml:space="preserve"> 'ELR Chart'!$B446</f>
        <v>6.25E-2</v>
      </c>
    </row>
    <row r="47" spans="1:6" x14ac:dyDescent="0.3">
      <c r="A47" s="42">
        <f t="shared" si="0"/>
        <v>45</v>
      </c>
      <c r="B47" s="44">
        <f xml:space="preserve"> 'ELR Chart'!$B127</f>
        <v>0.46875</v>
      </c>
      <c r="C47" s="44">
        <f xml:space="preserve"> 'ELR Chart'!$B207</f>
        <v>0.4375</v>
      </c>
      <c r="D47" s="44">
        <f xml:space="preserve"> 'ELR Chart'!$B287</f>
        <v>0.59375</v>
      </c>
      <c r="E47" s="44">
        <f xml:space="preserve"> 'ELR Chart'!$B367</f>
        <v>3.125E-2</v>
      </c>
      <c r="F47" s="44">
        <f xml:space="preserve"> 'ELR Chart'!$B447</f>
        <v>6.25E-2</v>
      </c>
    </row>
    <row r="48" spans="1:6" x14ac:dyDescent="0.3">
      <c r="A48" s="42">
        <f t="shared" si="0"/>
        <v>46</v>
      </c>
      <c r="B48" s="44">
        <f xml:space="preserve"> 'ELR Chart'!$B128</f>
        <v>0.46875</v>
      </c>
      <c r="C48" s="44">
        <f xml:space="preserve"> 'ELR Chart'!$B208</f>
        <v>0.34375</v>
      </c>
      <c r="D48" s="44">
        <f xml:space="preserve"> 'ELR Chart'!$B288</f>
        <v>0.75</v>
      </c>
      <c r="E48" s="44">
        <f xml:space="preserve"> 'ELR Chart'!$B368</f>
        <v>3.125E-2</v>
      </c>
      <c r="F48" s="44">
        <f xml:space="preserve"> 'ELR Chart'!$B448</f>
        <v>3.125E-2</v>
      </c>
    </row>
    <row r="49" spans="1:6" x14ac:dyDescent="0.3">
      <c r="A49" s="56">
        <f t="shared" si="0"/>
        <v>47</v>
      </c>
      <c r="B49" s="57">
        <f xml:space="preserve"> 'ELR Chart'!$B129</f>
        <v>0.375</v>
      </c>
      <c r="C49" s="57">
        <f xml:space="preserve"> 'ELR Chart'!$B209</f>
        <v>0.40625</v>
      </c>
      <c r="D49" s="57">
        <f xml:space="preserve"> 'ELR Chart'!$B289</f>
        <v>0.5625</v>
      </c>
      <c r="E49" s="57">
        <f xml:space="preserve"> 'ELR Chart'!$B369</f>
        <v>0.15625</v>
      </c>
      <c r="F49" s="57">
        <f xml:space="preserve"> 'ELR Chart'!$B449</f>
        <v>3.125E-2</v>
      </c>
    </row>
    <row r="50" spans="1:6" x14ac:dyDescent="0.3">
      <c r="A50" s="42">
        <f t="shared" si="0"/>
        <v>48</v>
      </c>
      <c r="B50" s="44">
        <f xml:space="preserve"> 'ELR Chart'!$B130</f>
        <v>0.25</v>
      </c>
      <c r="C50" s="44">
        <f xml:space="preserve"> 'ELR Chart'!$B210</f>
        <v>0.40625</v>
      </c>
      <c r="D50" s="44">
        <f xml:space="preserve"> 'ELR Chart'!$B290</f>
        <v>0.625</v>
      </c>
      <c r="E50" s="44">
        <f xml:space="preserve"> 'ELR Chart'!$B370</f>
        <v>0.15625</v>
      </c>
      <c r="F50" s="44">
        <f xml:space="preserve"> 'ELR Chart'!$B450</f>
        <v>3.125E-2</v>
      </c>
    </row>
    <row r="51" spans="1:6" x14ac:dyDescent="0.3">
      <c r="A51" s="42">
        <f t="shared" si="0"/>
        <v>49</v>
      </c>
      <c r="B51" s="44">
        <f xml:space="preserve"> 'ELR Chart'!$B131</f>
        <v>0.34375</v>
      </c>
      <c r="C51" s="44">
        <f xml:space="preserve"> 'ELR Chart'!$B211</f>
        <v>0.46875</v>
      </c>
      <c r="D51" s="44">
        <f xml:space="preserve"> 'ELR Chart'!$B291</f>
        <v>0.59375</v>
      </c>
      <c r="E51" s="44">
        <f xml:space="preserve"> 'ELR Chart'!$B371</f>
        <v>9.375E-2</v>
      </c>
      <c r="F51" s="44">
        <f xml:space="preserve"> 'ELR Chart'!$B451</f>
        <v>0</v>
      </c>
    </row>
    <row r="52" spans="1:6" x14ac:dyDescent="0.3">
      <c r="A52" s="42">
        <f t="shared" si="0"/>
        <v>50</v>
      </c>
      <c r="B52" s="44">
        <f xml:space="preserve"> 'ELR Chart'!$B132</f>
        <v>0.3125</v>
      </c>
      <c r="C52" s="44">
        <f xml:space="preserve"> 'ELR Chart'!$B212</f>
        <v>0.59375</v>
      </c>
      <c r="D52" s="44">
        <f xml:space="preserve"> 'ELR Chart'!$B292</f>
        <v>0.5625</v>
      </c>
      <c r="E52" s="44">
        <f xml:space="preserve"> 'ELR Chart'!$B372</f>
        <v>0.1875</v>
      </c>
      <c r="F52" s="44">
        <f xml:space="preserve"> 'ELR Chart'!$B452</f>
        <v>0</v>
      </c>
    </row>
    <row r="53" spans="1:6" x14ac:dyDescent="0.3">
      <c r="A53" s="42">
        <f t="shared" si="0"/>
        <v>51</v>
      </c>
      <c r="B53" s="44">
        <f xml:space="preserve"> 'ELR Chart'!$B133</f>
        <v>0.1875</v>
      </c>
      <c r="C53" s="44">
        <f xml:space="preserve"> 'ELR Chart'!$B213</f>
        <v>0.46875</v>
      </c>
      <c r="D53" s="44">
        <f xml:space="preserve"> 'ELR Chart'!$B293</f>
        <v>0.46875</v>
      </c>
      <c r="E53" s="44">
        <f xml:space="preserve"> 'ELR Chart'!$B373</f>
        <v>0.15625</v>
      </c>
      <c r="F53" s="44">
        <f xml:space="preserve"> 'ELR Chart'!$B453</f>
        <v>0</v>
      </c>
    </row>
    <row r="54" spans="1:6" x14ac:dyDescent="0.3">
      <c r="A54" s="42">
        <f t="shared" si="0"/>
        <v>52</v>
      </c>
      <c r="B54" s="44">
        <f xml:space="preserve"> 'ELR Chart'!$B134</f>
        <v>0.65625</v>
      </c>
      <c r="C54" s="44">
        <f xml:space="preserve"> 'ELR Chart'!$B214</f>
        <v>0.5</v>
      </c>
      <c r="D54" s="44">
        <f xml:space="preserve"> 'ELR Chart'!$B294</f>
        <v>0.625</v>
      </c>
      <c r="E54" s="44">
        <f xml:space="preserve"> 'ELR Chart'!$B374</f>
        <v>0.15625</v>
      </c>
      <c r="F54" s="44">
        <f xml:space="preserve"> 'ELR Chart'!$B454</f>
        <v>0</v>
      </c>
    </row>
    <row r="55" spans="1:6" x14ac:dyDescent="0.3">
      <c r="A55" s="42">
        <f t="shared" si="0"/>
        <v>53</v>
      </c>
      <c r="B55" s="44">
        <f xml:space="preserve"> 'ELR Chart'!$B135</f>
        <v>0.375</v>
      </c>
      <c r="C55" s="44">
        <f xml:space="preserve"> 'ELR Chart'!$B215</f>
        <v>0.40625</v>
      </c>
      <c r="D55" s="44">
        <f xml:space="preserve"> 'ELR Chart'!$B295</f>
        <v>0.65625</v>
      </c>
      <c r="E55" s="44">
        <f xml:space="preserve"> 'ELR Chart'!$B375</f>
        <v>3.125E-2</v>
      </c>
      <c r="F55" s="44">
        <f xml:space="preserve"> 'ELR Chart'!$B455</f>
        <v>3.125E-2</v>
      </c>
    </row>
    <row r="56" spans="1:6" x14ac:dyDescent="0.3">
      <c r="A56" s="42">
        <f t="shared" si="0"/>
        <v>54</v>
      </c>
      <c r="B56" s="44">
        <f xml:space="preserve"> 'ELR Chart'!$B136</f>
        <v>0.28125</v>
      </c>
      <c r="C56" s="44">
        <f xml:space="preserve"> 'ELR Chart'!$B216</f>
        <v>0.59375</v>
      </c>
      <c r="D56" s="44">
        <f xml:space="preserve"> 'ELR Chart'!$B296</f>
        <v>0.40625</v>
      </c>
      <c r="E56" s="44">
        <f xml:space="preserve"> 'ELR Chart'!$B376</f>
        <v>0.1875</v>
      </c>
      <c r="F56" s="44">
        <f xml:space="preserve"> 'ELR Chart'!$B456</f>
        <v>3.125E-2</v>
      </c>
    </row>
    <row r="57" spans="1:6" x14ac:dyDescent="0.3">
      <c r="A57" s="42">
        <f t="shared" si="0"/>
        <v>55</v>
      </c>
      <c r="B57" s="44">
        <f xml:space="preserve"> 'ELR Chart'!$B137</f>
        <v>0.5625</v>
      </c>
      <c r="C57" s="44">
        <f xml:space="preserve"> 'ELR Chart'!$B217</f>
        <v>0.59375</v>
      </c>
      <c r="D57" s="44">
        <f xml:space="preserve"> 'ELR Chart'!$B297</f>
        <v>0.625</v>
      </c>
      <c r="E57" s="44">
        <f xml:space="preserve"> 'ELR Chart'!$B377</f>
        <v>0.125</v>
      </c>
      <c r="F57" s="44">
        <f xml:space="preserve"> 'ELR Chart'!$B457</f>
        <v>0</v>
      </c>
    </row>
    <row r="58" spans="1:6" x14ac:dyDescent="0.3">
      <c r="A58" s="42">
        <f t="shared" si="0"/>
        <v>56</v>
      </c>
      <c r="B58" s="44">
        <f xml:space="preserve"> 'ELR Chart'!$B138</f>
        <v>0.34375</v>
      </c>
      <c r="C58" s="44">
        <f xml:space="preserve"> 'ELR Chart'!$B218</f>
        <v>0.40625</v>
      </c>
      <c r="D58" s="44">
        <f xml:space="preserve"> 'ELR Chart'!$B298</f>
        <v>0.59375</v>
      </c>
      <c r="E58" s="44">
        <f xml:space="preserve"> 'ELR Chart'!$B378</f>
        <v>0.15625</v>
      </c>
      <c r="F58" s="44">
        <f xml:space="preserve"> 'ELR Chart'!$B458</f>
        <v>0</v>
      </c>
    </row>
    <row r="59" spans="1:6" x14ac:dyDescent="0.3">
      <c r="A59" s="42">
        <f t="shared" si="0"/>
        <v>57</v>
      </c>
      <c r="B59" s="44">
        <f xml:space="preserve"> 'ELR Chart'!$B139</f>
        <v>0.46875</v>
      </c>
      <c r="C59" s="44">
        <f xml:space="preserve"> 'ELR Chart'!$B219</f>
        <v>0.53125</v>
      </c>
      <c r="D59" s="44">
        <f xml:space="preserve"> 'ELR Chart'!$B299</f>
        <v>0.65625</v>
      </c>
      <c r="E59" s="44">
        <f xml:space="preserve"> 'ELR Chart'!$B379</f>
        <v>0.125</v>
      </c>
      <c r="F59" s="44">
        <f xml:space="preserve"> 'ELR Chart'!$B459</f>
        <v>0</v>
      </c>
    </row>
    <row r="60" spans="1:6" x14ac:dyDescent="0.3">
      <c r="A60" s="42">
        <f t="shared" si="0"/>
        <v>58</v>
      </c>
      <c r="B60" s="44">
        <f xml:space="preserve"> 'ELR Chart'!$B140</f>
        <v>0.5</v>
      </c>
      <c r="C60" s="44">
        <f xml:space="preserve"> 'ELR Chart'!$B220</f>
        <v>0.5</v>
      </c>
      <c r="D60" s="44">
        <f xml:space="preserve"> 'ELR Chart'!$B300</f>
        <v>0.58064516129032262</v>
      </c>
      <c r="E60" s="44">
        <f xml:space="preserve"> 'ELR Chart'!$B380</f>
        <v>9.375E-2</v>
      </c>
      <c r="F60" s="44">
        <f xml:space="preserve"> 'ELR Chart'!$B460</f>
        <v>0</v>
      </c>
    </row>
    <row r="61" spans="1:6" x14ac:dyDescent="0.3">
      <c r="A61" s="56">
        <f t="shared" si="0"/>
        <v>59</v>
      </c>
      <c r="B61" s="57">
        <f xml:space="preserve"> 'ELR Chart'!$B141</f>
        <v>0.34375</v>
      </c>
      <c r="C61" s="57">
        <f xml:space="preserve"> 'ELR Chart'!$B221</f>
        <v>0.5</v>
      </c>
      <c r="D61" s="57">
        <f xml:space="preserve"> 'ELR Chart'!$B301</f>
        <v>0.64516129032258063</v>
      </c>
      <c r="E61" s="57">
        <f xml:space="preserve"> 'ELR Chart'!$B381</f>
        <v>0.125</v>
      </c>
      <c r="F61" s="57">
        <f xml:space="preserve"> 'ELR Chart'!$B461</f>
        <v>0</v>
      </c>
    </row>
    <row r="62" spans="1:6" x14ac:dyDescent="0.3">
      <c r="A62" s="42">
        <f t="shared" si="0"/>
        <v>60</v>
      </c>
      <c r="B62" s="44">
        <f xml:space="preserve"> 'ELR Chart'!$B142</f>
        <v>0.40625</v>
      </c>
      <c r="C62" s="44">
        <f xml:space="preserve"> 'ELR Chart'!$B222</f>
        <v>0.5</v>
      </c>
      <c r="D62" s="44">
        <f xml:space="preserve"> 'ELR Chart'!$B302</f>
        <v>0.67741935483870963</v>
      </c>
      <c r="E62" s="44">
        <f xml:space="preserve"> 'ELR Chart'!$B382</f>
        <v>6.25E-2</v>
      </c>
      <c r="F62" s="44">
        <f xml:space="preserve"> 'ELR Chart'!$B462</f>
        <v>0</v>
      </c>
    </row>
    <row r="63" spans="1:6" x14ac:dyDescent="0.3">
      <c r="A63" s="42">
        <f t="shared" si="0"/>
        <v>61</v>
      </c>
      <c r="B63" s="44">
        <f xml:space="preserve"> 'ELR Chart'!$B143</f>
        <v>0.28125</v>
      </c>
      <c r="C63" s="44">
        <f xml:space="preserve"> 'ELR Chart'!$B223</f>
        <v>0.375</v>
      </c>
      <c r="D63" s="44">
        <f xml:space="preserve"> 'ELR Chart'!$B303</f>
        <v>0.54838709677419351</v>
      </c>
      <c r="E63" s="44">
        <f xml:space="preserve"> 'ELR Chart'!$B383</f>
        <v>0.1875</v>
      </c>
      <c r="F63" s="44">
        <f xml:space="preserve"> 'ELR Chart'!$B463</f>
        <v>0</v>
      </c>
    </row>
    <row r="64" spans="1:6" x14ac:dyDescent="0.3">
      <c r="A64" s="42">
        <f t="shared" si="0"/>
        <v>62</v>
      </c>
      <c r="B64" s="44">
        <f xml:space="preserve"> 'ELR Chart'!$B144</f>
        <v>0.5625</v>
      </c>
      <c r="C64" s="44">
        <f xml:space="preserve"> 'ELR Chart'!$B224</f>
        <v>0.53125</v>
      </c>
      <c r="D64" s="44">
        <f xml:space="preserve"> 'ELR Chart'!$B304</f>
        <v>0.54838709677419351</v>
      </c>
      <c r="E64" s="44">
        <f xml:space="preserve"> 'ELR Chart'!$B384</f>
        <v>0.125</v>
      </c>
      <c r="F64" s="44">
        <f xml:space="preserve"> 'ELR Chart'!$B464</f>
        <v>3.125E-2</v>
      </c>
    </row>
    <row r="65" spans="1:6" x14ac:dyDescent="0.3">
      <c r="A65" s="42">
        <f t="shared" si="0"/>
        <v>63</v>
      </c>
      <c r="B65" s="44">
        <f xml:space="preserve"> 'ELR Chart'!$B145</f>
        <v>0.4375</v>
      </c>
      <c r="C65" s="44">
        <f xml:space="preserve"> 'ELR Chart'!$B225</f>
        <v>0.53125</v>
      </c>
      <c r="D65" s="44">
        <f xml:space="preserve"> 'ELR Chart'!$B305</f>
        <v>0.70967741935483875</v>
      </c>
      <c r="E65" s="44">
        <f xml:space="preserve"> 'ELR Chart'!$B385</f>
        <v>0</v>
      </c>
      <c r="F65" s="44">
        <f xml:space="preserve"> 'ELR Chart'!$B465</f>
        <v>0</v>
      </c>
    </row>
    <row r="66" spans="1:6" x14ac:dyDescent="0.3">
      <c r="A66" s="42">
        <f t="shared" si="0"/>
        <v>64</v>
      </c>
      <c r="B66" s="44">
        <f xml:space="preserve"> 'ELR Chart'!$B146</f>
        <v>0.21875</v>
      </c>
      <c r="C66" s="44">
        <f xml:space="preserve"> 'ELR Chart'!$B226</f>
        <v>0.34375</v>
      </c>
      <c r="D66" s="44">
        <f xml:space="preserve"> 'ELR Chart'!$B306</f>
        <v>0.54838709677419351</v>
      </c>
      <c r="E66" s="44">
        <f xml:space="preserve"> 'ELR Chart'!$B386</f>
        <v>9.375E-2</v>
      </c>
      <c r="F66" s="44">
        <f xml:space="preserve"> 'ELR Chart'!$B466</f>
        <v>3.125E-2</v>
      </c>
    </row>
    <row r="67" spans="1:6" x14ac:dyDescent="0.3">
      <c r="A67" s="42">
        <f t="shared" si="0"/>
        <v>65</v>
      </c>
      <c r="B67" s="44">
        <f xml:space="preserve"> 'ELR Chart'!$B147</f>
        <v>0.28125</v>
      </c>
      <c r="C67" s="44">
        <f xml:space="preserve"> 'ELR Chart'!$B227</f>
        <v>0.4375</v>
      </c>
      <c r="D67" s="44">
        <f xml:space="preserve"> 'ELR Chart'!$B307</f>
        <v>0.54838709677419351</v>
      </c>
      <c r="E67" s="44">
        <f xml:space="preserve"> 'ELR Chart'!$B387</f>
        <v>6.25E-2</v>
      </c>
      <c r="F67" s="44">
        <f xml:space="preserve"> 'ELR Chart'!$B467</f>
        <v>0</v>
      </c>
    </row>
    <row r="68" spans="1:6" x14ac:dyDescent="0.3">
      <c r="A68" s="42">
        <f t="shared" si="0"/>
        <v>66</v>
      </c>
      <c r="B68" s="44">
        <f xml:space="preserve"> 'ELR Chart'!$B148</f>
        <v>0.71875</v>
      </c>
      <c r="C68" s="44">
        <f xml:space="preserve"> 'ELR Chart'!$B228</f>
        <v>0.53125</v>
      </c>
      <c r="D68" s="44">
        <f xml:space="preserve"> 'ELR Chart'!$B308</f>
        <v>0.54838709677419351</v>
      </c>
      <c r="E68" s="44">
        <f xml:space="preserve"> 'ELR Chart'!$B388</f>
        <v>9.375E-2</v>
      </c>
      <c r="F68" s="44">
        <f xml:space="preserve"> 'ELR Chart'!$B468</f>
        <v>3.125E-2</v>
      </c>
    </row>
    <row r="69" spans="1:6" x14ac:dyDescent="0.3">
      <c r="A69" s="42">
        <f t="shared" ref="A69:A74" si="1" xml:space="preserve"> A68 + 1</f>
        <v>67</v>
      </c>
      <c r="B69" s="44">
        <f xml:space="preserve"> 'ELR Chart'!$B149</f>
        <v>0.625</v>
      </c>
      <c r="C69" s="44">
        <f xml:space="preserve"> 'ELR Chart'!$B229</f>
        <v>0.5625</v>
      </c>
      <c r="D69" s="44">
        <f xml:space="preserve"> 'ELR Chart'!$B309</f>
        <v>0.67741935483870963</v>
      </c>
      <c r="E69" s="44">
        <f xml:space="preserve"> 'ELR Chart'!$B389</f>
        <v>3.125E-2</v>
      </c>
      <c r="F69" s="44">
        <f xml:space="preserve"> 'ELR Chart'!$B469</f>
        <v>0</v>
      </c>
    </row>
    <row r="70" spans="1:6" x14ac:dyDescent="0.3">
      <c r="A70" s="42">
        <f t="shared" si="1"/>
        <v>68</v>
      </c>
      <c r="B70" s="44">
        <f xml:space="preserve"> 'ELR Chart'!$B150</f>
        <v>0.5625</v>
      </c>
      <c r="C70" s="44">
        <f xml:space="preserve"> 'ELR Chart'!$B230</f>
        <v>0.375</v>
      </c>
      <c r="D70" s="44">
        <f xml:space="preserve"> 'ELR Chart'!$B310</f>
        <v>0.64516129032258063</v>
      </c>
      <c r="E70" s="44">
        <f xml:space="preserve"> 'ELR Chart'!$B390</f>
        <v>0.15625</v>
      </c>
      <c r="F70" s="44">
        <f xml:space="preserve"> 'ELR Chart'!$B470</f>
        <v>0</v>
      </c>
    </row>
    <row r="71" spans="1:6" x14ac:dyDescent="0.3">
      <c r="A71" s="42">
        <f t="shared" si="1"/>
        <v>69</v>
      </c>
      <c r="B71" s="44">
        <f xml:space="preserve"> 'ELR Chart'!$B151</f>
        <v>0.5</v>
      </c>
      <c r="C71" s="44">
        <f xml:space="preserve"> 'ELR Chart'!$B231</f>
        <v>0.375</v>
      </c>
      <c r="D71" s="44">
        <f xml:space="preserve"> 'ELR Chart'!$B311</f>
        <v>0.67741935483870963</v>
      </c>
      <c r="E71" s="44">
        <f xml:space="preserve"> 'ELR Chart'!$B391</f>
        <v>0.125</v>
      </c>
      <c r="F71" s="44">
        <f xml:space="preserve"> 'ELR Chart'!$B471</f>
        <v>0</v>
      </c>
    </row>
    <row r="72" spans="1:6" x14ac:dyDescent="0.3">
      <c r="A72" s="42">
        <f t="shared" si="1"/>
        <v>70</v>
      </c>
      <c r="B72" s="44">
        <f xml:space="preserve"> 'ELR Chart'!$B152</f>
        <v>0.65625</v>
      </c>
      <c r="C72" s="44">
        <f xml:space="preserve"> 'ELR Chart'!$B232</f>
        <v>0.46875</v>
      </c>
      <c r="D72" s="44">
        <f xml:space="preserve"> 'ELR Chart'!$B312</f>
        <v>0.70967741935483875</v>
      </c>
      <c r="E72" s="44">
        <f xml:space="preserve"> 'ELR Chart'!$B392</f>
        <v>0.15625</v>
      </c>
      <c r="F72" s="44">
        <f xml:space="preserve"> 'ELR Chart'!$B472</f>
        <v>0</v>
      </c>
    </row>
    <row r="73" spans="1:6" x14ac:dyDescent="0.3">
      <c r="A73" s="56">
        <f t="shared" si="1"/>
        <v>71</v>
      </c>
      <c r="B73" s="57">
        <f xml:space="preserve"> 'ELR Chart'!$B153</f>
        <v>0.40625</v>
      </c>
      <c r="C73" s="57">
        <f xml:space="preserve"> 'ELR Chart'!$B233</f>
        <v>0.3125</v>
      </c>
      <c r="D73" s="57">
        <f xml:space="preserve"> 'ELR Chart'!$B313</f>
        <v>0.70967741935483875</v>
      </c>
      <c r="E73" s="57">
        <f xml:space="preserve"> 'ELR Chart'!$B393</f>
        <v>0.125</v>
      </c>
      <c r="F73" s="57">
        <f xml:space="preserve"> 'ELR Chart'!$B473</f>
        <v>0</v>
      </c>
    </row>
    <row r="74" spans="1:6" x14ac:dyDescent="0.3">
      <c r="A74" s="42">
        <f t="shared" si="1"/>
        <v>72</v>
      </c>
      <c r="B74" s="44">
        <f xml:space="preserve"> 'ELR Chart'!$B154</f>
        <v>0.5625</v>
      </c>
      <c r="C74" s="44">
        <f xml:space="preserve"> 'ELR Chart'!$B234</f>
        <v>0.5</v>
      </c>
      <c r="D74" s="44">
        <f xml:space="preserve"> 'ELR Chart'!$B314</f>
        <v>0.61290322580645162</v>
      </c>
      <c r="E74" s="44">
        <f xml:space="preserve"> 'ELR Chart'!$B394</f>
        <v>0.1875</v>
      </c>
      <c r="F74" s="44">
        <f xml:space="preserve"> 'ELR Chart'!$B474</f>
        <v>6.25E-2</v>
      </c>
    </row>
    <row r="76" spans="1:6" x14ac:dyDescent="0.3">
      <c r="A76" s="70" t="s">
        <v>179</v>
      </c>
      <c r="B76" s="70"/>
    </row>
    <row r="177" spans="1:1" x14ac:dyDescent="0.3">
      <c r="A177" s="42" t="s">
        <v>183</v>
      </c>
    </row>
  </sheetData>
  <mergeCells count="1">
    <mergeCell ref="A76:B7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5"/>
  <sheetViews>
    <sheetView topLeftCell="A207" workbookViewId="0">
      <selection activeCell="S168" sqref="S168"/>
    </sheetView>
  </sheetViews>
  <sheetFormatPr defaultRowHeight="14.4" x14ac:dyDescent="0.3"/>
  <cols>
    <col min="1" max="20" width="7.6640625" customWidth="1"/>
  </cols>
  <sheetData>
    <row r="1" spans="1:16" s="14" customFormat="1" x14ac:dyDescent="0.3"/>
    <row r="2" spans="1:16" x14ac:dyDescent="0.3">
      <c r="A2" t="s">
        <v>14</v>
      </c>
      <c r="B2" t="s">
        <v>1</v>
      </c>
      <c r="C2" t="s">
        <v>2</v>
      </c>
    </row>
    <row r="3" spans="1:16" x14ac:dyDescent="0.3">
      <c r="A3" t="s">
        <v>3</v>
      </c>
      <c r="B3">
        <f>6856+5349</f>
        <v>12205</v>
      </c>
      <c r="C3">
        <f>7774+3141</f>
        <v>10915</v>
      </c>
      <c r="D3">
        <f>B3+C3</f>
        <v>23120</v>
      </c>
      <c r="E3" s="16">
        <f>(B3/D3)</f>
        <v>0.52789792387543255</v>
      </c>
      <c r="F3" s="16">
        <f>C3/D3</f>
        <v>0.47210207612456745</v>
      </c>
    </row>
    <row r="4" spans="1:16" x14ac:dyDescent="0.3">
      <c r="A4" t="s">
        <v>4</v>
      </c>
      <c r="B4">
        <f>14140+1702</f>
        <v>15842</v>
      </c>
      <c r="C4">
        <f>6822+456</f>
        <v>7278</v>
      </c>
      <c r="D4">
        <f t="shared" ref="D4:D6" si="0">B4+C4</f>
        <v>23120</v>
      </c>
      <c r="E4" s="16">
        <f>(B4/D4)</f>
        <v>0.68520761245674744</v>
      </c>
      <c r="F4" s="16">
        <f t="shared" ref="F4:F6" si="1">C4/D4</f>
        <v>0.31479238754325262</v>
      </c>
    </row>
    <row r="5" spans="1:16" x14ac:dyDescent="0.3">
      <c r="A5" t="s">
        <v>0</v>
      </c>
      <c r="B5">
        <f>5813+5076</f>
        <v>10889</v>
      </c>
      <c r="C5">
        <f>10374+1857</f>
        <v>12231</v>
      </c>
      <c r="D5">
        <f t="shared" si="0"/>
        <v>23120</v>
      </c>
      <c r="E5" s="16">
        <f t="shared" ref="E5:E6" si="2">(B5/D5)</f>
        <v>0.47097750865051902</v>
      </c>
      <c r="F5" s="16">
        <f t="shared" si="1"/>
        <v>0.52902249134948098</v>
      </c>
    </row>
    <row r="6" spans="1:16" x14ac:dyDescent="0.3">
      <c r="A6" t="s">
        <v>5</v>
      </c>
      <c r="B6">
        <f>17960+6</f>
        <v>17966</v>
      </c>
      <c r="C6">
        <f>5154+0</f>
        <v>5154</v>
      </c>
      <c r="D6">
        <f t="shared" si="0"/>
        <v>23120</v>
      </c>
      <c r="E6" s="16">
        <f t="shared" si="2"/>
        <v>0.7770761245674741</v>
      </c>
      <c r="F6" s="16">
        <f t="shared" si="1"/>
        <v>0.22292387543252595</v>
      </c>
    </row>
    <row r="7" spans="1:16" ht="15" thickBot="1" x14ac:dyDescent="0.35"/>
    <row r="8" spans="1:16" ht="15" thickBot="1" x14ac:dyDescent="0.35">
      <c r="A8" s="61"/>
      <c r="B8" s="63" t="s">
        <v>12</v>
      </c>
      <c r="C8" s="64"/>
      <c r="D8" s="64"/>
      <c r="E8" s="64"/>
      <c r="F8" s="65"/>
      <c r="G8" s="63" t="s">
        <v>11</v>
      </c>
      <c r="H8" s="64"/>
      <c r="I8" s="64"/>
      <c r="J8" s="64"/>
      <c r="K8" s="65"/>
      <c r="L8" s="63" t="s">
        <v>13</v>
      </c>
      <c r="M8" s="64"/>
      <c r="N8" s="64"/>
      <c r="O8" s="64"/>
      <c r="P8" s="65"/>
    </row>
    <row r="9" spans="1:16" ht="15" thickBot="1" x14ac:dyDescent="0.35">
      <c r="A9" s="62"/>
      <c r="B9" s="9" t="s">
        <v>6</v>
      </c>
      <c r="C9" s="10" t="s">
        <v>7</v>
      </c>
      <c r="D9" s="7" t="s">
        <v>8</v>
      </c>
      <c r="E9" s="7" t="s">
        <v>9</v>
      </c>
      <c r="F9" s="8" t="s">
        <v>10</v>
      </c>
      <c r="G9" s="9" t="s">
        <v>6</v>
      </c>
      <c r="H9" s="10" t="s">
        <v>7</v>
      </c>
      <c r="I9" s="7" t="s">
        <v>8</v>
      </c>
      <c r="J9" s="7" t="s">
        <v>9</v>
      </c>
      <c r="K9" s="8" t="s">
        <v>10</v>
      </c>
      <c r="L9" s="9" t="s">
        <v>6</v>
      </c>
      <c r="M9" s="10" t="s">
        <v>7</v>
      </c>
      <c r="N9" s="7" t="s">
        <v>8</v>
      </c>
      <c r="O9" s="7" t="s">
        <v>9</v>
      </c>
      <c r="P9" s="8" t="s">
        <v>10</v>
      </c>
    </row>
    <row r="10" spans="1:16" x14ac:dyDescent="0.3">
      <c r="A10" s="11" t="s">
        <v>3</v>
      </c>
      <c r="B10" s="1"/>
      <c r="C10" s="2"/>
      <c r="D10" s="3"/>
      <c r="E10" s="24" t="e">
        <f>2*((C10*D10)/(C10+D10))</f>
        <v>#DIV/0!</v>
      </c>
      <c r="F10" s="4"/>
      <c r="G10" s="31">
        <v>43.24</v>
      </c>
      <c r="H10" s="24">
        <v>41.93</v>
      </c>
      <c r="I10" s="24">
        <v>42.48</v>
      </c>
      <c r="J10" s="24">
        <f>2*((H10*I10)/(H10+I10))</f>
        <v>42.203208150693044</v>
      </c>
      <c r="K10" s="36">
        <v>-0.152</v>
      </c>
      <c r="L10" s="31">
        <v>47.36</v>
      </c>
      <c r="M10" s="24">
        <v>47.49</v>
      </c>
      <c r="N10" s="24">
        <v>47.49</v>
      </c>
      <c r="O10" s="24">
        <f>2*((M10*N10)/(M10+N10))</f>
        <v>47.490000000000009</v>
      </c>
      <c r="P10" s="36">
        <v>-0.05</v>
      </c>
    </row>
    <row r="11" spans="1:16" x14ac:dyDescent="0.3">
      <c r="A11" s="12" t="s">
        <v>4</v>
      </c>
      <c r="B11" s="5"/>
      <c r="C11" s="3"/>
      <c r="D11" s="3"/>
      <c r="E11" s="24" t="e">
        <f t="shared" ref="E11:E13" si="3">2*((C11*D11)/(C11+D11))</f>
        <v>#DIV/0!</v>
      </c>
      <c r="F11" s="4"/>
      <c r="G11" s="31">
        <v>63.13</v>
      </c>
      <c r="H11" s="24">
        <v>44.29</v>
      </c>
      <c r="I11" s="24">
        <v>47.76</v>
      </c>
      <c r="J11" s="24">
        <f t="shared" ref="J11:J13" si="4">2*((H11*I11)/(H11+I11))</f>
        <v>45.959595871808801</v>
      </c>
      <c r="K11" s="36">
        <v>5.5E-2</v>
      </c>
      <c r="L11" s="31">
        <v>58.07</v>
      </c>
      <c r="M11" s="24">
        <v>43.34</v>
      </c>
      <c r="N11" s="24">
        <v>45.5</v>
      </c>
      <c r="O11" s="24">
        <f t="shared" ref="O11:O13" si="5">2*((M11*N11)/(M11+N11))</f>
        <v>44.393741557856828</v>
      </c>
      <c r="P11" s="36">
        <v>-0.10199999999999999</v>
      </c>
    </row>
    <row r="12" spans="1:16" x14ac:dyDescent="0.3">
      <c r="A12" s="12" t="s">
        <v>0</v>
      </c>
      <c r="B12" s="5"/>
      <c r="C12" s="3"/>
      <c r="D12" s="3"/>
      <c r="E12" s="24" t="e">
        <f t="shared" si="3"/>
        <v>#DIV/0!</v>
      </c>
      <c r="F12" s="4"/>
      <c r="G12" s="31">
        <v>33.17</v>
      </c>
      <c r="H12" s="24">
        <v>31.35</v>
      </c>
      <c r="I12" s="24">
        <v>34.28</v>
      </c>
      <c r="J12" s="24">
        <f t="shared" si="4"/>
        <v>32.749596221240289</v>
      </c>
      <c r="K12" s="36">
        <v>-0.30599999999999999</v>
      </c>
      <c r="L12" s="31">
        <v>46.99</v>
      </c>
      <c r="M12" s="24">
        <v>46.95</v>
      </c>
      <c r="N12" s="24">
        <v>46.94</v>
      </c>
      <c r="O12" s="24">
        <f t="shared" si="5"/>
        <v>46.944999467461926</v>
      </c>
      <c r="P12" s="36">
        <v>-6.0999999999999999E-2</v>
      </c>
    </row>
    <row r="13" spans="1:16" ht="15" thickBot="1" x14ac:dyDescent="0.35">
      <c r="A13" s="13" t="s">
        <v>5</v>
      </c>
      <c r="B13" s="6"/>
      <c r="C13" s="7"/>
      <c r="D13" s="7"/>
      <c r="E13" s="25" t="e">
        <f t="shared" si="3"/>
        <v>#DIV/0!</v>
      </c>
      <c r="F13" s="8"/>
      <c r="G13" s="33">
        <v>77.680000000000007</v>
      </c>
      <c r="H13" s="25">
        <v>38.85</v>
      </c>
      <c r="I13" s="25">
        <v>49.98</v>
      </c>
      <c r="J13" s="25">
        <f t="shared" si="4"/>
        <v>43.717730496453903</v>
      </c>
      <c r="K13" s="37">
        <v>-1E-3</v>
      </c>
      <c r="L13" s="33">
        <v>70.17</v>
      </c>
      <c r="M13" s="25">
        <v>45.74</v>
      </c>
      <c r="N13" s="25">
        <v>47.66</v>
      </c>
      <c r="O13" s="25">
        <f t="shared" si="5"/>
        <v>46.680265524625263</v>
      </c>
      <c r="P13" s="37">
        <v>-5.8000000000000003E-2</v>
      </c>
    </row>
    <row r="15" spans="1:16" s="14" customFormat="1" x14ac:dyDescent="0.3"/>
    <row r="16" spans="1:16" x14ac:dyDescent="0.3">
      <c r="A16" t="s">
        <v>15</v>
      </c>
      <c r="B16" t="s">
        <v>1</v>
      </c>
      <c r="C16" t="s">
        <v>2</v>
      </c>
    </row>
    <row r="17" spans="1:16" x14ac:dyDescent="0.3">
      <c r="A17" t="s">
        <v>3</v>
      </c>
      <c r="B17">
        <f>9665+3763</f>
        <v>13428</v>
      </c>
      <c r="C17">
        <f>7007+1408</f>
        <v>8415</v>
      </c>
      <c r="D17">
        <f>B17+C17</f>
        <v>21843</v>
      </c>
      <c r="E17" s="16">
        <f>(B17/D17)</f>
        <v>0.61475072105480022</v>
      </c>
      <c r="F17" s="16">
        <f>C17/D17</f>
        <v>0.38524927894519984</v>
      </c>
    </row>
    <row r="18" spans="1:16" x14ac:dyDescent="0.3">
      <c r="A18" t="s">
        <v>4</v>
      </c>
      <c r="B18">
        <f>6366+4248</f>
        <v>10614</v>
      </c>
      <c r="C18">
        <f>5464+5765</f>
        <v>11229</v>
      </c>
      <c r="D18">
        <f t="shared" ref="D18:D20" si="6">B18+C18</f>
        <v>21843</v>
      </c>
      <c r="E18" s="16">
        <f t="shared" ref="E18:E20" si="7">(B18/D18)</f>
        <v>0.48592226342535366</v>
      </c>
      <c r="F18" s="16">
        <f t="shared" ref="F18:F20" si="8">C18/D18</f>
        <v>0.51407773657464639</v>
      </c>
    </row>
    <row r="19" spans="1:16" x14ac:dyDescent="0.3">
      <c r="A19" t="s">
        <v>0</v>
      </c>
      <c r="B19">
        <f>1982+7619</f>
        <v>9601</v>
      </c>
      <c r="C19">
        <f>3465+8777</f>
        <v>12242</v>
      </c>
      <c r="D19">
        <f t="shared" si="6"/>
        <v>21843</v>
      </c>
      <c r="E19" s="16">
        <f t="shared" si="7"/>
        <v>0.43954584992903906</v>
      </c>
      <c r="F19" s="16">
        <f t="shared" si="8"/>
        <v>0.560454150070961</v>
      </c>
    </row>
    <row r="20" spans="1:16" x14ac:dyDescent="0.3">
      <c r="A20" t="s">
        <v>5</v>
      </c>
      <c r="B20">
        <f>10884+4385</f>
        <v>15269</v>
      </c>
      <c r="C20">
        <f>5891+683</f>
        <v>6574</v>
      </c>
      <c r="D20">
        <f t="shared" si="6"/>
        <v>21843</v>
      </c>
      <c r="E20" s="16">
        <f t="shared" si="7"/>
        <v>0.69903401547406496</v>
      </c>
      <c r="F20" s="16">
        <f t="shared" si="8"/>
        <v>0.30096598452593509</v>
      </c>
    </row>
    <row r="21" spans="1:16" ht="15" thickBot="1" x14ac:dyDescent="0.35"/>
    <row r="22" spans="1:16" ht="15" thickBot="1" x14ac:dyDescent="0.35">
      <c r="A22" s="61"/>
      <c r="B22" s="63" t="s">
        <v>12</v>
      </c>
      <c r="C22" s="64"/>
      <c r="D22" s="64"/>
      <c r="E22" s="64"/>
      <c r="F22" s="65"/>
      <c r="G22" s="63" t="s">
        <v>11</v>
      </c>
      <c r="H22" s="64"/>
      <c r="I22" s="64"/>
      <c r="J22" s="64"/>
      <c r="K22" s="65"/>
      <c r="L22" s="63" t="s">
        <v>13</v>
      </c>
      <c r="M22" s="64"/>
      <c r="N22" s="64"/>
      <c r="O22" s="64"/>
      <c r="P22" s="65"/>
    </row>
    <row r="23" spans="1:16" ht="15" thickBot="1" x14ac:dyDescent="0.35">
      <c r="A23" s="62"/>
      <c r="B23" s="9" t="s">
        <v>6</v>
      </c>
      <c r="C23" s="10" t="s">
        <v>7</v>
      </c>
      <c r="D23" s="7" t="s">
        <v>8</v>
      </c>
      <c r="E23" s="7" t="s">
        <v>9</v>
      </c>
      <c r="F23" s="8" t="s">
        <v>10</v>
      </c>
      <c r="G23" s="9" t="s">
        <v>6</v>
      </c>
      <c r="H23" s="10" t="s">
        <v>7</v>
      </c>
      <c r="I23" s="7" t="s">
        <v>8</v>
      </c>
      <c r="J23" s="7" t="s">
        <v>9</v>
      </c>
      <c r="K23" s="8" t="s">
        <v>10</v>
      </c>
      <c r="L23" s="9" t="s">
        <v>6</v>
      </c>
      <c r="M23" s="10" t="s">
        <v>7</v>
      </c>
      <c r="N23" s="7" t="s">
        <v>8</v>
      </c>
      <c r="O23" s="7" t="s">
        <v>9</v>
      </c>
      <c r="P23" s="8" t="s">
        <v>10</v>
      </c>
    </row>
    <row r="24" spans="1:16" x14ac:dyDescent="0.3">
      <c r="A24" s="11" t="s">
        <v>3</v>
      </c>
      <c r="B24" s="1"/>
      <c r="C24" s="2"/>
      <c r="D24" s="3"/>
      <c r="E24" s="24" t="e">
        <f>2*((C24*D24)/(C24+D24))</f>
        <v>#DIV/0!</v>
      </c>
      <c r="F24" s="4"/>
      <c r="G24" s="31">
        <v>50.69</v>
      </c>
      <c r="H24" s="24">
        <v>42.6</v>
      </c>
      <c r="I24" s="24">
        <v>44.35</v>
      </c>
      <c r="J24" s="24">
        <f>2*((H24*I24)/(H24+I24))</f>
        <v>43.457389304197818</v>
      </c>
      <c r="K24" s="36">
        <v>-0.122</v>
      </c>
      <c r="L24" s="31">
        <v>57.58</v>
      </c>
      <c r="M24" s="24">
        <v>46.61</v>
      </c>
      <c r="N24" s="24">
        <v>48.59</v>
      </c>
      <c r="O24" s="24">
        <f>2*((M24*N24)/(M24+N24))</f>
        <v>47.579409663865547</v>
      </c>
      <c r="P24" s="36">
        <v>-3.3000000000000002E-2</v>
      </c>
    </row>
    <row r="25" spans="1:16" x14ac:dyDescent="0.3">
      <c r="A25" s="12" t="s">
        <v>4</v>
      </c>
      <c r="B25" s="5"/>
      <c r="C25" s="3"/>
      <c r="D25" s="3"/>
      <c r="E25" s="24" t="e">
        <f t="shared" ref="E25:E27" si="9">2*((C25*D25)/(C25+D25))</f>
        <v>#DIV/0!</v>
      </c>
      <c r="F25" s="4"/>
      <c r="G25" s="31">
        <v>55.54</v>
      </c>
      <c r="H25" s="24">
        <v>55.69</v>
      </c>
      <c r="I25" s="24">
        <v>55.66</v>
      </c>
      <c r="J25" s="24">
        <f t="shared" ref="J25:J27" si="10">2*((H25*I25)/(H25+I25))</f>
        <v>55.674995958688818</v>
      </c>
      <c r="K25" s="36">
        <v>0.113</v>
      </c>
      <c r="L25" s="31">
        <v>62.97</v>
      </c>
      <c r="M25" s="24">
        <v>63.03</v>
      </c>
      <c r="N25" s="24">
        <v>62.78</v>
      </c>
      <c r="O25" s="24">
        <f t="shared" ref="O25:O27" si="11">2*((M25*N25)/(M25+N25))</f>
        <v>62.904751609569985</v>
      </c>
      <c r="P25" s="36">
        <v>0.25600000000000001</v>
      </c>
    </row>
    <row r="26" spans="1:16" x14ac:dyDescent="0.3">
      <c r="A26" s="12" t="s">
        <v>0</v>
      </c>
      <c r="B26" s="5"/>
      <c r="C26" s="3"/>
      <c r="D26" s="3"/>
      <c r="E26" s="24" t="e">
        <f t="shared" si="9"/>
        <v>#DIV/0!</v>
      </c>
      <c r="F26" s="4"/>
      <c r="G26" s="31">
        <v>49.26</v>
      </c>
      <c r="H26" s="24">
        <v>44.96</v>
      </c>
      <c r="I26" s="24">
        <v>46.17</v>
      </c>
      <c r="J26" s="24">
        <f t="shared" si="10"/>
        <v>45.556966970262273</v>
      </c>
      <c r="K26" s="36">
        <v>-0.08</v>
      </c>
      <c r="L26" s="31">
        <v>56.87</v>
      </c>
      <c r="M26" s="24">
        <v>57.02</v>
      </c>
      <c r="N26" s="24">
        <v>57.12</v>
      </c>
      <c r="O26" s="24">
        <f t="shared" si="11"/>
        <v>57.069956194147537</v>
      </c>
      <c r="P26" s="36">
        <v>0.14000000000000001</v>
      </c>
    </row>
    <row r="27" spans="1:16" ht="15" thickBot="1" x14ac:dyDescent="0.35">
      <c r="A27" s="13" t="s">
        <v>5</v>
      </c>
      <c r="B27" s="6"/>
      <c r="C27" s="7"/>
      <c r="D27" s="7"/>
      <c r="E27" s="25" t="e">
        <f t="shared" si="9"/>
        <v>#DIV/0!</v>
      </c>
      <c r="F27" s="8"/>
      <c r="G27" s="33">
        <v>52.96</v>
      </c>
      <c r="H27" s="25">
        <v>39.18</v>
      </c>
      <c r="I27" s="25">
        <v>40.840000000000003</v>
      </c>
      <c r="J27" s="25">
        <f t="shared" si="10"/>
        <v>39.992781804548862</v>
      </c>
      <c r="K27" s="37">
        <v>-0.19600000000000001</v>
      </c>
      <c r="L27" s="33">
        <v>66.87</v>
      </c>
      <c r="M27" s="25">
        <v>55.92</v>
      </c>
      <c r="N27" s="25">
        <v>53.65</v>
      </c>
      <c r="O27" s="25">
        <f t="shared" si="11"/>
        <v>54.761485808159172</v>
      </c>
      <c r="P27" s="37">
        <v>8.5000000000000006E-2</v>
      </c>
    </row>
    <row r="29" spans="1:16" s="14" customFormat="1" x14ac:dyDescent="0.3"/>
    <row r="30" spans="1:16" x14ac:dyDescent="0.3">
      <c r="A30" t="s">
        <v>16</v>
      </c>
      <c r="B30" t="s">
        <v>1</v>
      </c>
      <c r="C30" t="s">
        <v>2</v>
      </c>
    </row>
    <row r="31" spans="1:16" x14ac:dyDescent="0.3">
      <c r="A31" t="s">
        <v>3</v>
      </c>
      <c r="B31">
        <f>1228+5301</f>
        <v>6529</v>
      </c>
      <c r="C31">
        <f>1412+614</f>
        <v>2026</v>
      </c>
      <c r="D31">
        <f>B31+C31</f>
        <v>8555</v>
      </c>
      <c r="E31" s="16">
        <f>(B31/D31)</f>
        <v>0.76317942723553478</v>
      </c>
      <c r="F31" s="16">
        <f>C31/D31</f>
        <v>0.23682057276446522</v>
      </c>
    </row>
    <row r="32" spans="1:16" x14ac:dyDescent="0.3">
      <c r="A32" t="s">
        <v>4</v>
      </c>
      <c r="B32">
        <f>6836</f>
        <v>6836</v>
      </c>
      <c r="C32">
        <f>1719</f>
        <v>1719</v>
      </c>
      <c r="D32">
        <f t="shared" ref="D32:D34" si="12">B32+C32</f>
        <v>8555</v>
      </c>
      <c r="E32" s="16">
        <f t="shared" ref="E32:E34" si="13">(B32/D32)</f>
        <v>0.79906487434248974</v>
      </c>
      <c r="F32" s="16">
        <f>C32/D32</f>
        <v>0.20093512565751023</v>
      </c>
    </row>
    <row r="33" spans="1:16" x14ac:dyDescent="0.3">
      <c r="A33" t="s">
        <v>0</v>
      </c>
      <c r="B33">
        <f>6444</f>
        <v>6444</v>
      </c>
      <c r="C33">
        <f>2111</f>
        <v>2111</v>
      </c>
      <c r="D33">
        <f t="shared" si="12"/>
        <v>8555</v>
      </c>
      <c r="E33" s="16">
        <f t="shared" si="13"/>
        <v>0.75324371712448857</v>
      </c>
      <c r="F33" s="16">
        <f t="shared" ref="F33:F34" si="14">C33/D33</f>
        <v>0.24675628287551141</v>
      </c>
    </row>
    <row r="34" spans="1:16" x14ac:dyDescent="0.3">
      <c r="A34" t="s">
        <v>5</v>
      </c>
      <c r="B34">
        <f>7141</f>
        <v>7141</v>
      </c>
      <c r="C34">
        <f>1414</f>
        <v>1414</v>
      </c>
      <c r="D34">
        <f t="shared" si="12"/>
        <v>8555</v>
      </c>
      <c r="E34" s="16">
        <f t="shared" si="13"/>
        <v>0.83471654003506723</v>
      </c>
      <c r="F34" s="16">
        <f t="shared" si="14"/>
        <v>0.16528345996493279</v>
      </c>
    </row>
    <row r="35" spans="1:16" ht="15" thickBot="1" x14ac:dyDescent="0.35"/>
    <row r="36" spans="1:16" ht="15" thickBot="1" x14ac:dyDescent="0.35">
      <c r="A36" s="61"/>
      <c r="B36" s="63" t="s">
        <v>12</v>
      </c>
      <c r="C36" s="64"/>
      <c r="D36" s="64"/>
      <c r="E36" s="64"/>
      <c r="F36" s="65"/>
      <c r="G36" s="63" t="s">
        <v>11</v>
      </c>
      <c r="H36" s="64"/>
      <c r="I36" s="64"/>
      <c r="J36" s="64"/>
      <c r="K36" s="65"/>
      <c r="L36" s="63" t="s">
        <v>13</v>
      </c>
      <c r="M36" s="64"/>
      <c r="N36" s="64"/>
      <c r="O36" s="64"/>
      <c r="P36" s="65"/>
    </row>
    <row r="37" spans="1:16" ht="15" thickBot="1" x14ac:dyDescent="0.35">
      <c r="A37" s="62"/>
      <c r="B37" s="9" t="s">
        <v>6</v>
      </c>
      <c r="C37" s="10" t="s">
        <v>7</v>
      </c>
      <c r="D37" s="7" t="s">
        <v>8</v>
      </c>
      <c r="E37" s="7" t="s">
        <v>9</v>
      </c>
      <c r="F37" s="8" t="s">
        <v>10</v>
      </c>
      <c r="G37" s="9" t="s">
        <v>6</v>
      </c>
      <c r="H37" s="10" t="s">
        <v>7</v>
      </c>
      <c r="I37" s="7" t="s">
        <v>8</v>
      </c>
      <c r="J37" s="7" t="s">
        <v>9</v>
      </c>
      <c r="K37" s="8" t="s">
        <v>10</v>
      </c>
      <c r="L37" s="9" t="s">
        <v>6</v>
      </c>
      <c r="M37" s="10" t="s">
        <v>7</v>
      </c>
      <c r="N37" s="7" t="s">
        <v>8</v>
      </c>
      <c r="O37" s="7" t="s">
        <v>9</v>
      </c>
      <c r="P37" s="8" t="s">
        <v>10</v>
      </c>
    </row>
    <row r="38" spans="1:16" x14ac:dyDescent="0.3">
      <c r="A38" s="11" t="s">
        <v>3</v>
      </c>
      <c r="B38" s="1"/>
      <c r="C38" s="2"/>
      <c r="D38" s="3"/>
      <c r="E38" s="24" t="e">
        <f>2*((C38*D38)/(C38+D38))</f>
        <v>#DIV/0!</v>
      </c>
      <c r="F38" s="4"/>
      <c r="G38" s="31">
        <v>21.53</v>
      </c>
      <c r="H38" s="24">
        <v>28.45</v>
      </c>
      <c r="I38" s="24">
        <v>24.56</v>
      </c>
      <c r="J38" s="24">
        <f>2*((H38*I38)/(H38+I38))</f>
        <v>26.362271269571778</v>
      </c>
      <c r="K38" s="36">
        <v>-0.30599999999999999</v>
      </c>
      <c r="L38" s="31">
        <v>21.73</v>
      </c>
      <c r="M38" s="24">
        <v>28.63</v>
      </c>
      <c r="N38" s="24">
        <v>24.69</v>
      </c>
      <c r="O38" s="24">
        <f>2*((M38*N38)/(M38+N38))</f>
        <v>26.514429857464364</v>
      </c>
      <c r="P38" s="36">
        <v>-0.30499999999999999</v>
      </c>
    </row>
    <row r="39" spans="1:16" x14ac:dyDescent="0.3">
      <c r="A39" s="12" t="s">
        <v>4</v>
      </c>
      <c r="B39" s="5"/>
      <c r="C39" s="3"/>
      <c r="D39" s="3"/>
      <c r="E39" s="24" t="e">
        <f t="shared" ref="E39:E41" si="15">2*((C39*D39)/(C39+D39))</f>
        <v>#DIV/0!</v>
      </c>
      <c r="F39" s="4"/>
      <c r="G39" s="31">
        <v>79.91</v>
      </c>
      <c r="H39" s="24">
        <v>39.950000000000003</v>
      </c>
      <c r="I39" s="24">
        <v>50</v>
      </c>
      <c r="J39" s="24">
        <f t="shared" ref="J39:J41" si="16">2*((H39*I39)/(H39+I39))</f>
        <v>44.413563090605898</v>
      </c>
      <c r="K39" s="36">
        <v>0</v>
      </c>
      <c r="L39" s="31">
        <v>79.8</v>
      </c>
      <c r="M39" s="24">
        <v>44.49</v>
      </c>
      <c r="N39" s="24">
        <v>49.96</v>
      </c>
      <c r="O39" s="24">
        <f t="shared" ref="O39:O41" si="17">2*((M39*N39)/(M39+N39))</f>
        <v>47.066604552673375</v>
      </c>
      <c r="P39" s="36">
        <v>-1E-3</v>
      </c>
    </row>
    <row r="40" spans="1:16" x14ac:dyDescent="0.3">
      <c r="A40" s="12" t="s">
        <v>0</v>
      </c>
      <c r="B40" s="5"/>
      <c r="C40" s="3"/>
      <c r="D40" s="3"/>
      <c r="E40" s="24" t="e">
        <f t="shared" si="15"/>
        <v>#DIV/0!</v>
      </c>
      <c r="F40" s="4"/>
      <c r="G40" s="31">
        <v>75.319999999999993</v>
      </c>
      <c r="H40" s="24">
        <v>37.659999999999997</v>
      </c>
      <c r="I40" s="24">
        <v>50</v>
      </c>
      <c r="J40" s="24">
        <f t="shared" si="16"/>
        <v>42.961441934747889</v>
      </c>
      <c r="K40" s="36">
        <v>0</v>
      </c>
      <c r="L40" s="31">
        <v>74.97</v>
      </c>
      <c r="M40" s="24">
        <v>51.31</v>
      </c>
      <c r="N40" s="24">
        <v>50.05</v>
      </c>
      <c r="O40" s="24">
        <f t="shared" si="17"/>
        <v>50.672168508287299</v>
      </c>
      <c r="P40" s="36">
        <v>2E-3</v>
      </c>
    </row>
    <row r="41" spans="1:16" ht="15" thickBot="1" x14ac:dyDescent="0.35">
      <c r="A41" s="13" t="s">
        <v>5</v>
      </c>
      <c r="B41" s="6"/>
      <c r="C41" s="7"/>
      <c r="D41" s="7"/>
      <c r="E41" s="25" t="e">
        <f t="shared" si="15"/>
        <v>#DIV/0!</v>
      </c>
      <c r="F41" s="8"/>
      <c r="G41" s="33">
        <v>83.47</v>
      </c>
      <c r="H41" s="25">
        <v>41.74</v>
      </c>
      <c r="I41" s="25">
        <v>50</v>
      </c>
      <c r="J41" s="25">
        <f t="shared" si="16"/>
        <v>45.498146936995852</v>
      </c>
      <c r="K41" s="37">
        <v>0</v>
      </c>
      <c r="L41" s="33">
        <v>83.23</v>
      </c>
      <c r="M41" s="25">
        <v>45.72</v>
      </c>
      <c r="N41" s="25">
        <v>49.91</v>
      </c>
      <c r="O41" s="25">
        <f t="shared" si="17"/>
        <v>47.723208198264139</v>
      </c>
      <c r="P41" s="37">
        <v>-3.0000000000000001E-3</v>
      </c>
    </row>
    <row r="43" spans="1:16" s="14" customFormat="1" x14ac:dyDescent="0.3"/>
    <row r="44" spans="1:16" x14ac:dyDescent="0.3">
      <c r="A44" t="s">
        <v>17</v>
      </c>
      <c r="B44" t="s">
        <v>1</v>
      </c>
      <c r="C44" t="s">
        <v>2</v>
      </c>
    </row>
    <row r="45" spans="1:16" x14ac:dyDescent="0.3">
      <c r="A45" t="s">
        <v>3</v>
      </c>
      <c r="B45">
        <f>1432+1732</f>
        <v>3164</v>
      </c>
      <c r="C45">
        <f>4510+740</f>
        <v>5250</v>
      </c>
      <c r="D45">
        <f>B45+C45</f>
        <v>8414</v>
      </c>
      <c r="E45" s="16">
        <f>(B45/D45)</f>
        <v>0.37603993344425957</v>
      </c>
      <c r="F45" s="16">
        <f>C45/D45</f>
        <v>0.62396006655574043</v>
      </c>
    </row>
    <row r="46" spans="1:16" x14ac:dyDescent="0.3">
      <c r="A46" t="s">
        <v>4</v>
      </c>
      <c r="B46">
        <f>2160+1498</f>
        <v>3658</v>
      </c>
      <c r="C46">
        <f>3782+974</f>
        <v>4756</v>
      </c>
      <c r="D46">
        <f t="shared" ref="D46:D48" si="18">B46+C46</f>
        <v>8414</v>
      </c>
      <c r="E46" s="16">
        <f t="shared" ref="E46:E48" si="19">(B46/D46)</f>
        <v>0.43475160446874256</v>
      </c>
      <c r="F46" s="16">
        <f t="shared" ref="F46:F48" si="20">C46/D46</f>
        <v>0.56524839553125739</v>
      </c>
    </row>
    <row r="47" spans="1:16" x14ac:dyDescent="0.3">
      <c r="A47" t="s">
        <v>0</v>
      </c>
      <c r="B47">
        <f>686+1563</f>
        <v>2249</v>
      </c>
      <c r="C47">
        <f>5256+909</f>
        <v>6165</v>
      </c>
      <c r="D47">
        <f t="shared" si="18"/>
        <v>8414</v>
      </c>
      <c r="E47" s="16">
        <f t="shared" si="19"/>
        <v>0.2672926075588305</v>
      </c>
      <c r="F47" s="16">
        <f t="shared" si="20"/>
        <v>0.73270739244116945</v>
      </c>
    </row>
    <row r="48" spans="1:16" x14ac:dyDescent="0.3">
      <c r="A48" t="s">
        <v>5</v>
      </c>
      <c r="B48">
        <f>2757+1764</f>
        <v>4521</v>
      </c>
      <c r="C48">
        <f>3185+708</f>
        <v>3893</v>
      </c>
      <c r="D48">
        <f t="shared" si="18"/>
        <v>8414</v>
      </c>
      <c r="E48" s="16">
        <f t="shared" si="19"/>
        <v>0.53731875445685762</v>
      </c>
      <c r="F48" s="16">
        <f t="shared" si="20"/>
        <v>0.46268124554314238</v>
      </c>
    </row>
    <row r="49" spans="1:16" ht="15" thickBot="1" x14ac:dyDescent="0.35"/>
    <row r="50" spans="1:16" ht="15" thickBot="1" x14ac:dyDescent="0.35">
      <c r="A50" s="61"/>
      <c r="B50" s="63" t="s">
        <v>12</v>
      </c>
      <c r="C50" s="64"/>
      <c r="D50" s="64"/>
      <c r="E50" s="64"/>
      <c r="F50" s="65"/>
      <c r="G50" s="63" t="s">
        <v>11</v>
      </c>
      <c r="H50" s="64"/>
      <c r="I50" s="64"/>
      <c r="J50" s="64"/>
      <c r="K50" s="65"/>
      <c r="L50" s="63" t="s">
        <v>13</v>
      </c>
      <c r="M50" s="64"/>
      <c r="N50" s="64"/>
      <c r="O50" s="64"/>
      <c r="P50" s="65"/>
    </row>
    <row r="51" spans="1:16" ht="15" thickBot="1" x14ac:dyDescent="0.35">
      <c r="A51" s="62"/>
      <c r="B51" s="9" t="s">
        <v>6</v>
      </c>
      <c r="C51" s="10" t="s">
        <v>7</v>
      </c>
      <c r="D51" s="7" t="s">
        <v>8</v>
      </c>
      <c r="E51" s="7" t="s">
        <v>9</v>
      </c>
      <c r="F51" s="8" t="s">
        <v>10</v>
      </c>
      <c r="G51" s="9" t="s">
        <v>6</v>
      </c>
      <c r="H51" s="10" t="s">
        <v>7</v>
      </c>
      <c r="I51" s="7" t="s">
        <v>8</v>
      </c>
      <c r="J51" s="7" t="s">
        <v>9</v>
      </c>
      <c r="K51" s="8" t="s">
        <v>10</v>
      </c>
      <c r="L51" s="9" t="s">
        <v>6</v>
      </c>
      <c r="M51" s="10" t="s">
        <v>7</v>
      </c>
      <c r="N51" s="7" t="s">
        <v>8</v>
      </c>
      <c r="O51" s="7" t="s">
        <v>9</v>
      </c>
      <c r="P51" s="8" t="s">
        <v>10</v>
      </c>
    </row>
    <row r="52" spans="1:16" x14ac:dyDescent="0.3">
      <c r="A52" s="11" t="s">
        <v>3</v>
      </c>
      <c r="B52" s="1"/>
      <c r="C52" s="2"/>
      <c r="D52" s="3"/>
      <c r="E52" s="24" t="e">
        <f>2*((C52*D52)/(C52+D52))</f>
        <v>#DIV/0!</v>
      </c>
      <c r="F52" s="4"/>
      <c r="G52" s="31">
        <v>25.81</v>
      </c>
      <c r="H52" s="24">
        <v>27.02</v>
      </c>
      <c r="I52" s="24">
        <v>29.68</v>
      </c>
      <c r="J52" s="24">
        <f t="shared" ref="J52:J55" si="21">2*((H52*I52)/(H52+I52))</f>
        <v>28.287604938271603</v>
      </c>
      <c r="K52" s="36">
        <v>-0.34599999999999997</v>
      </c>
      <c r="L52" s="31">
        <v>61.94</v>
      </c>
      <c r="M52" s="24">
        <v>37.85</v>
      </c>
      <c r="N52" s="24">
        <v>49.68</v>
      </c>
      <c r="O52" s="24">
        <f>2*((M52*N52)/(M52+N52))</f>
        <v>42.965566091625732</v>
      </c>
      <c r="P52" s="36">
        <v>-8.0000000000000002E-3</v>
      </c>
    </row>
    <row r="53" spans="1:16" x14ac:dyDescent="0.3">
      <c r="A53" s="12" t="s">
        <v>4</v>
      </c>
      <c r="B53" s="5"/>
      <c r="C53" s="3"/>
      <c r="D53" s="3"/>
      <c r="E53" s="24" t="e">
        <f t="shared" ref="E53:E55" si="22">2*((C53*D53)/(C53+D53))</f>
        <v>#DIV/0!</v>
      </c>
      <c r="F53" s="4"/>
      <c r="G53" s="31">
        <v>37.25</v>
      </c>
      <c r="H53" s="24">
        <v>37.880000000000003</v>
      </c>
      <c r="I53" s="24">
        <v>39.76</v>
      </c>
      <c r="J53" s="24">
        <f t="shared" si="21"/>
        <v>38.79723853683668</v>
      </c>
      <c r="K53" s="36">
        <v>-0.191</v>
      </c>
      <c r="L53" s="31">
        <v>45.12</v>
      </c>
      <c r="M53" s="24">
        <v>44.18</v>
      </c>
      <c r="N53" s="24">
        <v>44.17</v>
      </c>
      <c r="O53" s="24">
        <f t="shared" ref="O53:O55" si="23">2*((M53*N53)/(M53+N53))</f>
        <v>44.174999434069051</v>
      </c>
      <c r="P53" s="36">
        <v>-0.11600000000000001</v>
      </c>
    </row>
    <row r="54" spans="1:16" x14ac:dyDescent="0.3">
      <c r="A54" s="12" t="s">
        <v>0</v>
      </c>
      <c r="B54" s="5"/>
      <c r="C54" s="3"/>
      <c r="D54" s="3"/>
      <c r="E54" s="24" t="e">
        <f t="shared" si="22"/>
        <v>#DIV/0!</v>
      </c>
      <c r="F54" s="4"/>
      <c r="G54" s="31">
        <v>18.96</v>
      </c>
      <c r="H54" s="24">
        <v>24.16</v>
      </c>
      <c r="I54" s="24">
        <v>22.62</v>
      </c>
      <c r="J54" s="24">
        <f t="shared" si="21"/>
        <v>23.364651560495936</v>
      </c>
      <c r="K54" s="36">
        <v>-0.36</v>
      </c>
      <c r="L54" s="31">
        <v>72.819999999999993</v>
      </c>
      <c r="M54" s="24">
        <v>42.59</v>
      </c>
      <c r="N54" s="24">
        <v>49.78</v>
      </c>
      <c r="O54" s="24">
        <f t="shared" si="23"/>
        <v>45.905168344700662</v>
      </c>
      <c r="P54" s="36">
        <v>-6.0000000000000001E-3</v>
      </c>
    </row>
    <row r="55" spans="1:16" ht="15" thickBot="1" x14ac:dyDescent="0.35">
      <c r="A55" s="13" t="s">
        <v>5</v>
      </c>
      <c r="B55" s="6"/>
      <c r="C55" s="7"/>
      <c r="D55" s="7"/>
      <c r="E55" s="25" t="e">
        <f t="shared" si="22"/>
        <v>#DIV/0!</v>
      </c>
      <c r="F55" s="8"/>
      <c r="G55" s="33">
        <v>41.18</v>
      </c>
      <c r="H55" s="25">
        <v>37.520000000000003</v>
      </c>
      <c r="I55" s="25">
        <v>39.58</v>
      </c>
      <c r="J55" s="25">
        <f t="shared" si="21"/>
        <v>38.522479896238657</v>
      </c>
      <c r="K55" s="37">
        <v>-0.214</v>
      </c>
      <c r="L55" s="33">
        <v>31.16</v>
      </c>
      <c r="M55" s="25">
        <v>31.34</v>
      </c>
      <c r="N55" s="25">
        <v>31.51</v>
      </c>
      <c r="O55" s="25">
        <f t="shared" si="23"/>
        <v>31.424770087509945</v>
      </c>
      <c r="P55" s="37">
        <v>-0.36499999999999999</v>
      </c>
    </row>
    <row r="57" spans="1:16" s="14" customFormat="1" x14ac:dyDescent="0.3"/>
    <row r="58" spans="1:16" x14ac:dyDescent="0.3">
      <c r="A58" t="s">
        <v>18</v>
      </c>
      <c r="B58" t="s">
        <v>1</v>
      </c>
      <c r="C58" t="s">
        <v>2</v>
      </c>
    </row>
    <row r="59" spans="1:16" x14ac:dyDescent="0.3">
      <c r="A59" t="s">
        <v>3</v>
      </c>
      <c r="B59">
        <f>4126</f>
        <v>4126</v>
      </c>
      <c r="C59">
        <f>4877</f>
        <v>4877</v>
      </c>
      <c r="D59">
        <f>B59+C59</f>
        <v>9003</v>
      </c>
      <c r="E59" s="16">
        <f>(B59/D59)</f>
        <v>0.45829168055092745</v>
      </c>
      <c r="F59" s="16">
        <f>C59/D59</f>
        <v>0.5417083194490725</v>
      </c>
    </row>
    <row r="60" spans="1:16" x14ac:dyDescent="0.3">
      <c r="A60" t="s">
        <v>4</v>
      </c>
      <c r="B60">
        <f>6436</f>
        <v>6436</v>
      </c>
      <c r="C60">
        <f>2567</f>
        <v>2567</v>
      </c>
      <c r="D60">
        <f t="shared" ref="D60:D62" si="24">B60+C60</f>
        <v>9003</v>
      </c>
      <c r="E60" s="16">
        <f t="shared" ref="E60:E62" si="25">(B60/D60)</f>
        <v>0.71487282017105414</v>
      </c>
      <c r="F60" s="16">
        <f t="shared" ref="F60:F62" si="26">C60/D60</f>
        <v>0.28512717982894592</v>
      </c>
    </row>
    <row r="61" spans="1:16" x14ac:dyDescent="0.3">
      <c r="A61" t="s">
        <v>0</v>
      </c>
      <c r="B61">
        <f>3601</f>
        <v>3601</v>
      </c>
      <c r="C61">
        <f>5402</f>
        <v>5402</v>
      </c>
      <c r="D61">
        <f t="shared" si="24"/>
        <v>9003</v>
      </c>
      <c r="E61" s="16">
        <f t="shared" si="25"/>
        <v>0.39997778518271687</v>
      </c>
      <c r="F61" s="16">
        <f t="shared" si="26"/>
        <v>0.60002221481728313</v>
      </c>
    </row>
    <row r="62" spans="1:16" x14ac:dyDescent="0.3">
      <c r="A62" t="s">
        <v>5</v>
      </c>
      <c r="B62">
        <f>7374</f>
        <v>7374</v>
      </c>
      <c r="C62">
        <f>1629</f>
        <v>1629</v>
      </c>
      <c r="D62">
        <f t="shared" si="24"/>
        <v>9003</v>
      </c>
      <c r="E62" s="16">
        <f t="shared" si="25"/>
        <v>0.8190603132289237</v>
      </c>
      <c r="F62" s="16">
        <f t="shared" si="26"/>
        <v>0.1809396867710763</v>
      </c>
    </row>
    <row r="63" spans="1:16" ht="15" thickBot="1" x14ac:dyDescent="0.35"/>
    <row r="64" spans="1:16" ht="15" thickBot="1" x14ac:dyDescent="0.35">
      <c r="A64" s="61"/>
      <c r="B64" s="63" t="s">
        <v>12</v>
      </c>
      <c r="C64" s="64"/>
      <c r="D64" s="64"/>
      <c r="E64" s="64"/>
      <c r="F64" s="65"/>
      <c r="G64" s="63" t="s">
        <v>11</v>
      </c>
      <c r="H64" s="64"/>
      <c r="I64" s="64"/>
      <c r="J64" s="64"/>
      <c r="K64" s="65"/>
      <c r="L64" s="63" t="s">
        <v>13</v>
      </c>
      <c r="M64" s="64"/>
      <c r="N64" s="64"/>
      <c r="O64" s="64"/>
      <c r="P64" s="65"/>
    </row>
    <row r="65" spans="1:16" ht="15" thickBot="1" x14ac:dyDescent="0.35">
      <c r="A65" s="62"/>
      <c r="B65" s="9" t="s">
        <v>6</v>
      </c>
      <c r="C65" s="10" t="s">
        <v>7</v>
      </c>
      <c r="D65" s="7" t="s">
        <v>8</v>
      </c>
      <c r="E65" s="7" t="s">
        <v>9</v>
      </c>
      <c r="F65" s="8" t="s">
        <v>10</v>
      </c>
      <c r="G65" s="9" t="s">
        <v>6</v>
      </c>
      <c r="H65" s="10" t="s">
        <v>7</v>
      </c>
      <c r="I65" s="7" t="s">
        <v>8</v>
      </c>
      <c r="J65" s="7" t="s">
        <v>9</v>
      </c>
      <c r="K65" s="8" t="s">
        <v>10</v>
      </c>
      <c r="L65" s="9" t="s">
        <v>6</v>
      </c>
      <c r="M65" s="10" t="s">
        <v>7</v>
      </c>
      <c r="N65" s="7" t="s">
        <v>8</v>
      </c>
      <c r="O65" s="7" t="s">
        <v>9</v>
      </c>
      <c r="P65" s="8" t="s">
        <v>10</v>
      </c>
    </row>
    <row r="66" spans="1:16" x14ac:dyDescent="0.3">
      <c r="A66" s="11" t="s">
        <v>3</v>
      </c>
      <c r="B66" s="1"/>
      <c r="C66" s="2"/>
      <c r="D66" s="3"/>
      <c r="E66" s="24" t="e">
        <f>2*((C66*D66)/(C66+D66))</f>
        <v>#DIV/0!</v>
      </c>
      <c r="F66" s="4"/>
      <c r="G66" s="31">
        <v>54.17</v>
      </c>
      <c r="H66" s="24">
        <v>27.09</v>
      </c>
      <c r="I66" s="32">
        <v>50</v>
      </c>
      <c r="J66" s="24">
        <f>2*((H66*I66)/(H66+I66))</f>
        <v>35.140744584252168</v>
      </c>
      <c r="K66" s="36">
        <v>0</v>
      </c>
      <c r="L66" s="31">
        <v>45.96</v>
      </c>
      <c r="M66" s="24">
        <v>47.18</v>
      </c>
      <c r="N66" s="24">
        <v>47.61</v>
      </c>
      <c r="O66" s="24">
        <f>2*((M66*N66)/(M66+N66))</f>
        <v>47.394024686148327</v>
      </c>
      <c r="P66" s="36">
        <v>-4.5999999999999999E-2</v>
      </c>
    </row>
    <row r="67" spans="1:16" x14ac:dyDescent="0.3">
      <c r="A67" s="12" t="s">
        <v>4</v>
      </c>
      <c r="B67" s="5"/>
      <c r="C67" s="3"/>
      <c r="D67" s="3"/>
      <c r="E67" s="24" t="e">
        <f t="shared" ref="E67:E69" si="27">2*((C67*D67)/(C67+D67))</f>
        <v>#DIV/0!</v>
      </c>
      <c r="F67" s="4"/>
      <c r="G67" s="31">
        <v>71.489999999999995</v>
      </c>
      <c r="H67" s="24">
        <v>35.74</v>
      </c>
      <c r="I67" s="32">
        <v>50</v>
      </c>
      <c r="J67" s="24">
        <f t="shared" ref="J67:J69" si="28">2*((H67*I67)/(H67+I67))</f>
        <v>41.684161418241189</v>
      </c>
      <c r="K67" s="36">
        <v>0</v>
      </c>
      <c r="L67" s="31">
        <v>50.08</v>
      </c>
      <c r="M67" s="24">
        <v>40.369999999999997</v>
      </c>
      <c r="N67" s="32">
        <v>39.950000000000003</v>
      </c>
      <c r="O67" s="24">
        <f t="shared" ref="O67:O69" si="29">2*((M67*N67)/(M67+N67))</f>
        <v>40.158901892430286</v>
      </c>
      <c r="P67" s="36">
        <v>-0.19600000000000001</v>
      </c>
    </row>
    <row r="68" spans="1:16" x14ac:dyDescent="0.3">
      <c r="A68" s="12" t="s">
        <v>0</v>
      </c>
      <c r="B68" s="5"/>
      <c r="C68" s="3"/>
      <c r="D68" s="3"/>
      <c r="E68" s="24" t="e">
        <f t="shared" si="27"/>
        <v>#DIV/0!</v>
      </c>
      <c r="F68" s="4"/>
      <c r="G68" s="31">
        <v>60</v>
      </c>
      <c r="H68" s="32">
        <v>30</v>
      </c>
      <c r="I68" s="32">
        <v>50</v>
      </c>
      <c r="J68" s="24">
        <f t="shared" si="28"/>
        <v>37.5</v>
      </c>
      <c r="K68" s="36">
        <v>0</v>
      </c>
      <c r="L68" s="31">
        <v>60</v>
      </c>
      <c r="M68" s="24">
        <v>30</v>
      </c>
      <c r="N68" s="24">
        <v>50</v>
      </c>
      <c r="O68" s="24">
        <f t="shared" si="29"/>
        <v>37.5</v>
      </c>
      <c r="P68" s="36">
        <v>0</v>
      </c>
    </row>
    <row r="69" spans="1:16" ht="15" thickBot="1" x14ac:dyDescent="0.35">
      <c r="A69" s="13" t="s">
        <v>5</v>
      </c>
      <c r="B69" s="6"/>
      <c r="C69" s="7"/>
      <c r="D69" s="7"/>
      <c r="E69" s="25" t="e">
        <f t="shared" si="27"/>
        <v>#DIV/0!</v>
      </c>
      <c r="F69" s="8"/>
      <c r="G69" s="33">
        <v>81.91</v>
      </c>
      <c r="H69" s="25">
        <v>40.950000000000003</v>
      </c>
      <c r="I69" s="25">
        <v>50</v>
      </c>
      <c r="J69" s="25">
        <f t="shared" si="28"/>
        <v>45.024738867509626</v>
      </c>
      <c r="K69" s="37">
        <v>0</v>
      </c>
      <c r="L69" s="33">
        <v>81.91</v>
      </c>
      <c r="M69" s="25">
        <v>40.950000000000003</v>
      </c>
      <c r="N69" s="25">
        <v>50</v>
      </c>
      <c r="O69" s="25">
        <f t="shared" si="29"/>
        <v>45.024738867509626</v>
      </c>
      <c r="P69" s="37">
        <v>0</v>
      </c>
    </row>
    <row r="71" spans="1:16" s="14" customFormat="1" x14ac:dyDescent="0.3"/>
    <row r="72" spans="1:16" x14ac:dyDescent="0.3">
      <c r="A72" t="s">
        <v>19</v>
      </c>
      <c r="B72" t="s">
        <v>1</v>
      </c>
      <c r="C72" t="s">
        <v>2</v>
      </c>
    </row>
    <row r="73" spans="1:16" x14ac:dyDescent="0.3">
      <c r="A73" t="s">
        <v>3</v>
      </c>
      <c r="B73">
        <f>5183</f>
        <v>5183</v>
      </c>
      <c r="C73">
        <f>2378</f>
        <v>2378</v>
      </c>
      <c r="D73">
        <f>B73+C73</f>
        <v>7561</v>
      </c>
      <c r="E73" s="16">
        <f>(B73/D73)</f>
        <v>0.68549133712471899</v>
      </c>
      <c r="F73" s="16">
        <f>C73/D73</f>
        <v>0.31450866287528106</v>
      </c>
    </row>
    <row r="74" spans="1:16" x14ac:dyDescent="0.3">
      <c r="A74" t="s">
        <v>4</v>
      </c>
      <c r="B74">
        <f>373+3355</f>
        <v>3728</v>
      </c>
      <c r="C74">
        <f>2965+868</f>
        <v>3833</v>
      </c>
      <c r="D74">
        <f>B74+C74</f>
        <v>7561</v>
      </c>
      <c r="E74" s="16">
        <f t="shared" ref="E74:E76" si="30">(B74/D74)</f>
        <v>0.49305647401137415</v>
      </c>
      <c r="F74" s="16">
        <f t="shared" ref="F74:F76" si="31">C74/D74</f>
        <v>0.5069435259886258</v>
      </c>
    </row>
    <row r="75" spans="1:16" x14ac:dyDescent="0.3">
      <c r="A75" t="s">
        <v>0</v>
      </c>
      <c r="B75">
        <f>1093+3055</f>
        <v>4148</v>
      </c>
      <c r="C75">
        <f>2242+1171</f>
        <v>3413</v>
      </c>
      <c r="D75">
        <f t="shared" ref="D75:D76" si="32">B75+C75</f>
        <v>7561</v>
      </c>
      <c r="E75" s="16">
        <f t="shared" si="30"/>
        <v>0.54860468192038092</v>
      </c>
      <c r="F75" s="16">
        <f t="shared" si="31"/>
        <v>0.45139531807961908</v>
      </c>
    </row>
    <row r="76" spans="1:16" x14ac:dyDescent="0.3">
      <c r="A76" t="s">
        <v>5</v>
      </c>
      <c r="B76">
        <f>6627</f>
        <v>6627</v>
      </c>
      <c r="C76">
        <f>934</f>
        <v>934</v>
      </c>
      <c r="D76">
        <f t="shared" si="32"/>
        <v>7561</v>
      </c>
      <c r="E76" s="16">
        <f t="shared" si="30"/>
        <v>0.87647136622139932</v>
      </c>
      <c r="F76" s="16">
        <f t="shared" si="31"/>
        <v>0.12352863377860071</v>
      </c>
    </row>
    <row r="77" spans="1:16" ht="15" thickBot="1" x14ac:dyDescent="0.35"/>
    <row r="78" spans="1:16" ht="15" thickBot="1" x14ac:dyDescent="0.35">
      <c r="A78" s="61"/>
      <c r="B78" s="63" t="s">
        <v>12</v>
      </c>
      <c r="C78" s="64"/>
      <c r="D78" s="64"/>
      <c r="E78" s="64"/>
      <c r="F78" s="65"/>
      <c r="G78" s="63" t="s">
        <v>11</v>
      </c>
      <c r="H78" s="64"/>
      <c r="I78" s="64"/>
      <c r="J78" s="64"/>
      <c r="K78" s="65"/>
      <c r="L78" s="63" t="s">
        <v>13</v>
      </c>
      <c r="M78" s="64"/>
      <c r="N78" s="64"/>
      <c r="O78" s="64"/>
      <c r="P78" s="65"/>
    </row>
    <row r="79" spans="1:16" ht="15" thickBot="1" x14ac:dyDescent="0.35">
      <c r="A79" s="62"/>
      <c r="B79" s="9" t="s">
        <v>6</v>
      </c>
      <c r="C79" s="10" t="s">
        <v>7</v>
      </c>
      <c r="D79" s="7" t="s">
        <v>8</v>
      </c>
      <c r="E79" s="7" t="s">
        <v>9</v>
      </c>
      <c r="F79" s="8" t="s">
        <v>10</v>
      </c>
      <c r="G79" s="9" t="s">
        <v>6</v>
      </c>
      <c r="H79" s="10" t="s">
        <v>7</v>
      </c>
      <c r="I79" s="7" t="s">
        <v>8</v>
      </c>
      <c r="J79" s="7" t="s">
        <v>9</v>
      </c>
      <c r="K79" s="8" t="s">
        <v>10</v>
      </c>
      <c r="L79" s="9" t="s">
        <v>6</v>
      </c>
      <c r="M79" s="10" t="s">
        <v>7</v>
      </c>
      <c r="N79" s="7" t="s">
        <v>8</v>
      </c>
      <c r="O79" s="7" t="s">
        <v>9</v>
      </c>
      <c r="P79" s="8" t="s">
        <v>10</v>
      </c>
    </row>
    <row r="80" spans="1:16" x14ac:dyDescent="0.3">
      <c r="A80" s="11" t="s">
        <v>3</v>
      </c>
      <c r="B80" s="1"/>
      <c r="C80" s="2"/>
      <c r="D80" s="3"/>
      <c r="E80" s="24" t="e">
        <f>2*((C80*D80)/(C80+D80))</f>
        <v>#DIV/0!</v>
      </c>
      <c r="F80" s="4"/>
      <c r="G80" s="34">
        <v>68.55</v>
      </c>
      <c r="H80" s="24">
        <v>34.270000000000003</v>
      </c>
      <c r="I80" s="24">
        <v>50</v>
      </c>
      <c r="J80" s="24">
        <f>2*((H80*I80)/(H80+I80))</f>
        <v>40.666903999050668</v>
      </c>
      <c r="K80" s="36">
        <v>0</v>
      </c>
      <c r="L80" s="31">
        <v>68.67</v>
      </c>
      <c r="M80" s="24">
        <v>60.45</v>
      </c>
      <c r="N80" s="32">
        <v>53.32</v>
      </c>
      <c r="O80" s="24">
        <f>2*((M80*N80)/(M80+N80))</f>
        <v>56.661580381471381</v>
      </c>
      <c r="P80" s="36">
        <v>8.4000000000000005E-2</v>
      </c>
    </row>
    <row r="81" spans="1:16" x14ac:dyDescent="0.3">
      <c r="A81" s="12" t="s">
        <v>4</v>
      </c>
      <c r="B81" s="5"/>
      <c r="C81" s="3"/>
      <c r="D81" s="3"/>
      <c r="E81" s="24" t="e">
        <f t="shared" ref="E81:E83" si="33">2*((C81*D81)/(C81+D81))</f>
        <v>#DIV/0!</v>
      </c>
      <c r="F81" s="4"/>
      <c r="G81" s="31">
        <v>16.41</v>
      </c>
      <c r="H81" s="24">
        <v>15.86</v>
      </c>
      <c r="I81" s="24">
        <v>16.329999999999998</v>
      </c>
      <c r="J81" s="24">
        <f t="shared" ref="J81:J83" si="34">2*((H81*I81)/(H81+I81))</f>
        <v>16.0915688101895</v>
      </c>
      <c r="K81" s="41">
        <v>-0.67400000000000004</v>
      </c>
      <c r="L81" s="31">
        <v>45.92</v>
      </c>
      <c r="M81" s="24">
        <v>38.24</v>
      </c>
      <c r="N81" s="24">
        <v>46.5</v>
      </c>
      <c r="O81" s="24">
        <f t="shared" ref="O81:O82" si="35">2*((M81*N81)/(M81+N81))</f>
        <v>41.967429785225391</v>
      </c>
      <c r="P81" s="36">
        <v>6.9000000000000006E-2</v>
      </c>
    </row>
    <row r="82" spans="1:16" x14ac:dyDescent="0.3">
      <c r="A82" s="12" t="s">
        <v>0</v>
      </c>
      <c r="B82" s="5"/>
      <c r="C82" s="3"/>
      <c r="D82" s="3"/>
      <c r="E82" s="24" t="e">
        <f t="shared" si="33"/>
        <v>#DIV/0!</v>
      </c>
      <c r="F82" s="4"/>
      <c r="G82" s="31">
        <v>29.94</v>
      </c>
      <c r="H82" s="24">
        <v>30.24</v>
      </c>
      <c r="I82" s="24">
        <v>30.33</v>
      </c>
      <c r="J82" s="24">
        <f t="shared" si="34"/>
        <v>30.284933135215454</v>
      </c>
      <c r="K82" s="36">
        <v>-0.38500000000000001</v>
      </c>
      <c r="L82" s="31">
        <v>45.34</v>
      </c>
      <c r="M82" s="24">
        <v>44.55</v>
      </c>
      <c r="N82" s="32">
        <v>44.61</v>
      </c>
      <c r="O82" s="24">
        <f t="shared" si="35"/>
        <v>44.579979811574695</v>
      </c>
      <c r="P82" s="36">
        <v>-0.108</v>
      </c>
    </row>
    <row r="83" spans="1:16" ht="15" thickBot="1" x14ac:dyDescent="0.35">
      <c r="A83" s="13" t="s">
        <v>5</v>
      </c>
      <c r="B83" s="6"/>
      <c r="C83" s="7"/>
      <c r="D83" s="7"/>
      <c r="E83" s="25" t="e">
        <f t="shared" si="33"/>
        <v>#DIV/0!</v>
      </c>
      <c r="F83" s="8"/>
      <c r="G83" s="33">
        <v>87.65</v>
      </c>
      <c r="H83" s="25">
        <v>43.82</v>
      </c>
      <c r="I83" s="25">
        <v>50</v>
      </c>
      <c r="J83" s="25">
        <f t="shared" si="34"/>
        <v>46.706459177147735</v>
      </c>
      <c r="K83" s="37">
        <v>0</v>
      </c>
      <c r="L83" s="33">
        <v>87.3</v>
      </c>
      <c r="M83" s="39">
        <v>52.59</v>
      </c>
      <c r="N83" s="25">
        <v>50.13</v>
      </c>
      <c r="O83" s="25">
        <f>2*((M83*N83)/(M83+N83))</f>
        <v>51.33054322429907</v>
      </c>
      <c r="P83" s="37">
        <v>4.0000000000000001E-3</v>
      </c>
    </row>
    <row r="85" spans="1:16" s="14" customFormat="1" x14ac:dyDescent="0.3"/>
    <row r="86" spans="1:16" x14ac:dyDescent="0.3">
      <c r="A86" t="s">
        <v>20</v>
      </c>
      <c r="B86" t="s">
        <v>1</v>
      </c>
      <c r="C86" t="s">
        <v>2</v>
      </c>
    </row>
    <row r="87" spans="1:16" x14ac:dyDescent="0.3">
      <c r="A87" t="s">
        <v>3</v>
      </c>
      <c r="B87">
        <f>1125</f>
        <v>1125</v>
      </c>
      <c r="C87">
        <f>2362</f>
        <v>2362</v>
      </c>
      <c r="D87">
        <f>B87+C87</f>
        <v>3487</v>
      </c>
      <c r="E87" s="16">
        <f>(B87/D87)</f>
        <v>0.32262689991396615</v>
      </c>
      <c r="F87" s="16">
        <f>C87/D87</f>
        <v>0.6773731000860338</v>
      </c>
    </row>
    <row r="88" spans="1:16" x14ac:dyDescent="0.3">
      <c r="A88" t="s">
        <v>4</v>
      </c>
      <c r="B88">
        <f>1566</f>
        <v>1566</v>
      </c>
      <c r="C88">
        <f>1921</f>
        <v>1921</v>
      </c>
      <c r="D88">
        <f t="shared" ref="D88:D90" si="36">B88+C88</f>
        <v>3487</v>
      </c>
      <c r="E88" s="16">
        <f t="shared" ref="E88:E90" si="37">(B88/D88)</f>
        <v>0.44909664468024091</v>
      </c>
      <c r="F88" s="16">
        <f t="shared" ref="F88:F90" si="38">C88/D88</f>
        <v>0.55090335531975909</v>
      </c>
    </row>
    <row r="89" spans="1:16" x14ac:dyDescent="0.3">
      <c r="A89" t="s">
        <v>0</v>
      </c>
      <c r="B89">
        <f>349+618</f>
        <v>967</v>
      </c>
      <c r="C89">
        <f>1832+688</f>
        <v>2520</v>
      </c>
      <c r="D89">
        <f t="shared" si="36"/>
        <v>3487</v>
      </c>
      <c r="E89" s="16">
        <f t="shared" si="37"/>
        <v>0.27731574419271582</v>
      </c>
      <c r="F89" s="16">
        <f t="shared" si="38"/>
        <v>0.72268425580728424</v>
      </c>
    </row>
    <row r="90" spans="1:16" x14ac:dyDescent="0.3">
      <c r="A90" t="s">
        <v>5</v>
      </c>
      <c r="B90">
        <v>2374</v>
      </c>
      <c r="C90">
        <v>1113</v>
      </c>
      <c r="D90">
        <f t="shared" si="36"/>
        <v>3487</v>
      </c>
      <c r="E90" s="16">
        <f t="shared" si="37"/>
        <v>0.68081445368511617</v>
      </c>
      <c r="F90" s="16">
        <f t="shared" si="38"/>
        <v>0.31918554631488383</v>
      </c>
    </row>
    <row r="91" spans="1:16" ht="15" thickBot="1" x14ac:dyDescent="0.35"/>
    <row r="92" spans="1:16" ht="15" thickBot="1" x14ac:dyDescent="0.35">
      <c r="A92" s="61"/>
      <c r="B92" s="63" t="s">
        <v>12</v>
      </c>
      <c r="C92" s="64"/>
      <c r="D92" s="64"/>
      <c r="E92" s="64"/>
      <c r="F92" s="65"/>
      <c r="G92" s="63" t="s">
        <v>11</v>
      </c>
      <c r="H92" s="64"/>
      <c r="I92" s="64"/>
      <c r="J92" s="64"/>
      <c r="K92" s="65"/>
      <c r="L92" s="63" t="s">
        <v>13</v>
      </c>
      <c r="M92" s="64"/>
      <c r="N92" s="64"/>
      <c r="O92" s="64"/>
      <c r="P92" s="65"/>
    </row>
    <row r="93" spans="1:16" ht="15" thickBot="1" x14ac:dyDescent="0.35">
      <c r="A93" s="62"/>
      <c r="B93" s="9" t="s">
        <v>6</v>
      </c>
      <c r="C93" s="10" t="s">
        <v>7</v>
      </c>
      <c r="D93" s="7" t="s">
        <v>8</v>
      </c>
      <c r="E93" s="7" t="s">
        <v>9</v>
      </c>
      <c r="F93" s="8" t="s">
        <v>10</v>
      </c>
      <c r="G93" s="9" t="s">
        <v>6</v>
      </c>
      <c r="H93" s="10" t="s">
        <v>7</v>
      </c>
      <c r="I93" s="7" t="s">
        <v>8</v>
      </c>
      <c r="J93" s="7" t="s">
        <v>9</v>
      </c>
      <c r="K93" s="8" t="s">
        <v>10</v>
      </c>
      <c r="L93" s="9" t="s">
        <v>6</v>
      </c>
      <c r="M93" s="10" t="s">
        <v>7</v>
      </c>
      <c r="N93" s="7" t="s">
        <v>8</v>
      </c>
      <c r="O93" s="7" t="s">
        <v>9</v>
      </c>
      <c r="P93" s="8" t="s">
        <v>10</v>
      </c>
    </row>
    <row r="94" spans="1:16" x14ac:dyDescent="0.3">
      <c r="A94" s="11" t="s">
        <v>3</v>
      </c>
      <c r="B94" s="1"/>
      <c r="C94" s="2"/>
      <c r="D94" s="3"/>
      <c r="E94" s="24" t="e">
        <f>2*((C94*D94)/(C94+D94))</f>
        <v>#DIV/0!</v>
      </c>
      <c r="F94" s="4"/>
      <c r="G94" s="31">
        <v>67.739999999999995</v>
      </c>
      <c r="H94" s="24">
        <v>33.869999999999997</v>
      </c>
      <c r="I94" s="24">
        <v>50</v>
      </c>
      <c r="J94" s="24">
        <f>2*((H94*I94)/(H94+I94))</f>
        <v>40.383927506855841</v>
      </c>
      <c r="K94" s="36">
        <v>0</v>
      </c>
      <c r="L94" s="31">
        <v>67.739999999999995</v>
      </c>
      <c r="M94" s="24">
        <v>33.869999999999997</v>
      </c>
      <c r="N94" s="24">
        <v>50</v>
      </c>
      <c r="O94" s="24">
        <f>2*((M94*N94)/(M94+N94))</f>
        <v>40.383927506855841</v>
      </c>
      <c r="P94" s="36">
        <v>0</v>
      </c>
    </row>
    <row r="95" spans="1:16" x14ac:dyDescent="0.3">
      <c r="A95" s="12" t="s">
        <v>4</v>
      </c>
      <c r="B95" s="5"/>
      <c r="C95" s="3"/>
      <c r="D95" s="3"/>
      <c r="E95" s="24" t="e">
        <f t="shared" ref="E95:E97" si="39">2*((C95*D95)/(C95+D95))</f>
        <v>#DIV/0!</v>
      </c>
      <c r="F95" s="4"/>
      <c r="G95" s="31">
        <v>55.09</v>
      </c>
      <c r="H95" s="24">
        <v>27.55</v>
      </c>
      <c r="I95" s="32">
        <v>50</v>
      </c>
      <c r="J95" s="24">
        <f t="shared" ref="J95:J97" si="40">2*((H95*I95)/(H95+I95))</f>
        <v>35.525467440361062</v>
      </c>
      <c r="K95" s="41">
        <v>0</v>
      </c>
      <c r="L95" s="31">
        <v>36.11</v>
      </c>
      <c r="M95" s="24">
        <v>36.39</v>
      </c>
      <c r="N95" s="32">
        <v>37.54</v>
      </c>
      <c r="O95" s="24">
        <f t="shared" ref="O95:O97" si="41">2*((M95*N95)/(M95+N95))</f>
        <v>36.956055728391718</v>
      </c>
      <c r="P95" s="36">
        <v>-0.23899999999999999</v>
      </c>
    </row>
    <row r="96" spans="1:16" x14ac:dyDescent="0.3">
      <c r="A96" s="12" t="s">
        <v>0</v>
      </c>
      <c r="B96" s="5"/>
      <c r="C96" s="3"/>
      <c r="D96" s="3"/>
      <c r="E96" s="24" t="e">
        <f t="shared" si="39"/>
        <v>#DIV/0!</v>
      </c>
      <c r="F96" s="4"/>
      <c r="G96" s="31">
        <v>29.74</v>
      </c>
      <c r="H96" s="24">
        <v>34.340000000000003</v>
      </c>
      <c r="I96" s="24">
        <v>31.7</v>
      </c>
      <c r="J96" s="24">
        <f t="shared" si="40"/>
        <v>32.967231980617804</v>
      </c>
      <c r="K96" s="36">
        <v>-0.26400000000000001</v>
      </c>
      <c r="L96" s="31">
        <v>72.27</v>
      </c>
      <c r="M96" s="24">
        <v>36.130000000000003</v>
      </c>
      <c r="N96" s="32">
        <v>50</v>
      </c>
      <c r="O96" s="24">
        <f t="shared" si="41"/>
        <v>41.948217810286785</v>
      </c>
      <c r="P96" s="36">
        <v>0</v>
      </c>
    </row>
    <row r="97" spans="1:16" ht="15" thickBot="1" x14ac:dyDescent="0.35">
      <c r="A97" s="13" t="s">
        <v>5</v>
      </c>
      <c r="B97" s="6"/>
      <c r="C97" s="7"/>
      <c r="D97" s="7"/>
      <c r="E97" s="25" t="e">
        <f t="shared" si="39"/>
        <v>#DIV/0!</v>
      </c>
      <c r="F97" s="8"/>
      <c r="G97" s="33">
        <v>68.08</v>
      </c>
      <c r="H97" s="25">
        <v>34.04</v>
      </c>
      <c r="I97" s="25">
        <v>50</v>
      </c>
      <c r="J97" s="25">
        <f t="shared" si="40"/>
        <v>40.504521656354122</v>
      </c>
      <c r="K97" s="37">
        <v>0</v>
      </c>
      <c r="L97" s="33">
        <v>68.08</v>
      </c>
      <c r="M97" s="25">
        <v>34.04</v>
      </c>
      <c r="N97" s="25">
        <v>50</v>
      </c>
      <c r="O97" s="25">
        <f t="shared" si="41"/>
        <v>40.504521656354122</v>
      </c>
      <c r="P97" s="37">
        <v>0</v>
      </c>
    </row>
    <row r="99" spans="1:16" s="14" customFormat="1" x14ac:dyDescent="0.3"/>
    <row r="100" spans="1:16" x14ac:dyDescent="0.3">
      <c r="A100" t="s">
        <v>21</v>
      </c>
      <c r="B100" t="s">
        <v>1</v>
      </c>
      <c r="C100" t="s">
        <v>2</v>
      </c>
    </row>
    <row r="101" spans="1:16" x14ac:dyDescent="0.3">
      <c r="A101" t="s">
        <v>3</v>
      </c>
      <c r="B101">
        <f>225+827</f>
        <v>1052</v>
      </c>
      <c r="C101">
        <f>1907+558</f>
        <v>2465</v>
      </c>
      <c r="D101">
        <f>B101+C101</f>
        <v>3517</v>
      </c>
      <c r="E101" s="16">
        <f>(B101/D101)</f>
        <v>0.29911856696047767</v>
      </c>
      <c r="F101" s="16">
        <f>C101/D101</f>
        <v>0.70088143303952233</v>
      </c>
    </row>
    <row r="102" spans="1:16" x14ac:dyDescent="0.3">
      <c r="A102" t="s">
        <v>4</v>
      </c>
      <c r="B102">
        <v>1816</v>
      </c>
      <c r="C102">
        <v>1701</v>
      </c>
      <c r="D102">
        <f t="shared" ref="D102:D104" si="42">B102+C102</f>
        <v>3517</v>
      </c>
      <c r="E102" s="16">
        <f t="shared" ref="E102:E104" si="43">(B102/D102)</f>
        <v>0.5163491612169463</v>
      </c>
      <c r="F102" s="16">
        <f t="shared" ref="F102:F104" si="44">C102/D102</f>
        <v>0.48365083878305376</v>
      </c>
    </row>
    <row r="103" spans="1:16" x14ac:dyDescent="0.3">
      <c r="A103" t="s">
        <v>0</v>
      </c>
      <c r="B103">
        <f>57+744</f>
        <v>801</v>
      </c>
      <c r="C103">
        <f>2086+630</f>
        <v>2716</v>
      </c>
      <c r="D103">
        <f t="shared" si="42"/>
        <v>3517</v>
      </c>
      <c r="E103" s="16">
        <f t="shared" si="43"/>
        <v>0.2277509240830253</v>
      </c>
      <c r="F103" s="16">
        <f>C103/D103</f>
        <v>0.77224907591697467</v>
      </c>
    </row>
    <row r="104" spans="1:16" x14ac:dyDescent="0.3">
      <c r="A104" t="s">
        <v>5</v>
      </c>
      <c r="B104">
        <v>998</v>
      </c>
      <c r="C104">
        <v>2519</v>
      </c>
      <c r="D104">
        <f t="shared" si="42"/>
        <v>3517</v>
      </c>
      <c r="E104" s="16">
        <f t="shared" si="43"/>
        <v>0.283764572078476</v>
      </c>
      <c r="F104" s="16">
        <f t="shared" si="44"/>
        <v>0.71623542792152406</v>
      </c>
    </row>
    <row r="105" spans="1:16" ht="15" thickBot="1" x14ac:dyDescent="0.35"/>
    <row r="106" spans="1:16" ht="15" thickBot="1" x14ac:dyDescent="0.35">
      <c r="A106" s="61"/>
      <c r="B106" s="63" t="s">
        <v>12</v>
      </c>
      <c r="C106" s="64"/>
      <c r="D106" s="64"/>
      <c r="E106" s="64"/>
      <c r="F106" s="65"/>
      <c r="G106" s="63" t="s">
        <v>11</v>
      </c>
      <c r="H106" s="64"/>
      <c r="I106" s="64"/>
      <c r="J106" s="64"/>
      <c r="K106" s="65"/>
      <c r="L106" s="63" t="s">
        <v>13</v>
      </c>
      <c r="M106" s="64"/>
      <c r="N106" s="64"/>
      <c r="O106" s="64"/>
      <c r="P106" s="65"/>
    </row>
    <row r="107" spans="1:16" ht="15" thickBot="1" x14ac:dyDescent="0.35">
      <c r="A107" s="62"/>
      <c r="B107" s="9" t="s">
        <v>6</v>
      </c>
      <c r="C107" s="10" t="s">
        <v>7</v>
      </c>
      <c r="D107" s="7" t="s">
        <v>8</v>
      </c>
      <c r="E107" s="7" t="s">
        <v>9</v>
      </c>
      <c r="F107" s="8" t="s">
        <v>10</v>
      </c>
      <c r="G107" s="9" t="s">
        <v>6</v>
      </c>
      <c r="H107" s="10" t="s">
        <v>7</v>
      </c>
      <c r="I107" s="7" t="s">
        <v>8</v>
      </c>
      <c r="J107" s="7" t="s">
        <v>9</v>
      </c>
      <c r="K107" s="8" t="s">
        <v>10</v>
      </c>
      <c r="L107" s="9" t="s">
        <v>6</v>
      </c>
      <c r="M107" s="10" t="s">
        <v>7</v>
      </c>
      <c r="N107" s="7" t="s">
        <v>8</v>
      </c>
      <c r="O107" s="7" t="s">
        <v>9</v>
      </c>
      <c r="P107" s="8" t="s">
        <v>10</v>
      </c>
    </row>
    <row r="108" spans="1:16" x14ac:dyDescent="0.3">
      <c r="A108" s="11" t="s">
        <v>3</v>
      </c>
      <c r="B108" s="1"/>
      <c r="C108" s="2"/>
      <c r="D108" s="3"/>
      <c r="E108" s="24" t="e">
        <f>2*((C108*D108)/(C108+D108))</f>
        <v>#DIV/0!</v>
      </c>
      <c r="F108" s="4"/>
      <c r="G108" s="31">
        <v>22.26</v>
      </c>
      <c r="H108" s="24">
        <v>25.42</v>
      </c>
      <c r="I108" s="24">
        <v>22.01</v>
      </c>
      <c r="J108" s="24">
        <f>2*((H108*I108)/(H108+I108))</f>
        <v>23.592418300653595</v>
      </c>
      <c r="K108" s="36">
        <v>-0.432</v>
      </c>
      <c r="L108" s="31">
        <v>23.57</v>
      </c>
      <c r="M108" s="24">
        <v>26.39</v>
      </c>
      <c r="N108" s="32">
        <v>22.73</v>
      </c>
      <c r="O108" s="24">
        <f>2*((M108*N108)/(M108+N108))</f>
        <v>24.423644136807816</v>
      </c>
      <c r="P108" s="36">
        <v>-0.42699999999999999</v>
      </c>
    </row>
    <row r="109" spans="1:16" x14ac:dyDescent="0.3">
      <c r="A109" s="12" t="s">
        <v>4</v>
      </c>
      <c r="B109" s="5"/>
      <c r="C109" s="3"/>
      <c r="D109" s="3"/>
      <c r="E109" s="24" t="e">
        <f t="shared" ref="E109:E111" si="45">2*((C109*D109)/(C109+D109))</f>
        <v>#DIV/0!</v>
      </c>
      <c r="F109" s="4"/>
      <c r="G109" s="31">
        <v>51.63</v>
      </c>
      <c r="H109" s="24">
        <v>25.82</v>
      </c>
      <c r="I109" s="32">
        <v>50</v>
      </c>
      <c r="J109" s="24">
        <f t="shared" ref="J109:J111" si="46">2*((H109*I109)/(H109+I109))</f>
        <v>34.05433922447903</v>
      </c>
      <c r="K109" s="36">
        <v>0</v>
      </c>
      <c r="L109" s="31">
        <v>51.61</v>
      </c>
      <c r="M109" s="24">
        <v>25.81</v>
      </c>
      <c r="N109" s="32">
        <v>49.97</v>
      </c>
      <c r="O109" s="24">
        <f t="shared" ref="O109:O111" si="47">2*((M109*N109)/(M109+N109))</f>
        <v>34.038683029823169</v>
      </c>
      <c r="P109" s="36">
        <v>-1E-3</v>
      </c>
    </row>
    <row r="110" spans="1:16" x14ac:dyDescent="0.3">
      <c r="A110" s="12" t="s">
        <v>0</v>
      </c>
      <c r="B110" s="5"/>
      <c r="C110" s="3"/>
      <c r="D110" s="3"/>
      <c r="E110" s="24" t="e">
        <f t="shared" si="45"/>
        <v>#DIV/0!</v>
      </c>
      <c r="F110" s="4"/>
      <c r="G110" s="31">
        <v>19.53</v>
      </c>
      <c r="H110" s="24">
        <v>24.26</v>
      </c>
      <c r="I110" s="24">
        <v>15.16</v>
      </c>
      <c r="J110" s="24">
        <f t="shared" si="46"/>
        <v>18.659644850329784</v>
      </c>
      <c r="K110" s="36">
        <v>-0.438</v>
      </c>
      <c r="L110" s="31">
        <v>77.22</v>
      </c>
      <c r="M110" s="24">
        <v>38.61</v>
      </c>
      <c r="N110" s="32">
        <v>50</v>
      </c>
      <c r="O110" s="24">
        <f t="shared" si="47"/>
        <v>43.572960162509872</v>
      </c>
      <c r="P110" s="36">
        <v>0</v>
      </c>
    </row>
    <row r="111" spans="1:16" ht="15" thickBot="1" x14ac:dyDescent="0.35">
      <c r="A111" s="13" t="s">
        <v>5</v>
      </c>
      <c r="B111" s="6"/>
      <c r="C111" s="7"/>
      <c r="D111" s="7"/>
      <c r="E111" s="25" t="e">
        <f t="shared" si="45"/>
        <v>#DIV/0!</v>
      </c>
      <c r="F111" s="8"/>
      <c r="G111" s="33">
        <v>71.62</v>
      </c>
      <c r="H111" s="25">
        <v>35.81</v>
      </c>
      <c r="I111" s="25">
        <v>50</v>
      </c>
      <c r="J111" s="25">
        <f t="shared" si="46"/>
        <v>41.731732898263601</v>
      </c>
      <c r="K111" s="37">
        <v>0</v>
      </c>
      <c r="L111" s="33">
        <v>51.01</v>
      </c>
      <c r="M111" s="25">
        <v>45.74</v>
      </c>
      <c r="N111" s="25">
        <v>45.05</v>
      </c>
      <c r="O111" s="25">
        <f t="shared" si="47"/>
        <v>45.392378015199917</v>
      </c>
      <c r="P111" s="37">
        <v>-0.09</v>
      </c>
    </row>
    <row r="113" spans="1:16" s="14" customFormat="1" x14ac:dyDescent="0.3"/>
    <row r="114" spans="1:16" x14ac:dyDescent="0.3">
      <c r="A114" t="s">
        <v>22</v>
      </c>
      <c r="B114" t="s">
        <v>1</v>
      </c>
      <c r="C114" t="s">
        <v>2</v>
      </c>
    </row>
    <row r="115" spans="1:16" x14ac:dyDescent="0.3">
      <c r="A115" t="s">
        <v>3</v>
      </c>
      <c r="B115">
        <v>5501</v>
      </c>
      <c r="C115">
        <v>518</v>
      </c>
      <c r="D115">
        <f>B115+C115</f>
        <v>6019</v>
      </c>
      <c r="E115" s="16">
        <f>(B115/D115)</f>
        <v>0.91393919255690315</v>
      </c>
      <c r="F115" s="16">
        <f>C115/D115</f>
        <v>8.6060807443096854E-2</v>
      </c>
    </row>
    <row r="116" spans="1:16" x14ac:dyDescent="0.3">
      <c r="A116" t="s">
        <v>4</v>
      </c>
      <c r="B116">
        <v>5505</v>
      </c>
      <c r="C116">
        <v>514</v>
      </c>
      <c r="D116">
        <f t="shared" ref="D116:D118" si="48">B116+C116</f>
        <v>6019</v>
      </c>
      <c r="E116" s="16">
        <f t="shared" ref="E116:E118" si="49">(B116/D116)</f>
        <v>0.91460375477654099</v>
      </c>
      <c r="F116" s="16">
        <f t="shared" ref="F116:F118" si="50">C116/D116</f>
        <v>8.5396245223459052E-2</v>
      </c>
    </row>
    <row r="117" spans="1:16" x14ac:dyDescent="0.3">
      <c r="A117" t="s">
        <v>0</v>
      </c>
      <c r="B117">
        <v>5341</v>
      </c>
      <c r="C117">
        <v>678</v>
      </c>
      <c r="D117">
        <f t="shared" si="48"/>
        <v>6019</v>
      </c>
      <c r="E117" s="16">
        <f t="shared" si="49"/>
        <v>0.88735670377139064</v>
      </c>
      <c r="F117" s="16">
        <f t="shared" si="50"/>
        <v>0.1126432962286094</v>
      </c>
    </row>
    <row r="118" spans="1:16" x14ac:dyDescent="0.3">
      <c r="A118" t="s">
        <v>5</v>
      </c>
      <c r="B118">
        <v>5990</v>
      </c>
      <c r="C118">
        <v>29</v>
      </c>
      <c r="D118">
        <f t="shared" si="48"/>
        <v>6019</v>
      </c>
      <c r="E118" s="16">
        <f t="shared" si="49"/>
        <v>0.99518192390762583</v>
      </c>
      <c r="F118" s="16">
        <f t="shared" si="50"/>
        <v>4.8180760923741484E-3</v>
      </c>
    </row>
    <row r="119" spans="1:16" ht="15" thickBot="1" x14ac:dyDescent="0.35"/>
    <row r="120" spans="1:16" ht="15" thickBot="1" x14ac:dyDescent="0.35">
      <c r="A120" s="61"/>
      <c r="B120" s="63" t="s">
        <v>12</v>
      </c>
      <c r="C120" s="64"/>
      <c r="D120" s="64"/>
      <c r="E120" s="64"/>
      <c r="F120" s="65"/>
      <c r="G120" s="63" t="s">
        <v>11</v>
      </c>
      <c r="H120" s="64"/>
      <c r="I120" s="64"/>
      <c r="J120" s="64"/>
      <c r="K120" s="65"/>
      <c r="L120" s="63" t="s">
        <v>13</v>
      </c>
      <c r="M120" s="64"/>
      <c r="N120" s="64"/>
      <c r="O120" s="64"/>
      <c r="P120" s="65"/>
    </row>
    <row r="121" spans="1:16" ht="15" thickBot="1" x14ac:dyDescent="0.35">
      <c r="A121" s="62"/>
      <c r="B121" s="9" t="s">
        <v>6</v>
      </c>
      <c r="C121" s="10" t="s">
        <v>7</v>
      </c>
      <c r="D121" s="7" t="s">
        <v>8</v>
      </c>
      <c r="E121" s="7" t="s">
        <v>9</v>
      </c>
      <c r="F121" s="8" t="s">
        <v>10</v>
      </c>
      <c r="G121" s="9" t="s">
        <v>6</v>
      </c>
      <c r="H121" s="10" t="s">
        <v>7</v>
      </c>
      <c r="I121" s="7" t="s">
        <v>8</v>
      </c>
      <c r="J121" s="7" t="s">
        <v>9</v>
      </c>
      <c r="K121" s="8" t="s">
        <v>10</v>
      </c>
      <c r="L121" s="9" t="s">
        <v>6</v>
      </c>
      <c r="M121" s="10" t="s">
        <v>7</v>
      </c>
      <c r="N121" s="7" t="s">
        <v>8</v>
      </c>
      <c r="O121" s="7" t="s">
        <v>9</v>
      </c>
      <c r="P121" s="8" t="s">
        <v>10</v>
      </c>
    </row>
    <row r="122" spans="1:16" x14ac:dyDescent="0.3">
      <c r="A122" s="11" t="s">
        <v>3</v>
      </c>
      <c r="E122" s="24" t="e">
        <f t="shared" ref="E122:E125" si="51">2*((C122*D122)/(C122+D122))</f>
        <v>#DIV/0!</v>
      </c>
      <c r="F122" s="4"/>
      <c r="G122" s="29">
        <v>91.39</v>
      </c>
      <c r="H122" s="30">
        <v>45.7</v>
      </c>
      <c r="I122" s="24">
        <v>50</v>
      </c>
      <c r="J122" s="24">
        <f t="shared" ref="J122:J125" si="52">2*((H122*I122)/(H122+I122))</f>
        <v>47.753396029258099</v>
      </c>
      <c r="K122" s="36">
        <v>0</v>
      </c>
      <c r="L122" s="29">
        <v>91.39</v>
      </c>
      <c r="M122" s="30">
        <v>45.7</v>
      </c>
      <c r="N122" s="24">
        <v>50</v>
      </c>
      <c r="O122" s="24">
        <f>2*((M122*N122)/(M122+N122))</f>
        <v>47.753396029258099</v>
      </c>
      <c r="P122" s="36">
        <v>0</v>
      </c>
    </row>
    <row r="123" spans="1:16" x14ac:dyDescent="0.3">
      <c r="A123" s="12" t="s">
        <v>4</v>
      </c>
      <c r="B123" s="5"/>
      <c r="C123" s="3"/>
      <c r="D123" s="3"/>
      <c r="E123" s="24" t="e">
        <f t="shared" si="51"/>
        <v>#DIV/0!</v>
      </c>
      <c r="F123" s="4"/>
      <c r="G123" s="31">
        <v>91.46</v>
      </c>
      <c r="H123" s="24">
        <v>45.73</v>
      </c>
      <c r="I123" s="24">
        <v>50</v>
      </c>
      <c r="J123" s="24">
        <f t="shared" si="52"/>
        <v>47.769769142379616</v>
      </c>
      <c r="K123" s="36">
        <v>0</v>
      </c>
      <c r="L123" s="31">
        <v>91.46</v>
      </c>
      <c r="M123" s="24">
        <v>45.73</v>
      </c>
      <c r="N123" s="24">
        <v>50</v>
      </c>
      <c r="O123" s="24">
        <f>2*((M123*N123)/(M123+N123))</f>
        <v>47.769769142379616</v>
      </c>
      <c r="P123" s="36">
        <v>0</v>
      </c>
    </row>
    <row r="124" spans="1:16" x14ac:dyDescent="0.3">
      <c r="A124" s="12" t="s">
        <v>0</v>
      </c>
      <c r="B124" s="5"/>
      <c r="C124" s="3"/>
      <c r="D124" s="3"/>
      <c r="E124" s="24" t="e">
        <f t="shared" si="51"/>
        <v>#DIV/0!</v>
      </c>
      <c r="F124" s="4"/>
      <c r="G124" s="31">
        <v>88.74</v>
      </c>
      <c r="H124" s="24">
        <v>44.37</v>
      </c>
      <c r="I124" s="32">
        <v>50</v>
      </c>
      <c r="J124" s="24">
        <f t="shared" si="52"/>
        <v>47.017060506516898</v>
      </c>
      <c r="K124" s="36">
        <v>0</v>
      </c>
      <c r="L124" s="31">
        <v>88.4</v>
      </c>
      <c r="M124" s="24">
        <v>44.35</v>
      </c>
      <c r="N124" s="32">
        <v>49.81</v>
      </c>
      <c r="O124" s="24">
        <f t="shared" ref="O124:O125" si="53">2*((M124*N124)/(M124+N124))</f>
        <v>46.921697111299913</v>
      </c>
      <c r="P124" s="36">
        <v>-6.0000000000000001E-3</v>
      </c>
    </row>
    <row r="125" spans="1:16" ht="15" thickBot="1" x14ac:dyDescent="0.35">
      <c r="A125" s="13" t="s">
        <v>5</v>
      </c>
      <c r="B125" s="6"/>
      <c r="C125" s="7"/>
      <c r="D125" s="7"/>
      <c r="E125" s="25" t="e">
        <f t="shared" si="51"/>
        <v>#DIV/0!</v>
      </c>
      <c r="F125" s="8"/>
      <c r="G125" s="33">
        <v>99.52</v>
      </c>
      <c r="H125" s="25">
        <v>49.76</v>
      </c>
      <c r="I125" s="25">
        <v>50</v>
      </c>
      <c r="J125" s="25">
        <f t="shared" si="52"/>
        <v>49.879711307137136</v>
      </c>
      <c r="K125" s="37">
        <v>0</v>
      </c>
      <c r="L125" s="33">
        <v>99.52</v>
      </c>
      <c r="M125" s="25">
        <v>49.76</v>
      </c>
      <c r="N125" s="25">
        <v>50</v>
      </c>
      <c r="O125" s="25">
        <f t="shared" si="53"/>
        <v>49.879711307137136</v>
      </c>
      <c r="P125" s="37">
        <v>0</v>
      </c>
    </row>
    <row r="127" spans="1:16" s="14" customFormat="1" x14ac:dyDescent="0.3"/>
    <row r="128" spans="1:16" x14ac:dyDescent="0.3">
      <c r="A128" t="s">
        <v>23</v>
      </c>
      <c r="B128" t="s">
        <v>1</v>
      </c>
      <c r="C128" t="s">
        <v>2</v>
      </c>
    </row>
    <row r="129" spans="1:16" x14ac:dyDescent="0.3">
      <c r="A129" t="s">
        <v>3</v>
      </c>
      <c r="B129">
        <f>449+2317</f>
        <v>2766</v>
      </c>
      <c r="C129">
        <f>465+2622</f>
        <v>3087</v>
      </c>
      <c r="D129">
        <f>B129+C129</f>
        <v>5853</v>
      </c>
      <c r="E129" s="16">
        <f>(B129/D129)</f>
        <v>0.47257816504356742</v>
      </c>
      <c r="F129" s="16">
        <f>C129/D129</f>
        <v>0.52742183495643258</v>
      </c>
    </row>
    <row r="130" spans="1:16" x14ac:dyDescent="0.3">
      <c r="A130" t="s">
        <v>4</v>
      </c>
      <c r="B130">
        <f>1589+2104</f>
        <v>3693</v>
      </c>
      <c r="C130">
        <f>1604+556</f>
        <v>2160</v>
      </c>
      <c r="D130">
        <f t="shared" ref="D130:D132" si="54">B130+C130</f>
        <v>5853</v>
      </c>
      <c r="E130" s="16">
        <f t="shared" ref="E130:E132" si="55">(B130/D130)</f>
        <v>0.63095848282931832</v>
      </c>
      <c r="F130" s="16">
        <f t="shared" ref="F130:F132" si="56">C130/D130</f>
        <v>0.36904151717068168</v>
      </c>
    </row>
    <row r="131" spans="1:16" x14ac:dyDescent="0.3">
      <c r="A131" t="s">
        <v>0</v>
      </c>
      <c r="B131">
        <v>2022</v>
      </c>
      <c r="C131">
        <v>3831</v>
      </c>
      <c r="D131">
        <f t="shared" si="54"/>
        <v>5853</v>
      </c>
      <c r="E131" s="16">
        <f t="shared" si="55"/>
        <v>0.34546386468477702</v>
      </c>
      <c r="F131" s="16">
        <f t="shared" si="56"/>
        <v>0.65453613531522292</v>
      </c>
    </row>
    <row r="132" spans="1:16" x14ac:dyDescent="0.3">
      <c r="A132" t="s">
        <v>5</v>
      </c>
      <c r="B132">
        <v>4479</v>
      </c>
      <c r="C132">
        <v>1374</v>
      </c>
      <c r="D132">
        <f t="shared" si="54"/>
        <v>5853</v>
      </c>
      <c r="E132" s="16">
        <f t="shared" si="55"/>
        <v>0.76524859046642746</v>
      </c>
      <c r="F132" s="16">
        <f t="shared" si="56"/>
        <v>0.23475140953357251</v>
      </c>
    </row>
    <row r="133" spans="1:16" ht="15" thickBot="1" x14ac:dyDescent="0.35"/>
    <row r="134" spans="1:16" ht="15" thickBot="1" x14ac:dyDescent="0.35">
      <c r="A134" s="61"/>
      <c r="B134" s="63" t="s">
        <v>12</v>
      </c>
      <c r="C134" s="64"/>
      <c r="D134" s="64"/>
      <c r="E134" s="64"/>
      <c r="F134" s="65"/>
      <c r="G134" s="63" t="s">
        <v>11</v>
      </c>
      <c r="H134" s="64"/>
      <c r="I134" s="64"/>
      <c r="J134" s="64"/>
      <c r="K134" s="65"/>
      <c r="L134" s="63" t="s">
        <v>13</v>
      </c>
      <c r="M134" s="64"/>
      <c r="N134" s="64"/>
      <c r="O134" s="64"/>
      <c r="P134" s="65"/>
    </row>
    <row r="135" spans="1:16" ht="15" thickBot="1" x14ac:dyDescent="0.35">
      <c r="A135" s="62"/>
      <c r="B135" s="9" t="s">
        <v>6</v>
      </c>
      <c r="C135" s="10" t="s">
        <v>7</v>
      </c>
      <c r="D135" s="7" t="s">
        <v>8</v>
      </c>
      <c r="E135" s="7" t="s">
        <v>9</v>
      </c>
      <c r="F135" s="8" t="s">
        <v>10</v>
      </c>
      <c r="G135" s="9" t="s">
        <v>6</v>
      </c>
      <c r="H135" s="10" t="s">
        <v>7</v>
      </c>
      <c r="I135" s="7" t="s">
        <v>8</v>
      </c>
      <c r="J135" s="7" t="s">
        <v>9</v>
      </c>
      <c r="K135" s="8" t="s">
        <v>10</v>
      </c>
      <c r="L135" s="9" t="s">
        <v>6</v>
      </c>
      <c r="M135" s="10" t="s">
        <v>7</v>
      </c>
      <c r="N135" s="7" t="s">
        <v>8</v>
      </c>
      <c r="O135" s="7" t="s">
        <v>9</v>
      </c>
      <c r="P135" s="8" t="s">
        <v>10</v>
      </c>
    </row>
    <row r="136" spans="1:16" x14ac:dyDescent="0.3">
      <c r="A136" s="11" t="s">
        <v>3</v>
      </c>
      <c r="B136" s="1"/>
      <c r="C136" s="2"/>
      <c r="D136" s="3"/>
      <c r="E136" s="24" t="e">
        <f>2*((C136*D136)/(C136+D136))</f>
        <v>#DIV/0!</v>
      </c>
      <c r="F136" s="4"/>
      <c r="G136" s="31">
        <v>52.47</v>
      </c>
      <c r="H136" s="24">
        <v>50.58</v>
      </c>
      <c r="I136" s="24">
        <v>51.11</v>
      </c>
      <c r="J136" s="24">
        <f>2*((H136*I136)/(H136+I136))</f>
        <v>50.843618841577339</v>
      </c>
      <c r="K136" s="36">
        <v>1.2E-2</v>
      </c>
      <c r="L136" s="31">
        <v>52.54</v>
      </c>
      <c r="M136" s="24">
        <v>52.34</v>
      </c>
      <c r="N136" s="32">
        <v>52.33</v>
      </c>
      <c r="O136" s="24">
        <f>2*((M136*N136)/(M136+N136))</f>
        <v>52.334999522308209</v>
      </c>
      <c r="P136" s="36">
        <v>4.7E-2</v>
      </c>
    </row>
    <row r="137" spans="1:16" x14ac:dyDescent="0.3">
      <c r="A137" s="12" t="s">
        <v>4</v>
      </c>
      <c r="B137" s="5"/>
      <c r="C137" s="3"/>
      <c r="D137" s="3"/>
      <c r="E137" s="24" t="e">
        <f t="shared" ref="E137:E139" si="57">2*((C137*D137)/(C137+D137))</f>
        <v>#DIV/0!</v>
      </c>
      <c r="F137" s="4"/>
      <c r="G137" s="31">
        <v>36.65</v>
      </c>
      <c r="H137" s="24">
        <v>35.33</v>
      </c>
      <c r="I137" s="24">
        <v>34.380000000000003</v>
      </c>
      <c r="J137" s="24">
        <f t="shared" ref="J137:J139" si="58">2*((H137*I137)/(H137+I137))</f>
        <v>34.848526753693875</v>
      </c>
      <c r="K137" s="36">
        <v>-0.29799999999999999</v>
      </c>
      <c r="L137" s="31">
        <v>36.89</v>
      </c>
      <c r="M137" s="24">
        <v>35.44</v>
      </c>
      <c r="N137" s="24">
        <v>34.53</v>
      </c>
      <c r="O137" s="24">
        <f t="shared" ref="O137:O139" si="59">2*((M137*N137)/(M137+N137))</f>
        <v>34.979082463913102</v>
      </c>
      <c r="P137" s="36">
        <v>-0.29599999999999999</v>
      </c>
    </row>
    <row r="138" spans="1:16" x14ac:dyDescent="0.3">
      <c r="A138" s="12" t="s">
        <v>0</v>
      </c>
      <c r="B138" s="5"/>
      <c r="C138" s="3"/>
      <c r="D138" s="3"/>
      <c r="E138" s="24" t="e">
        <f t="shared" si="57"/>
        <v>#DIV/0!</v>
      </c>
      <c r="F138" s="4"/>
      <c r="G138" s="31">
        <v>65.45</v>
      </c>
      <c r="H138" s="24">
        <v>32.729999999999997</v>
      </c>
      <c r="I138" s="24">
        <v>50</v>
      </c>
      <c r="J138" s="24">
        <f t="shared" si="58"/>
        <v>39.562432007736007</v>
      </c>
      <c r="K138" s="36">
        <v>0</v>
      </c>
      <c r="L138" s="31">
        <v>64.63</v>
      </c>
      <c r="M138" s="24">
        <v>50.42</v>
      </c>
      <c r="N138" s="32">
        <v>50.05</v>
      </c>
      <c r="O138" s="24">
        <f t="shared" si="59"/>
        <v>50.234318702100126</v>
      </c>
      <c r="P138" s="36">
        <v>1E-3</v>
      </c>
    </row>
    <row r="139" spans="1:16" ht="15" thickBot="1" x14ac:dyDescent="0.35">
      <c r="A139" s="13" t="s">
        <v>5</v>
      </c>
      <c r="B139" s="6"/>
      <c r="C139" s="7"/>
      <c r="D139" s="7"/>
      <c r="E139" s="25" t="e">
        <f t="shared" si="57"/>
        <v>#DIV/0!</v>
      </c>
      <c r="F139" s="8"/>
      <c r="G139" s="33">
        <v>76.52</v>
      </c>
      <c r="H139" s="25">
        <v>38.26</v>
      </c>
      <c r="I139" s="25">
        <v>50</v>
      </c>
      <c r="J139" s="25">
        <f t="shared" si="58"/>
        <v>43.349195558576938</v>
      </c>
      <c r="K139" s="37">
        <v>0</v>
      </c>
      <c r="L139" s="33">
        <v>74.97</v>
      </c>
      <c r="M139" s="25">
        <v>47.29</v>
      </c>
      <c r="N139" s="25">
        <v>49.64</v>
      </c>
      <c r="O139" s="25">
        <f t="shared" si="59"/>
        <v>48.43651294748787</v>
      </c>
      <c r="P139" s="37">
        <v>-0.01</v>
      </c>
    </row>
    <row r="141" spans="1:16" s="17" customFormat="1" x14ac:dyDescent="0.3"/>
    <row r="142" spans="1:16" x14ac:dyDescent="0.3">
      <c r="A142" t="s">
        <v>24</v>
      </c>
      <c r="B142" t="s">
        <v>1</v>
      </c>
      <c r="C142" t="s">
        <v>2</v>
      </c>
      <c r="G142" t="s">
        <v>27</v>
      </c>
    </row>
    <row r="143" spans="1:16" x14ac:dyDescent="0.3">
      <c r="A143" t="s">
        <v>3</v>
      </c>
      <c r="B143">
        <f>17678+7955</f>
        <v>25633</v>
      </c>
      <c r="C143">
        <f>13679+5651</f>
        <v>19330</v>
      </c>
      <c r="D143">
        <f>B143+C143</f>
        <v>44963</v>
      </c>
      <c r="E143" s="16">
        <f>(B143/D143)</f>
        <v>0.57009096368124901</v>
      </c>
      <c r="F143" s="16">
        <f>C143/D143</f>
        <v>0.42990903631875099</v>
      </c>
      <c r="G143">
        <f>B3+B17</f>
        <v>25633</v>
      </c>
      <c r="H143">
        <f>C3+C17</f>
        <v>19330</v>
      </c>
    </row>
    <row r="144" spans="1:16" x14ac:dyDescent="0.3">
      <c r="A144" t="s">
        <v>4</v>
      </c>
      <c r="B144">
        <f>20676+5780</f>
        <v>26456</v>
      </c>
      <c r="C144">
        <f>14695+3812</f>
        <v>18507</v>
      </c>
      <c r="D144">
        <f t="shared" ref="D144:D146" si="60">B144+C144</f>
        <v>44963</v>
      </c>
      <c r="E144" s="16">
        <f t="shared" ref="E144:E146" si="61">(B144/D144)</f>
        <v>0.58839490247536863</v>
      </c>
      <c r="F144" s="16">
        <f t="shared" ref="F144:F146" si="62">C144/D144</f>
        <v>0.41160509752463137</v>
      </c>
      <c r="G144">
        <f t="shared" ref="G144:H146" si="63">B4+B18</f>
        <v>26456</v>
      </c>
      <c r="H144">
        <f t="shared" si="63"/>
        <v>18507</v>
      </c>
    </row>
    <row r="145" spans="1:16" x14ac:dyDescent="0.3">
      <c r="A145" t="s">
        <v>0</v>
      </c>
      <c r="B145">
        <f>11463+9027</f>
        <v>20490</v>
      </c>
      <c r="C145">
        <f>14504+9969</f>
        <v>24473</v>
      </c>
      <c r="D145">
        <f>B145+C145</f>
        <v>44963</v>
      </c>
      <c r="E145" s="16">
        <f t="shared" si="61"/>
        <v>0.4557080265996486</v>
      </c>
      <c r="F145" s="16">
        <f t="shared" si="62"/>
        <v>0.5442919734003514</v>
      </c>
      <c r="G145">
        <f t="shared" si="63"/>
        <v>20490</v>
      </c>
      <c r="H145">
        <f t="shared" si="63"/>
        <v>24473</v>
      </c>
    </row>
    <row r="146" spans="1:16" x14ac:dyDescent="0.3">
      <c r="A146" t="s">
        <v>5</v>
      </c>
      <c r="B146">
        <f>33058+177</f>
        <v>33235</v>
      </c>
      <c r="C146">
        <v>11728</v>
      </c>
      <c r="D146">
        <f t="shared" si="60"/>
        <v>44963</v>
      </c>
      <c r="E146" s="16">
        <f t="shared" si="61"/>
        <v>0.73916331205657981</v>
      </c>
      <c r="F146" s="16">
        <f t="shared" si="62"/>
        <v>0.26083668794342013</v>
      </c>
      <c r="G146">
        <f t="shared" si="63"/>
        <v>33235</v>
      </c>
      <c r="H146">
        <f t="shared" si="63"/>
        <v>11728</v>
      </c>
    </row>
    <row r="147" spans="1:16" ht="15" thickBot="1" x14ac:dyDescent="0.35"/>
    <row r="148" spans="1:16" ht="15" thickBot="1" x14ac:dyDescent="0.35">
      <c r="A148" s="61"/>
      <c r="B148" s="63" t="s">
        <v>12</v>
      </c>
      <c r="C148" s="64"/>
      <c r="D148" s="64"/>
      <c r="E148" s="64"/>
      <c r="F148" s="65"/>
      <c r="G148" s="63" t="s">
        <v>11</v>
      </c>
      <c r="H148" s="64"/>
      <c r="I148" s="64"/>
      <c r="J148" s="64"/>
      <c r="K148" s="65"/>
      <c r="L148" s="63" t="s">
        <v>13</v>
      </c>
      <c r="M148" s="64"/>
      <c r="N148" s="64"/>
      <c r="O148" s="64"/>
      <c r="P148" s="65"/>
    </row>
    <row r="149" spans="1:16" ht="15" thickBot="1" x14ac:dyDescent="0.35">
      <c r="A149" s="62"/>
      <c r="B149" s="9" t="s">
        <v>6</v>
      </c>
      <c r="C149" s="10" t="s">
        <v>7</v>
      </c>
      <c r="D149" s="7" t="s">
        <v>8</v>
      </c>
      <c r="E149" s="7" t="s">
        <v>9</v>
      </c>
      <c r="F149" s="8" t="s">
        <v>10</v>
      </c>
      <c r="G149" s="9" t="s">
        <v>6</v>
      </c>
      <c r="H149" s="10" t="s">
        <v>7</v>
      </c>
      <c r="I149" s="7" t="s">
        <v>8</v>
      </c>
      <c r="J149" s="7" t="s">
        <v>9</v>
      </c>
      <c r="K149" s="8" t="s">
        <v>10</v>
      </c>
      <c r="L149" s="9" t="s">
        <v>6</v>
      </c>
      <c r="M149" s="10" t="s">
        <v>7</v>
      </c>
      <c r="N149" s="7" t="s">
        <v>8</v>
      </c>
      <c r="O149" s="7" t="s">
        <v>9</v>
      </c>
      <c r="P149" s="8" t="s">
        <v>10</v>
      </c>
    </row>
    <row r="150" spans="1:16" x14ac:dyDescent="0.3">
      <c r="A150" s="11" t="s">
        <v>3</v>
      </c>
      <c r="B150" s="1"/>
      <c r="C150" s="2"/>
      <c r="D150" s="3"/>
      <c r="E150" s="24" t="e">
        <f>2*((C150*D150)/(C150+D150))</f>
        <v>#DIV/0!</v>
      </c>
      <c r="F150" s="4"/>
      <c r="G150" s="31">
        <v>51.88</v>
      </c>
      <c r="H150" s="24">
        <v>48.95</v>
      </c>
      <c r="I150" s="24">
        <v>49.1</v>
      </c>
      <c r="J150" s="24">
        <f>2*((H150*I150)/(H150+I150))</f>
        <v>49.024885262621112</v>
      </c>
      <c r="K150" s="36">
        <v>-1.9E-2</v>
      </c>
      <c r="L150" s="31">
        <v>46.65</v>
      </c>
      <c r="M150" s="24">
        <v>44.8</v>
      </c>
      <c r="N150" s="32">
        <v>44.97</v>
      </c>
      <c r="O150" s="24">
        <f>2*((M150*N150)/(M150+N150))</f>
        <v>44.884839033084546</v>
      </c>
      <c r="P150" s="36">
        <v>-0.10199999999999999</v>
      </c>
    </row>
    <row r="151" spans="1:16" x14ac:dyDescent="0.3">
      <c r="A151" s="12" t="s">
        <v>4</v>
      </c>
      <c r="B151" s="5"/>
      <c r="C151" s="3"/>
      <c r="D151" s="3"/>
      <c r="E151" s="24" t="e">
        <f t="shared" ref="E151:E153" si="64">2*((C151*D151)/(C151+D151))</f>
        <v>#DIV/0!</v>
      </c>
      <c r="F151" s="4"/>
      <c r="G151" s="31">
        <v>54.46</v>
      </c>
      <c r="H151" s="24">
        <v>49.1</v>
      </c>
      <c r="I151" s="24">
        <v>49.38</v>
      </c>
      <c r="J151" s="24">
        <f t="shared" ref="J151:J153" si="65">2*((H151*I151)/(H151+I151))</f>
        <v>49.239601949634441</v>
      </c>
      <c r="K151" s="36">
        <v>-1.2999999999999999E-2</v>
      </c>
      <c r="L151" s="31">
        <v>45.25</v>
      </c>
      <c r="M151" s="24">
        <v>44.27</v>
      </c>
      <c r="N151" s="24">
        <v>44.15</v>
      </c>
      <c r="O151" s="24">
        <f t="shared" ref="O151:O153" si="66">2*((M151*N151)/(M151+N151))</f>
        <v>44.209918570459173</v>
      </c>
      <c r="P151" s="36">
        <v>-0.11600000000000001</v>
      </c>
    </row>
    <row r="152" spans="1:16" x14ac:dyDescent="0.3">
      <c r="A152" s="12" t="s">
        <v>0</v>
      </c>
      <c r="B152" s="5"/>
      <c r="C152" s="3"/>
      <c r="D152" s="3"/>
      <c r="E152" s="24" t="e">
        <f t="shared" si="64"/>
        <v>#DIV/0!</v>
      </c>
      <c r="F152" s="4"/>
      <c r="G152" s="31">
        <v>47.67</v>
      </c>
      <c r="H152" s="24">
        <v>48.31</v>
      </c>
      <c r="I152" s="24">
        <v>48.34</v>
      </c>
      <c r="J152" s="24">
        <f t="shared" si="65"/>
        <v>48.324995344024835</v>
      </c>
      <c r="K152" s="36">
        <v>-3.3000000000000002E-2</v>
      </c>
      <c r="L152" s="31">
        <v>51.29</v>
      </c>
      <c r="M152" s="24">
        <v>50.21</v>
      </c>
      <c r="N152" s="32">
        <v>50.2</v>
      </c>
      <c r="O152" s="24">
        <f t="shared" si="66"/>
        <v>50.204999502041638</v>
      </c>
      <c r="P152" s="36">
        <v>4.0000000000000001E-3</v>
      </c>
    </row>
    <row r="153" spans="1:16" ht="15" thickBot="1" x14ac:dyDescent="0.35">
      <c r="A153" s="13" t="s">
        <v>5</v>
      </c>
      <c r="B153" s="6"/>
      <c r="C153" s="7"/>
      <c r="D153" s="7"/>
      <c r="E153" s="25" t="e">
        <f t="shared" si="64"/>
        <v>#DIV/0!</v>
      </c>
      <c r="F153" s="8"/>
      <c r="G153" s="33">
        <v>73.540000000000006</v>
      </c>
      <c r="H153" s="25">
        <v>38.549999999999997</v>
      </c>
      <c r="I153" s="25">
        <v>49.76</v>
      </c>
      <c r="J153" s="25">
        <f t="shared" si="65"/>
        <v>43.443505831729134</v>
      </c>
      <c r="K153" s="37">
        <v>-7.0000000000000001E-3</v>
      </c>
      <c r="L153" s="33">
        <v>71.52</v>
      </c>
      <c r="M153" s="25">
        <v>57.98</v>
      </c>
      <c r="N153" s="25">
        <v>54.4</v>
      </c>
      <c r="O153" s="25">
        <f t="shared" si="66"/>
        <v>56.132977398113539</v>
      </c>
      <c r="P153" s="37">
        <v>0.107</v>
      </c>
    </row>
    <row r="154" spans="1:16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6" spans="1:16" s="17" customFormat="1" x14ac:dyDescent="0.3"/>
    <row r="157" spans="1:16" x14ac:dyDescent="0.3">
      <c r="A157" t="s">
        <v>25</v>
      </c>
      <c r="B157" t="s">
        <v>1</v>
      </c>
      <c r="C157" t="s">
        <v>2</v>
      </c>
      <c r="G157" t="s">
        <v>27</v>
      </c>
    </row>
    <row r="158" spans="1:16" x14ac:dyDescent="0.3">
      <c r="A158" t="s">
        <v>3</v>
      </c>
      <c r="B158">
        <f>11053+7949</f>
        <v>19002</v>
      </c>
      <c r="C158">
        <f>8881+5650</f>
        <v>14531</v>
      </c>
      <c r="D158">
        <f>B158+C158</f>
        <v>33533</v>
      </c>
      <c r="E158" s="16">
        <f>(B158/D158)</f>
        <v>0.5666656726210002</v>
      </c>
      <c r="F158" s="16">
        <f>C158/D158</f>
        <v>0.4333343273789998</v>
      </c>
      <c r="G158">
        <f>B31+B45+B59+B73</f>
        <v>19002</v>
      </c>
      <c r="H158">
        <f>C31+C45+C59+C73</f>
        <v>14531</v>
      </c>
    </row>
    <row r="159" spans="1:16" x14ac:dyDescent="0.3">
      <c r="A159" t="s">
        <v>4</v>
      </c>
      <c r="B159">
        <f>16170+4488</f>
        <v>20658</v>
      </c>
      <c r="C159">
        <v>12875</v>
      </c>
      <c r="D159">
        <f t="shared" ref="D159:D161" si="67">B159+C159</f>
        <v>33533</v>
      </c>
      <c r="E159" s="16">
        <f t="shared" ref="E159:E161" si="68">(B159/D159)</f>
        <v>0.61604986133062956</v>
      </c>
      <c r="F159" s="16">
        <f t="shared" ref="F159:F161" si="69">C159/D159</f>
        <v>0.38395013866937044</v>
      </c>
      <c r="G159">
        <f t="shared" ref="G159:H161" si="70">B32+B46+B60+B74</f>
        <v>20658</v>
      </c>
      <c r="H159">
        <f t="shared" si="70"/>
        <v>12875</v>
      </c>
    </row>
    <row r="160" spans="1:16" x14ac:dyDescent="0.3">
      <c r="A160" t="s">
        <v>0</v>
      </c>
      <c r="B160">
        <f>9333+7109</f>
        <v>16442</v>
      </c>
      <c r="C160">
        <f>9813+7278</f>
        <v>17091</v>
      </c>
      <c r="D160">
        <f t="shared" si="67"/>
        <v>33533</v>
      </c>
      <c r="E160" s="16">
        <f t="shared" si="68"/>
        <v>0.49032296543703219</v>
      </c>
      <c r="F160" s="16">
        <f t="shared" si="69"/>
        <v>0.50967703456296787</v>
      </c>
      <c r="G160">
        <f t="shared" si="70"/>
        <v>16442</v>
      </c>
      <c r="H160">
        <f t="shared" si="70"/>
        <v>17091</v>
      </c>
    </row>
    <row r="161" spans="1:16" x14ac:dyDescent="0.3">
      <c r="A161" t="s">
        <v>5</v>
      </c>
      <c r="B161">
        <v>25663</v>
      </c>
      <c r="C161">
        <v>7870</v>
      </c>
      <c r="D161">
        <f t="shared" si="67"/>
        <v>33533</v>
      </c>
      <c r="E161" s="16">
        <f t="shared" si="68"/>
        <v>0.76530581814928578</v>
      </c>
      <c r="F161" s="16">
        <f t="shared" si="69"/>
        <v>0.23469418185071422</v>
      </c>
      <c r="G161">
        <f t="shared" si="70"/>
        <v>25663</v>
      </c>
      <c r="H161">
        <f t="shared" si="70"/>
        <v>7870</v>
      </c>
    </row>
    <row r="162" spans="1:16" ht="15" thickBot="1" x14ac:dyDescent="0.35">
      <c r="E162" s="16"/>
      <c r="F162" s="16"/>
    </row>
    <row r="163" spans="1:16" ht="15" thickBot="1" x14ac:dyDescent="0.35">
      <c r="A163" s="61"/>
      <c r="B163" s="63" t="s">
        <v>12</v>
      </c>
      <c r="C163" s="64"/>
      <c r="D163" s="64"/>
      <c r="E163" s="64"/>
      <c r="F163" s="65"/>
      <c r="G163" s="63" t="s">
        <v>11</v>
      </c>
      <c r="H163" s="64"/>
      <c r="I163" s="64"/>
      <c r="J163" s="64"/>
      <c r="K163" s="65"/>
      <c r="L163" s="63" t="s">
        <v>13</v>
      </c>
      <c r="M163" s="64"/>
      <c r="N163" s="64"/>
      <c r="O163" s="64"/>
      <c r="P163" s="65"/>
    </row>
    <row r="164" spans="1:16" ht="15" thickBot="1" x14ac:dyDescent="0.35">
      <c r="A164" s="62"/>
      <c r="B164" s="9" t="s">
        <v>6</v>
      </c>
      <c r="C164" s="10" t="s">
        <v>7</v>
      </c>
      <c r="D164" s="7" t="s">
        <v>8</v>
      </c>
      <c r="E164" s="7" t="s">
        <v>9</v>
      </c>
      <c r="F164" s="8" t="s">
        <v>10</v>
      </c>
      <c r="G164" s="9" t="s">
        <v>6</v>
      </c>
      <c r="H164" s="10" t="s">
        <v>7</v>
      </c>
      <c r="I164" s="7" t="s">
        <v>8</v>
      </c>
      <c r="J164" s="7" t="s">
        <v>9</v>
      </c>
      <c r="K164" s="8" t="s">
        <v>10</v>
      </c>
      <c r="L164" s="9" t="s">
        <v>6</v>
      </c>
      <c r="M164" s="10" t="s">
        <v>7</v>
      </c>
      <c r="N164" s="7" t="s">
        <v>8</v>
      </c>
      <c r="O164" s="7" t="s">
        <v>9</v>
      </c>
      <c r="P164" s="8" t="s">
        <v>10</v>
      </c>
    </row>
    <row r="165" spans="1:16" x14ac:dyDescent="0.3">
      <c r="A165" s="11" t="s">
        <v>3</v>
      </c>
      <c r="B165" s="1"/>
      <c r="C165" s="2"/>
      <c r="D165" s="3"/>
      <c r="E165" s="24" t="e">
        <f>2*((C165*D165)/(C165+D165))</f>
        <v>#DIV/0!</v>
      </c>
      <c r="F165" s="4"/>
      <c r="G165" s="31">
        <v>40.549999999999997</v>
      </c>
      <c r="H165" s="24">
        <v>40.53</v>
      </c>
      <c r="I165" s="24">
        <v>40.36</v>
      </c>
      <c r="J165" s="24">
        <f>2*((H165*I165)/(H165+I165))</f>
        <v>40.444821362343923</v>
      </c>
      <c r="K165" s="36">
        <v>-0.19</v>
      </c>
      <c r="L165" s="31">
        <v>37.03</v>
      </c>
      <c r="M165" s="24">
        <v>34.39</v>
      </c>
      <c r="N165" s="32">
        <v>35.1</v>
      </c>
      <c r="O165" s="24">
        <f>2*((M165*N165)/(M165+N165))</f>
        <v>34.74137285940423</v>
      </c>
      <c r="P165" s="36">
        <v>-0.30299999999999999</v>
      </c>
    </row>
    <row r="166" spans="1:16" x14ac:dyDescent="0.3">
      <c r="A166" s="12" t="s">
        <v>4</v>
      </c>
      <c r="B166" s="5"/>
      <c r="C166" s="3"/>
      <c r="D166" s="3"/>
      <c r="E166" s="24" t="e">
        <f t="shared" ref="E166:E168" si="71">2*((C166*D166)/(C166+D166))</f>
        <v>#DIV/0!</v>
      </c>
      <c r="F166" s="4"/>
      <c r="G166" s="31">
        <v>51.2</v>
      </c>
      <c r="H166" s="24">
        <v>37.94</v>
      </c>
      <c r="I166" s="24">
        <v>43.02</v>
      </c>
      <c r="J166" s="24">
        <f t="shared" ref="J166:J168" si="72">2*((H166*I166)/(H166+I166))</f>
        <v>40.320622529644261</v>
      </c>
      <c r="K166" s="36">
        <v>-0.156</v>
      </c>
      <c r="L166" s="31">
        <v>57.13</v>
      </c>
      <c r="M166" s="24">
        <v>52.62</v>
      </c>
      <c r="N166" s="24">
        <v>52.26</v>
      </c>
      <c r="O166" s="24">
        <f t="shared" ref="O166:O168" si="73">2*((M166*N166)/(M166+N166))</f>
        <v>52.439382151029747</v>
      </c>
      <c r="P166" s="36">
        <v>4.7E-2</v>
      </c>
    </row>
    <row r="167" spans="1:16" x14ac:dyDescent="0.3">
      <c r="A167" s="12" t="s">
        <v>0</v>
      </c>
      <c r="B167" s="5"/>
      <c r="C167" s="3"/>
      <c r="D167" s="3"/>
      <c r="E167" s="24" t="e">
        <f t="shared" si="71"/>
        <v>#DIV/0!</v>
      </c>
      <c r="F167" s="4"/>
      <c r="G167" s="31">
        <v>49.54</v>
      </c>
      <c r="H167" s="24">
        <v>49.67</v>
      </c>
      <c r="I167" s="24">
        <v>49.67</v>
      </c>
      <c r="J167" s="24">
        <f t="shared" si="72"/>
        <v>49.67</v>
      </c>
      <c r="K167" s="36">
        <v>-7.0000000000000001E-3</v>
      </c>
      <c r="L167" s="31">
        <v>43.98</v>
      </c>
      <c r="M167" s="24">
        <v>43.2</v>
      </c>
      <c r="N167" s="32">
        <v>44.38</v>
      </c>
      <c r="O167" s="24">
        <f t="shared" si="73"/>
        <v>43.782050696506055</v>
      </c>
      <c r="P167" s="36">
        <v>-0.111</v>
      </c>
    </row>
    <row r="168" spans="1:16" ht="15" thickBot="1" x14ac:dyDescent="0.35">
      <c r="A168" s="13" t="s">
        <v>5</v>
      </c>
      <c r="B168" s="6"/>
      <c r="C168" s="7"/>
      <c r="D168" s="7"/>
      <c r="E168" s="25" t="e">
        <f t="shared" si="71"/>
        <v>#DIV/0!</v>
      </c>
      <c r="F168" s="8"/>
      <c r="G168" s="33">
        <v>76.53</v>
      </c>
      <c r="H168" s="25">
        <v>38.270000000000003</v>
      </c>
      <c r="I168" s="25">
        <v>50</v>
      </c>
      <c r="J168" s="25">
        <f t="shared" si="72"/>
        <v>43.355613458706245</v>
      </c>
      <c r="K168" s="37">
        <v>0</v>
      </c>
      <c r="L168" s="33">
        <v>75.05</v>
      </c>
      <c r="M168" s="25">
        <v>48.73</v>
      </c>
      <c r="N168" s="25">
        <v>49.82</v>
      </c>
      <c r="O168" s="25">
        <f t="shared" si="73"/>
        <v>49.268972095383056</v>
      </c>
      <c r="P168" s="37">
        <v>-5.0000000000000001E-3</v>
      </c>
    </row>
    <row r="170" spans="1:16" s="17" customFormat="1" x14ac:dyDescent="0.3"/>
    <row r="171" spans="1:16" x14ac:dyDescent="0.3">
      <c r="A171" t="s">
        <v>26</v>
      </c>
      <c r="B171" t="s">
        <v>1</v>
      </c>
      <c r="C171" t="s">
        <v>2</v>
      </c>
      <c r="G171" t="s">
        <v>27</v>
      </c>
    </row>
    <row r="172" spans="1:16" x14ac:dyDescent="0.3">
      <c r="A172" t="s">
        <v>3</v>
      </c>
      <c r="B172">
        <f>4344+6100</f>
        <v>10444</v>
      </c>
      <c r="C172">
        <f>2527+5905</f>
        <v>8432</v>
      </c>
      <c r="D172">
        <f>B172+C172</f>
        <v>18876</v>
      </c>
      <c r="E172" s="16">
        <f>(B172/D172)</f>
        <v>0.55329518965882607</v>
      </c>
      <c r="F172" s="16">
        <f>C172/D172</f>
        <v>0.44670481034117399</v>
      </c>
      <c r="G172">
        <f>B87+B101+B115+B129</f>
        <v>10444</v>
      </c>
      <c r="H172">
        <f>C87+C101+C115+C129</f>
        <v>8432</v>
      </c>
    </row>
    <row r="173" spans="1:16" x14ac:dyDescent="0.3">
      <c r="A173" t="s">
        <v>4</v>
      </c>
      <c r="B173">
        <f>6227+6353</f>
        <v>12580</v>
      </c>
      <c r="C173">
        <f>3161+3135</f>
        <v>6296</v>
      </c>
      <c r="D173">
        <f t="shared" ref="D173:D175" si="74">B173+C173</f>
        <v>18876</v>
      </c>
      <c r="E173" s="16">
        <f t="shared" ref="E173:E175" si="75">(B173/D173)</f>
        <v>0.66645475736384829</v>
      </c>
      <c r="F173" s="16">
        <f t="shared" ref="F173:F175" si="76">C173/D173</f>
        <v>0.33354524263615171</v>
      </c>
      <c r="G173">
        <f t="shared" ref="G173:H175" si="77">B88+B102+B116+B130</f>
        <v>12580</v>
      </c>
      <c r="H173">
        <f t="shared" si="77"/>
        <v>6296</v>
      </c>
    </row>
    <row r="174" spans="1:16" x14ac:dyDescent="0.3">
      <c r="A174" t="s">
        <v>0</v>
      </c>
      <c r="B174">
        <f>5633+3498</f>
        <v>9131</v>
      </c>
      <c r="C174">
        <f>7480+2265</f>
        <v>9745</v>
      </c>
      <c r="D174">
        <f t="shared" si="74"/>
        <v>18876</v>
      </c>
      <c r="E174" s="16">
        <f t="shared" si="75"/>
        <v>0.48373596100868826</v>
      </c>
      <c r="F174" s="16">
        <f t="shared" si="76"/>
        <v>0.51626403899131168</v>
      </c>
      <c r="G174">
        <f t="shared" si="77"/>
        <v>9131</v>
      </c>
      <c r="H174">
        <f t="shared" si="77"/>
        <v>9745</v>
      </c>
    </row>
    <row r="175" spans="1:16" x14ac:dyDescent="0.3">
      <c r="A175" t="s">
        <v>5</v>
      </c>
      <c r="B175">
        <f>13539+302</f>
        <v>13841</v>
      </c>
      <c r="C175">
        <f>4896+139</f>
        <v>5035</v>
      </c>
      <c r="D175">
        <f t="shared" si="74"/>
        <v>18876</v>
      </c>
      <c r="E175" s="16">
        <f t="shared" si="75"/>
        <v>0.7332591650773469</v>
      </c>
      <c r="F175" s="16">
        <f t="shared" si="76"/>
        <v>0.2667408349226531</v>
      </c>
      <c r="G175">
        <f t="shared" si="77"/>
        <v>13841</v>
      </c>
      <c r="H175">
        <f t="shared" si="77"/>
        <v>5035</v>
      </c>
    </row>
    <row r="176" spans="1:16" ht="15" thickBot="1" x14ac:dyDescent="0.35"/>
    <row r="177" spans="1:20" ht="15" thickBot="1" x14ac:dyDescent="0.35">
      <c r="A177" s="61"/>
      <c r="B177" s="63" t="s">
        <v>12</v>
      </c>
      <c r="C177" s="64"/>
      <c r="D177" s="64"/>
      <c r="E177" s="64"/>
      <c r="F177" s="65"/>
      <c r="G177" s="63" t="s">
        <v>11</v>
      </c>
      <c r="H177" s="64"/>
      <c r="I177" s="64"/>
      <c r="J177" s="64"/>
      <c r="K177" s="65"/>
      <c r="L177" s="63" t="s">
        <v>13</v>
      </c>
      <c r="M177" s="64"/>
      <c r="N177" s="64"/>
      <c r="O177" s="64"/>
      <c r="P177" s="65"/>
    </row>
    <row r="178" spans="1:20" ht="15" thickBot="1" x14ac:dyDescent="0.35">
      <c r="A178" s="62"/>
      <c r="B178" s="9" t="s">
        <v>6</v>
      </c>
      <c r="C178" s="10" t="s">
        <v>7</v>
      </c>
      <c r="D178" s="7" t="s">
        <v>8</v>
      </c>
      <c r="E178" s="7" t="s">
        <v>9</v>
      </c>
      <c r="F178" s="8" t="s">
        <v>10</v>
      </c>
      <c r="G178" s="9" t="s">
        <v>6</v>
      </c>
      <c r="H178" s="10" t="s">
        <v>7</v>
      </c>
      <c r="I178" s="7" t="s">
        <v>8</v>
      </c>
      <c r="J178" s="7" t="s">
        <v>9</v>
      </c>
      <c r="K178" s="8" t="s">
        <v>10</v>
      </c>
      <c r="L178" s="9" t="s">
        <v>6</v>
      </c>
      <c r="M178" s="10" t="s">
        <v>7</v>
      </c>
      <c r="N178" s="7" t="s">
        <v>8</v>
      </c>
      <c r="O178" s="7" t="s">
        <v>9</v>
      </c>
      <c r="P178" s="8" t="s">
        <v>10</v>
      </c>
    </row>
    <row r="179" spans="1:20" x14ac:dyDescent="0.3">
      <c r="A179" s="11" t="s">
        <v>3</v>
      </c>
      <c r="B179" s="1"/>
      <c r="C179" s="2"/>
      <c r="D179" s="3"/>
      <c r="E179" s="24" t="e">
        <f>2*((C179*D179)/(C179+D179))</f>
        <v>#DIV/0!</v>
      </c>
      <c r="F179" s="4"/>
      <c r="G179" s="31">
        <v>54.3</v>
      </c>
      <c r="H179" s="24">
        <v>56.21</v>
      </c>
      <c r="I179" s="24">
        <v>55.81</v>
      </c>
      <c r="J179" s="24">
        <f>2*((H179*I179)/(H179+I179))</f>
        <v>56.009285841813956</v>
      </c>
      <c r="K179" s="36">
        <v>0.112</v>
      </c>
      <c r="L179" s="31">
        <v>45.93</v>
      </c>
      <c r="M179" s="24">
        <v>45.03</v>
      </c>
      <c r="N179" s="32">
        <v>45.08</v>
      </c>
      <c r="O179" s="24">
        <f>2*((M179*N179)/(M179+N179))</f>
        <v>45.054986128065693</v>
      </c>
      <c r="P179" s="36">
        <v>-9.9000000000000005E-2</v>
      </c>
    </row>
    <row r="180" spans="1:20" x14ac:dyDescent="0.3">
      <c r="A180" s="12" t="s">
        <v>4</v>
      </c>
      <c r="B180" s="5"/>
      <c r="C180" s="3"/>
      <c r="D180" s="3"/>
      <c r="E180" s="24" t="e">
        <f t="shared" ref="E180:E182" si="78">2*((C180*D180)/(C180+D180))</f>
        <v>#DIV/0!</v>
      </c>
      <c r="F180" s="4"/>
      <c r="G180" s="31">
        <v>49.6</v>
      </c>
      <c r="H180" s="24">
        <v>49.69</v>
      </c>
      <c r="I180" s="24">
        <v>49.65</v>
      </c>
      <c r="J180" s="24">
        <f t="shared" ref="J180:J182" si="79">2*((H180*I180)/(H180+I180))</f>
        <v>49.669991946849201</v>
      </c>
      <c r="K180" s="36">
        <v>-6.0000000000000001E-3</v>
      </c>
      <c r="L180" s="31">
        <v>49.65</v>
      </c>
      <c r="M180" s="24">
        <v>46.9</v>
      </c>
      <c r="N180" s="24">
        <v>46.61</v>
      </c>
      <c r="O180" s="24">
        <f t="shared" ref="O180:O182" si="80">2*((M180*N180)/(M180+N180))</f>
        <v>46.754550315474283</v>
      </c>
      <c r="P180" s="36">
        <v>-6.4000000000000001E-2</v>
      </c>
    </row>
    <row r="181" spans="1:20" x14ac:dyDescent="0.3">
      <c r="A181" s="12" t="s">
        <v>0</v>
      </c>
      <c r="B181" s="5"/>
      <c r="C181" s="3"/>
      <c r="D181" s="3"/>
      <c r="E181" s="24" t="e">
        <f t="shared" si="78"/>
        <v>#DIV/0!</v>
      </c>
      <c r="F181" s="4"/>
      <c r="G181" s="31">
        <v>58.16</v>
      </c>
      <c r="H181" s="24">
        <v>58.87</v>
      </c>
      <c r="I181" s="24">
        <v>57.53</v>
      </c>
      <c r="J181" s="24">
        <f t="shared" si="79"/>
        <v>58.192286941580754</v>
      </c>
      <c r="K181" s="36">
        <v>0.152</v>
      </c>
      <c r="L181" s="31">
        <v>48.58</v>
      </c>
      <c r="M181" s="24">
        <v>48.42</v>
      </c>
      <c r="N181" s="32">
        <v>48.43</v>
      </c>
      <c r="O181" s="24">
        <f t="shared" si="80"/>
        <v>48.424999483737736</v>
      </c>
      <c r="P181" s="36">
        <v>-3.1E-2</v>
      </c>
    </row>
    <row r="182" spans="1:20" ht="15" thickBot="1" x14ac:dyDescent="0.35">
      <c r="A182" s="13" t="s">
        <v>5</v>
      </c>
      <c r="B182" s="6"/>
      <c r="C182" s="7"/>
      <c r="D182" s="7"/>
      <c r="E182" s="25" t="e">
        <f t="shared" si="78"/>
        <v>#DIV/0!</v>
      </c>
      <c r="F182" s="8"/>
      <c r="G182" s="33">
        <v>72.459999999999994</v>
      </c>
      <c r="H182" s="25">
        <v>52.48</v>
      </c>
      <c r="I182" s="25">
        <v>50.29</v>
      </c>
      <c r="J182" s="25">
        <f t="shared" si="79"/>
        <v>51.361665855794492</v>
      </c>
      <c r="K182" s="37">
        <v>8.0000000000000002E-3</v>
      </c>
      <c r="L182" s="33">
        <v>52.41</v>
      </c>
      <c r="M182" s="25">
        <v>42.52</v>
      </c>
      <c r="N182" s="25">
        <v>41.81</v>
      </c>
      <c r="O182" s="25">
        <f t="shared" si="80"/>
        <v>42.162011146685636</v>
      </c>
      <c r="P182" s="37">
        <v>-0.156</v>
      </c>
    </row>
    <row r="184" spans="1:20" s="18" customFormat="1" x14ac:dyDescent="0.3"/>
    <row r="185" spans="1:20" ht="15" thickBot="1" x14ac:dyDescent="0.35">
      <c r="A185" t="s">
        <v>31</v>
      </c>
      <c r="H185" t="s">
        <v>32</v>
      </c>
      <c r="O185" t="s">
        <v>33</v>
      </c>
    </row>
    <row r="186" spans="1:20" ht="15" thickBot="1" x14ac:dyDescent="0.35">
      <c r="A186" s="67"/>
      <c r="B186" s="61"/>
      <c r="C186" s="20" t="s">
        <v>6</v>
      </c>
      <c r="D186" s="21" t="s">
        <v>7</v>
      </c>
      <c r="E186" s="22" t="s">
        <v>8</v>
      </c>
      <c r="F186" s="23" t="s">
        <v>9</v>
      </c>
      <c r="H186" s="63"/>
      <c r="I186" s="65"/>
      <c r="J186" s="21" t="s">
        <v>6</v>
      </c>
      <c r="K186" s="21" t="s">
        <v>7</v>
      </c>
      <c r="L186" s="22" t="s">
        <v>8</v>
      </c>
      <c r="M186" s="23" t="s">
        <v>9</v>
      </c>
      <c r="O186" s="63"/>
      <c r="P186" s="65"/>
      <c r="Q186" s="21" t="s">
        <v>6</v>
      </c>
      <c r="R186" s="21" t="s">
        <v>7</v>
      </c>
      <c r="S186" s="22" t="s">
        <v>8</v>
      </c>
      <c r="T186" s="23" t="s">
        <v>9</v>
      </c>
    </row>
    <row r="187" spans="1:20" x14ac:dyDescent="0.3">
      <c r="A187" s="66" t="s">
        <v>3</v>
      </c>
      <c r="B187" s="19" t="s">
        <v>29</v>
      </c>
      <c r="C187" s="3">
        <f>B150</f>
        <v>0</v>
      </c>
      <c r="D187" s="3">
        <f t="shared" ref="D187:E187" si="81">C150</f>
        <v>0</v>
      </c>
      <c r="E187" s="3">
        <f t="shared" si="81"/>
        <v>0</v>
      </c>
      <c r="F187" s="26" t="e">
        <f>E150</f>
        <v>#DIV/0!</v>
      </c>
      <c r="H187" s="59" t="s">
        <v>3</v>
      </c>
      <c r="I187" s="4" t="s">
        <v>29</v>
      </c>
      <c r="J187" s="3">
        <f>B165</f>
        <v>0</v>
      </c>
      <c r="K187" s="3">
        <f t="shared" ref="K187:M187" si="82">C165</f>
        <v>0</v>
      </c>
      <c r="L187" s="3">
        <f t="shared" si="82"/>
        <v>0</v>
      </c>
      <c r="M187" s="26" t="e">
        <f t="shared" si="82"/>
        <v>#DIV/0!</v>
      </c>
      <c r="O187" s="59" t="s">
        <v>3</v>
      </c>
      <c r="P187" s="4" t="s">
        <v>29</v>
      </c>
      <c r="Q187" s="3">
        <f>B179</f>
        <v>0</v>
      </c>
      <c r="R187" s="3">
        <f t="shared" ref="R187:S187" si="83">C179</f>
        <v>0</v>
      </c>
      <c r="S187" s="3">
        <f t="shared" si="83"/>
        <v>0</v>
      </c>
      <c r="T187" s="26" t="e">
        <f>E179</f>
        <v>#DIV/0!</v>
      </c>
    </row>
    <row r="188" spans="1:20" x14ac:dyDescent="0.3">
      <c r="A188" s="59"/>
      <c r="B188" s="4" t="s">
        <v>14</v>
      </c>
      <c r="C188" s="3">
        <f>B10</f>
        <v>0</v>
      </c>
      <c r="D188" s="3">
        <f t="shared" ref="D188:F188" si="84">C10</f>
        <v>0</v>
      </c>
      <c r="E188" s="3">
        <f t="shared" si="84"/>
        <v>0</v>
      </c>
      <c r="F188" s="26" t="e">
        <f t="shared" si="84"/>
        <v>#DIV/0!</v>
      </c>
      <c r="H188" s="59"/>
      <c r="I188" s="4" t="s">
        <v>16</v>
      </c>
      <c r="J188" s="3">
        <f>B38</f>
        <v>0</v>
      </c>
      <c r="K188" s="3">
        <f t="shared" ref="K188:M188" si="85">C38</f>
        <v>0</v>
      </c>
      <c r="L188" s="3">
        <f t="shared" si="85"/>
        <v>0</v>
      </c>
      <c r="M188" s="26" t="e">
        <f t="shared" si="85"/>
        <v>#DIV/0!</v>
      </c>
      <c r="O188" s="59"/>
      <c r="P188" s="4" t="s">
        <v>20</v>
      </c>
      <c r="Q188" s="3">
        <f>B94</f>
        <v>0</v>
      </c>
      <c r="R188" s="3">
        <f t="shared" ref="R188:T188" si="86">C94</f>
        <v>0</v>
      </c>
      <c r="S188" s="3">
        <f t="shared" si="86"/>
        <v>0</v>
      </c>
      <c r="T188" s="26" t="e">
        <f t="shared" si="86"/>
        <v>#DIV/0!</v>
      </c>
    </row>
    <row r="189" spans="1:20" x14ac:dyDescent="0.3">
      <c r="A189" s="59"/>
      <c r="B189" s="4" t="s">
        <v>15</v>
      </c>
      <c r="C189" s="3">
        <f>B24</f>
        <v>0</v>
      </c>
      <c r="D189" s="3">
        <f t="shared" ref="D189:F189" si="87">C24</f>
        <v>0</v>
      </c>
      <c r="E189" s="3">
        <f t="shared" si="87"/>
        <v>0</v>
      </c>
      <c r="F189" s="26" t="e">
        <f t="shared" si="87"/>
        <v>#DIV/0!</v>
      </c>
      <c r="H189" s="59"/>
      <c r="I189" s="4" t="s">
        <v>17</v>
      </c>
      <c r="J189" s="3">
        <f>B52</f>
        <v>0</v>
      </c>
      <c r="K189" s="3">
        <f t="shared" ref="K189:M189" si="88">C52</f>
        <v>0</v>
      </c>
      <c r="L189" s="3">
        <f t="shared" si="88"/>
        <v>0</v>
      </c>
      <c r="M189" s="26" t="e">
        <f t="shared" si="88"/>
        <v>#DIV/0!</v>
      </c>
      <c r="O189" s="59"/>
      <c r="P189" s="4" t="s">
        <v>21</v>
      </c>
      <c r="Q189" s="3">
        <f>B108</f>
        <v>0</v>
      </c>
      <c r="R189" s="3">
        <f t="shared" ref="R189:T189" si="89">C108</f>
        <v>0</v>
      </c>
      <c r="S189" s="3">
        <f t="shared" si="89"/>
        <v>0</v>
      </c>
      <c r="T189" s="26" t="e">
        <f t="shared" si="89"/>
        <v>#DIV/0!</v>
      </c>
    </row>
    <row r="190" spans="1:20" x14ac:dyDescent="0.3">
      <c r="A190" s="59" t="s">
        <v>4</v>
      </c>
      <c r="B190" s="4" t="s">
        <v>29</v>
      </c>
      <c r="C190" s="3">
        <f>B151</f>
        <v>0</v>
      </c>
      <c r="D190" s="3">
        <f>C151</f>
        <v>0</v>
      </c>
      <c r="E190" s="3">
        <f>D151</f>
        <v>0</v>
      </c>
      <c r="F190" s="26" t="e">
        <f>E151</f>
        <v>#DIV/0!</v>
      </c>
      <c r="H190" s="59"/>
      <c r="I190" s="4" t="s">
        <v>18</v>
      </c>
      <c r="J190" s="3">
        <f>B66</f>
        <v>0</v>
      </c>
      <c r="K190" s="3">
        <f t="shared" ref="K190:M190" si="90">C66</f>
        <v>0</v>
      </c>
      <c r="L190" s="3">
        <f t="shared" si="90"/>
        <v>0</v>
      </c>
      <c r="M190" s="26" t="e">
        <f t="shared" si="90"/>
        <v>#DIV/0!</v>
      </c>
      <c r="O190" s="59"/>
      <c r="P190" s="4" t="s">
        <v>22</v>
      </c>
      <c r="Q190" s="3">
        <f>G122</f>
        <v>91.39</v>
      </c>
      <c r="R190" s="3">
        <f>H122</f>
        <v>45.7</v>
      </c>
      <c r="S190" s="3">
        <f>I122</f>
        <v>50</v>
      </c>
      <c r="T190" s="26" t="e">
        <f t="shared" ref="T190" si="91">E122</f>
        <v>#DIV/0!</v>
      </c>
    </row>
    <row r="191" spans="1:20" x14ac:dyDescent="0.3">
      <c r="A191" s="59"/>
      <c r="B191" s="4" t="s">
        <v>14</v>
      </c>
      <c r="C191" s="3">
        <f>B11</f>
        <v>0</v>
      </c>
      <c r="D191" s="3">
        <f t="shared" ref="D191:F191" si="92">C11</f>
        <v>0</v>
      </c>
      <c r="E191" s="3">
        <f t="shared" si="92"/>
        <v>0</v>
      </c>
      <c r="F191" s="26" t="e">
        <f t="shared" si="92"/>
        <v>#DIV/0!</v>
      </c>
      <c r="H191" s="59"/>
      <c r="I191" s="4" t="s">
        <v>19</v>
      </c>
      <c r="J191" s="3">
        <f>B80</f>
        <v>0</v>
      </c>
      <c r="K191" s="3">
        <f t="shared" ref="K191:M191" si="93">C80</f>
        <v>0</v>
      </c>
      <c r="L191" s="3">
        <f t="shared" si="93"/>
        <v>0</v>
      </c>
      <c r="M191" s="26" t="e">
        <f t="shared" si="93"/>
        <v>#DIV/0!</v>
      </c>
      <c r="O191" s="59"/>
      <c r="P191" s="4" t="s">
        <v>23</v>
      </c>
      <c r="Q191" s="3">
        <f>B136</f>
        <v>0</v>
      </c>
      <c r="R191" s="3">
        <f t="shared" ref="R191:T191" si="94">C136</f>
        <v>0</v>
      </c>
      <c r="S191" s="3">
        <f t="shared" si="94"/>
        <v>0</v>
      </c>
      <c r="T191" s="26" t="e">
        <f t="shared" si="94"/>
        <v>#DIV/0!</v>
      </c>
    </row>
    <row r="192" spans="1:20" x14ac:dyDescent="0.3">
      <c r="A192" s="59"/>
      <c r="B192" s="4" t="s">
        <v>15</v>
      </c>
      <c r="C192" s="3">
        <f>B25</f>
        <v>0</v>
      </c>
      <c r="D192" s="3">
        <f t="shared" ref="D192:F192" si="95">C25</f>
        <v>0</v>
      </c>
      <c r="E192" s="3">
        <f t="shared" si="95"/>
        <v>0</v>
      </c>
      <c r="F192" s="26" t="e">
        <f t="shared" si="95"/>
        <v>#DIV/0!</v>
      </c>
      <c r="H192" s="59" t="s">
        <v>4</v>
      </c>
      <c r="I192" s="4" t="s">
        <v>29</v>
      </c>
      <c r="J192" s="3">
        <f>B166</f>
        <v>0</v>
      </c>
      <c r="K192" s="3">
        <f t="shared" ref="K192:M192" si="96">C166</f>
        <v>0</v>
      </c>
      <c r="L192" s="3">
        <f t="shared" si="96"/>
        <v>0</v>
      </c>
      <c r="M192" s="26" t="e">
        <f t="shared" si="96"/>
        <v>#DIV/0!</v>
      </c>
      <c r="O192" s="59" t="s">
        <v>4</v>
      </c>
      <c r="P192" s="4" t="s">
        <v>29</v>
      </c>
      <c r="Q192" s="3">
        <f>B180</f>
        <v>0</v>
      </c>
      <c r="R192" s="3">
        <f t="shared" ref="R192:T192" si="97">C180</f>
        <v>0</v>
      </c>
      <c r="S192" s="3">
        <f t="shared" si="97"/>
        <v>0</v>
      </c>
      <c r="T192" s="26" t="e">
        <f t="shared" si="97"/>
        <v>#DIV/0!</v>
      </c>
    </row>
    <row r="193" spans="1:20" x14ac:dyDescent="0.3">
      <c r="A193" s="59" t="s">
        <v>0</v>
      </c>
      <c r="B193" s="4" t="s">
        <v>29</v>
      </c>
      <c r="C193" s="3">
        <f>B152</f>
        <v>0</v>
      </c>
      <c r="D193" s="3">
        <f t="shared" ref="D193:F193" si="98">C152</f>
        <v>0</v>
      </c>
      <c r="E193" s="3">
        <f t="shared" si="98"/>
        <v>0</v>
      </c>
      <c r="F193" s="26" t="e">
        <f t="shared" si="98"/>
        <v>#DIV/0!</v>
      </c>
      <c r="H193" s="59"/>
      <c r="I193" s="4" t="s">
        <v>16</v>
      </c>
      <c r="J193" s="3">
        <f>B39</f>
        <v>0</v>
      </c>
      <c r="K193" s="3">
        <f t="shared" ref="K193:M193" si="99">C39</f>
        <v>0</v>
      </c>
      <c r="L193" s="3">
        <f t="shared" si="99"/>
        <v>0</v>
      </c>
      <c r="M193" s="26" t="e">
        <f t="shared" si="99"/>
        <v>#DIV/0!</v>
      </c>
      <c r="O193" s="59"/>
      <c r="P193" s="4" t="s">
        <v>20</v>
      </c>
      <c r="Q193" s="3">
        <f>B95</f>
        <v>0</v>
      </c>
      <c r="R193" s="3">
        <f t="shared" ref="R193:T193" si="100">C95</f>
        <v>0</v>
      </c>
      <c r="S193" s="3">
        <f t="shared" si="100"/>
        <v>0</v>
      </c>
      <c r="T193" s="26" t="e">
        <f t="shared" si="100"/>
        <v>#DIV/0!</v>
      </c>
    </row>
    <row r="194" spans="1:20" x14ac:dyDescent="0.3">
      <c r="A194" s="59"/>
      <c r="B194" s="4" t="s">
        <v>14</v>
      </c>
      <c r="C194" s="3">
        <f>B12</f>
        <v>0</v>
      </c>
      <c r="D194" s="3">
        <f t="shared" ref="D194:F194" si="101">C12</f>
        <v>0</v>
      </c>
      <c r="E194" s="3">
        <f t="shared" si="101"/>
        <v>0</v>
      </c>
      <c r="F194" s="26" t="e">
        <f t="shared" si="101"/>
        <v>#DIV/0!</v>
      </c>
      <c r="H194" s="59"/>
      <c r="I194" s="4" t="s">
        <v>17</v>
      </c>
      <c r="J194" s="3">
        <f>B53</f>
        <v>0</v>
      </c>
      <c r="K194" s="3">
        <f t="shared" ref="K194:M194" si="102">C53</f>
        <v>0</v>
      </c>
      <c r="L194" s="3">
        <f t="shared" si="102"/>
        <v>0</v>
      </c>
      <c r="M194" s="26" t="e">
        <f t="shared" si="102"/>
        <v>#DIV/0!</v>
      </c>
      <c r="O194" s="59"/>
      <c r="P194" s="4" t="s">
        <v>21</v>
      </c>
      <c r="Q194" s="3">
        <f>B109</f>
        <v>0</v>
      </c>
      <c r="R194" s="3">
        <f t="shared" ref="R194:T194" si="103">C109</f>
        <v>0</v>
      </c>
      <c r="S194" s="3">
        <f t="shared" si="103"/>
        <v>0</v>
      </c>
      <c r="T194" s="26" t="e">
        <f t="shared" si="103"/>
        <v>#DIV/0!</v>
      </c>
    </row>
    <row r="195" spans="1:20" x14ac:dyDescent="0.3">
      <c r="A195" s="59"/>
      <c r="B195" s="4" t="s">
        <v>15</v>
      </c>
      <c r="C195" s="3">
        <f>B26</f>
        <v>0</v>
      </c>
      <c r="D195" s="3">
        <f t="shared" ref="D195:F195" si="104">C26</f>
        <v>0</v>
      </c>
      <c r="E195" s="3">
        <f t="shared" si="104"/>
        <v>0</v>
      </c>
      <c r="F195" s="26" t="e">
        <f t="shared" si="104"/>
        <v>#DIV/0!</v>
      </c>
      <c r="H195" s="59"/>
      <c r="I195" s="4" t="s">
        <v>18</v>
      </c>
      <c r="J195" s="3">
        <f>B67</f>
        <v>0</v>
      </c>
      <c r="K195" s="3">
        <f t="shared" ref="K195:M195" si="105">C67</f>
        <v>0</v>
      </c>
      <c r="L195" s="3">
        <f t="shared" si="105"/>
        <v>0</v>
      </c>
      <c r="M195" s="26" t="e">
        <f t="shared" si="105"/>
        <v>#DIV/0!</v>
      </c>
      <c r="O195" s="59"/>
      <c r="P195" s="4" t="s">
        <v>22</v>
      </c>
      <c r="Q195" s="3">
        <f>B123</f>
        <v>0</v>
      </c>
      <c r="R195" s="3">
        <f t="shared" ref="R195:T195" si="106">C123</f>
        <v>0</v>
      </c>
      <c r="S195" s="3">
        <f t="shared" si="106"/>
        <v>0</v>
      </c>
      <c r="T195" s="26" t="e">
        <f t="shared" si="106"/>
        <v>#DIV/0!</v>
      </c>
    </row>
    <row r="196" spans="1:20" x14ac:dyDescent="0.3">
      <c r="A196" s="59" t="s">
        <v>5</v>
      </c>
      <c r="B196" s="4" t="s">
        <v>29</v>
      </c>
      <c r="C196" s="3">
        <f>B153</f>
        <v>0</v>
      </c>
      <c r="D196" s="3">
        <f t="shared" ref="D196:F196" si="107">C153</f>
        <v>0</v>
      </c>
      <c r="E196" s="3">
        <f t="shared" si="107"/>
        <v>0</v>
      </c>
      <c r="F196" s="26" t="e">
        <f t="shared" si="107"/>
        <v>#DIV/0!</v>
      </c>
      <c r="H196" s="59"/>
      <c r="I196" s="4" t="s">
        <v>19</v>
      </c>
      <c r="J196" s="3">
        <f>B81</f>
        <v>0</v>
      </c>
      <c r="K196" s="3">
        <f t="shared" ref="K196:M196" si="108">C81</f>
        <v>0</v>
      </c>
      <c r="L196" s="3">
        <f t="shared" si="108"/>
        <v>0</v>
      </c>
      <c r="M196" s="26" t="e">
        <f t="shared" si="108"/>
        <v>#DIV/0!</v>
      </c>
      <c r="O196" s="59"/>
      <c r="P196" s="4" t="s">
        <v>23</v>
      </c>
      <c r="Q196" s="3">
        <f>B137</f>
        <v>0</v>
      </c>
      <c r="R196" s="3">
        <f t="shared" ref="R196:T196" si="109">C137</f>
        <v>0</v>
      </c>
      <c r="S196" s="3">
        <f t="shared" si="109"/>
        <v>0</v>
      </c>
      <c r="T196" s="26" t="e">
        <f t="shared" si="109"/>
        <v>#DIV/0!</v>
      </c>
    </row>
    <row r="197" spans="1:20" x14ac:dyDescent="0.3">
      <c r="A197" s="59"/>
      <c r="B197" s="4" t="s">
        <v>14</v>
      </c>
      <c r="C197" s="3">
        <f>B13</f>
        <v>0</v>
      </c>
      <c r="D197" s="3">
        <f t="shared" ref="D197:F197" si="110">C13</f>
        <v>0</v>
      </c>
      <c r="E197" s="3">
        <f t="shared" si="110"/>
        <v>0</v>
      </c>
      <c r="F197" s="26" t="e">
        <f t="shared" si="110"/>
        <v>#DIV/0!</v>
      </c>
      <c r="H197" s="59" t="s">
        <v>0</v>
      </c>
      <c r="I197" s="4" t="s">
        <v>29</v>
      </c>
      <c r="J197" s="3">
        <f>B167</f>
        <v>0</v>
      </c>
      <c r="K197" s="3">
        <f t="shared" ref="K197:M197" si="111">C167</f>
        <v>0</v>
      </c>
      <c r="L197" s="3">
        <f t="shared" si="111"/>
        <v>0</v>
      </c>
      <c r="M197" s="26" t="e">
        <f t="shared" si="111"/>
        <v>#DIV/0!</v>
      </c>
      <c r="O197" s="59" t="s">
        <v>0</v>
      </c>
      <c r="P197" s="4" t="s">
        <v>29</v>
      </c>
      <c r="Q197" s="3">
        <f>B181</f>
        <v>0</v>
      </c>
      <c r="R197" s="3">
        <f t="shared" ref="R197:T197" si="112">C181</f>
        <v>0</v>
      </c>
      <c r="S197" s="3">
        <f t="shared" si="112"/>
        <v>0</v>
      </c>
      <c r="T197" s="26" t="e">
        <f t="shared" si="112"/>
        <v>#DIV/0!</v>
      </c>
    </row>
    <row r="198" spans="1:20" x14ac:dyDescent="0.3">
      <c r="A198" s="59"/>
      <c r="B198" s="4" t="s">
        <v>15</v>
      </c>
      <c r="C198" s="3">
        <f>B27</f>
        <v>0</v>
      </c>
      <c r="D198" s="3">
        <f t="shared" ref="D198:F198" si="113">C27</f>
        <v>0</v>
      </c>
      <c r="E198" s="3">
        <f t="shared" si="113"/>
        <v>0</v>
      </c>
      <c r="F198" s="26" t="e">
        <f t="shared" si="113"/>
        <v>#DIV/0!</v>
      </c>
      <c r="H198" s="59"/>
      <c r="I198" s="4" t="s">
        <v>16</v>
      </c>
      <c r="J198" s="3">
        <f>B40</f>
        <v>0</v>
      </c>
      <c r="K198" s="3">
        <f t="shared" ref="K198:M198" si="114">C40</f>
        <v>0</v>
      </c>
      <c r="L198" s="3">
        <f t="shared" si="114"/>
        <v>0</v>
      </c>
      <c r="M198" s="26" t="e">
        <f t="shared" si="114"/>
        <v>#DIV/0!</v>
      </c>
      <c r="O198" s="59"/>
      <c r="P198" s="4" t="s">
        <v>20</v>
      </c>
      <c r="Q198" s="3">
        <f>B96</f>
        <v>0</v>
      </c>
      <c r="R198" s="3">
        <f t="shared" ref="R198:T198" si="115">C96</f>
        <v>0</v>
      </c>
      <c r="S198" s="3">
        <f t="shared" si="115"/>
        <v>0</v>
      </c>
      <c r="T198" s="26" t="e">
        <f t="shared" si="115"/>
        <v>#DIV/0!</v>
      </c>
    </row>
    <row r="199" spans="1:20" x14ac:dyDescent="0.3">
      <c r="A199" s="59" t="s">
        <v>28</v>
      </c>
      <c r="B199" s="4" t="s">
        <v>29</v>
      </c>
      <c r="C199" s="24">
        <f>AVERAGE(C187,C190,C193,C196)</f>
        <v>0</v>
      </c>
      <c r="D199" s="24">
        <f t="shared" ref="D199:F201" si="116">AVERAGE(D187,D190,D193,D196)</f>
        <v>0</v>
      </c>
      <c r="E199" s="24">
        <f t="shared" si="116"/>
        <v>0</v>
      </c>
      <c r="F199" s="26" t="e">
        <f t="shared" si="116"/>
        <v>#DIV/0!</v>
      </c>
      <c r="H199" s="59"/>
      <c r="I199" s="4" t="s">
        <v>17</v>
      </c>
      <c r="J199" s="3">
        <f>B54</f>
        <v>0</v>
      </c>
      <c r="K199" s="3">
        <f t="shared" ref="K199:M199" si="117">C54</f>
        <v>0</v>
      </c>
      <c r="L199" s="3">
        <f t="shared" si="117"/>
        <v>0</v>
      </c>
      <c r="M199" s="26" t="e">
        <f t="shared" si="117"/>
        <v>#DIV/0!</v>
      </c>
      <c r="O199" s="59"/>
      <c r="P199" s="4" t="s">
        <v>21</v>
      </c>
      <c r="Q199" s="3">
        <f>B110</f>
        <v>0</v>
      </c>
      <c r="R199" s="3">
        <f t="shared" ref="R199:T199" si="118">C110</f>
        <v>0</v>
      </c>
      <c r="S199" s="3">
        <f t="shared" si="118"/>
        <v>0</v>
      </c>
      <c r="T199" s="26" t="e">
        <f t="shared" si="118"/>
        <v>#DIV/0!</v>
      </c>
    </row>
    <row r="200" spans="1:20" x14ac:dyDescent="0.3">
      <c r="A200" s="59"/>
      <c r="B200" s="4" t="s">
        <v>14</v>
      </c>
      <c r="C200" s="24">
        <f>AVERAGE(C188,C191,C194,C197)</f>
        <v>0</v>
      </c>
      <c r="D200" s="24">
        <f t="shared" si="116"/>
        <v>0</v>
      </c>
      <c r="E200" s="24">
        <f t="shared" si="116"/>
        <v>0</v>
      </c>
      <c r="F200" s="26" t="e">
        <f t="shared" si="116"/>
        <v>#DIV/0!</v>
      </c>
      <c r="H200" s="59"/>
      <c r="I200" s="4" t="s">
        <v>18</v>
      </c>
      <c r="J200" s="3">
        <f>B68</f>
        <v>0</v>
      </c>
      <c r="K200" s="3">
        <f t="shared" ref="K200:M200" si="119">C68</f>
        <v>0</v>
      </c>
      <c r="L200" s="3">
        <f t="shared" si="119"/>
        <v>0</v>
      </c>
      <c r="M200" s="26" t="e">
        <f t="shared" si="119"/>
        <v>#DIV/0!</v>
      </c>
      <c r="O200" s="59"/>
      <c r="P200" s="4" t="s">
        <v>22</v>
      </c>
      <c r="Q200" s="3">
        <f>B124</f>
        <v>0</v>
      </c>
      <c r="R200" s="3">
        <f t="shared" ref="R200:T200" si="120">C124</f>
        <v>0</v>
      </c>
      <c r="S200" s="3">
        <f t="shared" si="120"/>
        <v>0</v>
      </c>
      <c r="T200" s="26" t="e">
        <f t="shared" si="120"/>
        <v>#DIV/0!</v>
      </c>
    </row>
    <row r="201" spans="1:20" ht="15" thickBot="1" x14ac:dyDescent="0.35">
      <c r="A201" s="60"/>
      <c r="B201" s="8" t="s">
        <v>15</v>
      </c>
      <c r="C201" s="25">
        <f>AVERAGE(C189,C192,C195,C198)</f>
        <v>0</v>
      </c>
      <c r="D201" s="25">
        <f t="shared" si="116"/>
        <v>0</v>
      </c>
      <c r="E201" s="25">
        <f t="shared" si="116"/>
        <v>0</v>
      </c>
      <c r="F201" s="27" t="e">
        <f t="shared" si="116"/>
        <v>#DIV/0!</v>
      </c>
      <c r="H201" s="59"/>
      <c r="I201" s="4" t="s">
        <v>19</v>
      </c>
      <c r="J201" s="3">
        <f>B82</f>
        <v>0</v>
      </c>
      <c r="K201" s="3">
        <f t="shared" ref="K201:M201" si="121">C82</f>
        <v>0</v>
      </c>
      <c r="L201" s="3">
        <f t="shared" si="121"/>
        <v>0</v>
      </c>
      <c r="M201" s="26" t="e">
        <f t="shared" si="121"/>
        <v>#DIV/0!</v>
      </c>
      <c r="O201" s="59"/>
      <c r="P201" s="4" t="s">
        <v>23</v>
      </c>
      <c r="Q201" s="3">
        <f>B138</f>
        <v>0</v>
      </c>
      <c r="R201" s="3">
        <f t="shared" ref="R201:T201" si="122">C138</f>
        <v>0</v>
      </c>
      <c r="S201" s="3">
        <f t="shared" si="122"/>
        <v>0</v>
      </c>
      <c r="T201" s="26" t="e">
        <f t="shared" si="122"/>
        <v>#DIV/0!</v>
      </c>
    </row>
    <row r="202" spans="1:20" x14ac:dyDescent="0.3">
      <c r="H202" s="59" t="s">
        <v>5</v>
      </c>
      <c r="I202" s="4" t="s">
        <v>29</v>
      </c>
      <c r="J202" s="3">
        <f>B168</f>
        <v>0</v>
      </c>
      <c r="K202" s="3">
        <f t="shared" ref="K202:M202" si="123">C168</f>
        <v>0</v>
      </c>
      <c r="L202" s="3">
        <f t="shared" si="123"/>
        <v>0</v>
      </c>
      <c r="M202" s="26" t="e">
        <f t="shared" si="123"/>
        <v>#DIV/0!</v>
      </c>
      <c r="O202" s="59" t="s">
        <v>5</v>
      </c>
      <c r="P202" s="4" t="s">
        <v>29</v>
      </c>
      <c r="Q202" s="3">
        <f>B182</f>
        <v>0</v>
      </c>
      <c r="R202" s="3">
        <f t="shared" ref="R202:S202" si="124">C182</f>
        <v>0</v>
      </c>
      <c r="S202" s="3">
        <f t="shared" si="124"/>
        <v>0</v>
      </c>
      <c r="T202" s="26" t="e">
        <f>E182</f>
        <v>#DIV/0!</v>
      </c>
    </row>
    <row r="203" spans="1:20" x14ac:dyDescent="0.3">
      <c r="H203" s="59"/>
      <c r="I203" s="4" t="s">
        <v>16</v>
      </c>
      <c r="J203" s="3">
        <f>B41</f>
        <v>0</v>
      </c>
      <c r="K203" s="3">
        <f t="shared" ref="K203:M203" si="125">C41</f>
        <v>0</v>
      </c>
      <c r="L203" s="3">
        <f t="shared" si="125"/>
        <v>0</v>
      </c>
      <c r="M203" s="26" t="e">
        <f t="shared" si="125"/>
        <v>#DIV/0!</v>
      </c>
      <c r="O203" s="59"/>
      <c r="P203" s="4" t="s">
        <v>20</v>
      </c>
      <c r="Q203" s="3">
        <f>B97</f>
        <v>0</v>
      </c>
      <c r="R203" s="3">
        <f t="shared" ref="R203:T203" si="126">C97</f>
        <v>0</v>
      </c>
      <c r="S203" s="3">
        <f t="shared" si="126"/>
        <v>0</v>
      </c>
      <c r="T203" s="26" t="e">
        <f t="shared" si="126"/>
        <v>#DIV/0!</v>
      </c>
    </row>
    <row r="204" spans="1:20" x14ac:dyDescent="0.3">
      <c r="H204" s="59"/>
      <c r="I204" s="4" t="s">
        <v>17</v>
      </c>
      <c r="J204" s="3">
        <f>B55</f>
        <v>0</v>
      </c>
      <c r="K204" s="3">
        <f t="shared" ref="K204:M204" si="127">C55</f>
        <v>0</v>
      </c>
      <c r="L204" s="3">
        <f t="shared" si="127"/>
        <v>0</v>
      </c>
      <c r="M204" s="26" t="e">
        <f t="shared" si="127"/>
        <v>#DIV/0!</v>
      </c>
      <c r="O204" s="59"/>
      <c r="P204" s="4" t="s">
        <v>21</v>
      </c>
      <c r="Q204" s="3">
        <f>B111</f>
        <v>0</v>
      </c>
      <c r="R204" s="3">
        <f t="shared" ref="R204:T204" si="128">C111</f>
        <v>0</v>
      </c>
      <c r="S204" s="3">
        <f t="shared" si="128"/>
        <v>0</v>
      </c>
      <c r="T204" s="26" t="e">
        <f t="shared" si="128"/>
        <v>#DIV/0!</v>
      </c>
    </row>
    <row r="205" spans="1:20" x14ac:dyDescent="0.3">
      <c r="H205" s="59"/>
      <c r="I205" s="4" t="s">
        <v>18</v>
      </c>
      <c r="J205" s="3">
        <f>B69</f>
        <v>0</v>
      </c>
      <c r="K205" s="3">
        <f t="shared" ref="K205:M205" si="129">C69</f>
        <v>0</v>
      </c>
      <c r="L205" s="3">
        <f t="shared" si="129"/>
        <v>0</v>
      </c>
      <c r="M205" s="26" t="e">
        <f t="shared" si="129"/>
        <v>#DIV/0!</v>
      </c>
      <c r="O205" s="59"/>
      <c r="P205" s="4" t="s">
        <v>22</v>
      </c>
      <c r="Q205" s="3">
        <f>B125</f>
        <v>0</v>
      </c>
      <c r="R205" s="3">
        <f t="shared" ref="R205:T205" si="130">C125</f>
        <v>0</v>
      </c>
      <c r="S205" s="3">
        <f t="shared" si="130"/>
        <v>0</v>
      </c>
      <c r="T205" s="26" t="e">
        <f t="shared" si="130"/>
        <v>#DIV/0!</v>
      </c>
    </row>
    <row r="206" spans="1:20" x14ac:dyDescent="0.3">
      <c r="H206" s="59"/>
      <c r="I206" s="4" t="s">
        <v>19</v>
      </c>
      <c r="J206" s="3">
        <f>B83</f>
        <v>0</v>
      </c>
      <c r="K206" s="3">
        <f t="shared" ref="K206:M206" si="131">C83</f>
        <v>0</v>
      </c>
      <c r="L206" s="3">
        <f t="shared" si="131"/>
        <v>0</v>
      </c>
      <c r="M206" s="26" t="e">
        <f t="shared" si="131"/>
        <v>#DIV/0!</v>
      </c>
      <c r="O206" s="59"/>
      <c r="P206" s="4" t="s">
        <v>23</v>
      </c>
      <c r="Q206" s="3">
        <f>B139</f>
        <v>0</v>
      </c>
      <c r="R206" s="3">
        <f t="shared" ref="R206:T206" si="132">C139</f>
        <v>0</v>
      </c>
      <c r="S206" s="3">
        <f t="shared" si="132"/>
        <v>0</v>
      </c>
      <c r="T206" s="26" t="e">
        <f t="shared" si="132"/>
        <v>#DIV/0!</v>
      </c>
    </row>
    <row r="207" spans="1:20" x14ac:dyDescent="0.3">
      <c r="H207" s="59" t="s">
        <v>28</v>
      </c>
      <c r="I207" s="4" t="s">
        <v>29</v>
      </c>
      <c r="J207" s="24">
        <f>AVERAGE(J187,J192,J197,J202)</f>
        <v>0</v>
      </c>
      <c r="K207" s="24">
        <f t="shared" ref="J207:M211" si="133">AVERAGE(K187,K192,K197,K202)</f>
        <v>0</v>
      </c>
      <c r="L207" s="24">
        <f t="shared" si="133"/>
        <v>0</v>
      </c>
      <c r="M207" s="26" t="e">
        <f t="shared" si="133"/>
        <v>#DIV/0!</v>
      </c>
      <c r="O207" s="59" t="s">
        <v>28</v>
      </c>
      <c r="P207" s="4" t="s">
        <v>29</v>
      </c>
      <c r="Q207" s="24">
        <f>AVERAGE(Q187,Q192,Q197,Q202)</f>
        <v>0</v>
      </c>
      <c r="R207" s="24">
        <f t="shared" ref="R207:T207" si="134">AVERAGE(R187,R192,R197,R202)</f>
        <v>0</v>
      </c>
      <c r="S207" s="24">
        <f t="shared" si="134"/>
        <v>0</v>
      </c>
      <c r="T207" s="26" t="e">
        <f t="shared" si="134"/>
        <v>#DIV/0!</v>
      </c>
    </row>
    <row r="208" spans="1:20" x14ac:dyDescent="0.3">
      <c r="H208" s="59"/>
      <c r="I208" s="4" t="s">
        <v>16</v>
      </c>
      <c r="J208" s="24">
        <f>AVERAGE(J188,J193,J198,J203)</f>
        <v>0</v>
      </c>
      <c r="K208" s="24">
        <f t="shared" si="133"/>
        <v>0</v>
      </c>
      <c r="L208" s="24">
        <f t="shared" si="133"/>
        <v>0</v>
      </c>
      <c r="M208" s="26" t="e">
        <f t="shared" si="133"/>
        <v>#DIV/0!</v>
      </c>
      <c r="O208" s="59"/>
      <c r="P208" s="4" t="s">
        <v>20</v>
      </c>
      <c r="Q208" s="24">
        <f t="shared" ref="Q208:T211" si="135">AVERAGE(Q188,Q193,Q198,Q203)</f>
        <v>0</v>
      </c>
      <c r="R208" s="24">
        <f t="shared" si="135"/>
        <v>0</v>
      </c>
      <c r="S208" s="24">
        <f t="shared" si="135"/>
        <v>0</v>
      </c>
      <c r="T208" s="26" t="e">
        <f t="shared" si="135"/>
        <v>#DIV/0!</v>
      </c>
    </row>
    <row r="209" spans="1:20" x14ac:dyDescent="0.3">
      <c r="H209" s="59"/>
      <c r="I209" s="4" t="s">
        <v>17</v>
      </c>
      <c r="J209" s="24">
        <f t="shared" si="133"/>
        <v>0</v>
      </c>
      <c r="K209" s="24">
        <f t="shared" si="133"/>
        <v>0</v>
      </c>
      <c r="L209" s="24">
        <f t="shared" si="133"/>
        <v>0</v>
      </c>
      <c r="M209" s="26" t="e">
        <f>AVERAGE(M189,M194,M199,M204)</f>
        <v>#DIV/0!</v>
      </c>
      <c r="O209" s="59"/>
      <c r="P209" s="4" t="s">
        <v>21</v>
      </c>
      <c r="Q209" s="24">
        <f>AVERAGE(Q189,Q194,Q199,Q204)</f>
        <v>0</v>
      </c>
      <c r="R209" s="24">
        <f t="shared" si="135"/>
        <v>0</v>
      </c>
      <c r="S209" s="24">
        <f t="shared" si="135"/>
        <v>0</v>
      </c>
      <c r="T209" s="26" t="e">
        <f t="shared" si="135"/>
        <v>#DIV/0!</v>
      </c>
    </row>
    <row r="210" spans="1:20" x14ac:dyDescent="0.3">
      <c r="H210" s="59"/>
      <c r="I210" s="4" t="s">
        <v>18</v>
      </c>
      <c r="J210" s="24">
        <f t="shared" si="133"/>
        <v>0</v>
      </c>
      <c r="K210" s="24">
        <f t="shared" si="133"/>
        <v>0</v>
      </c>
      <c r="L210" s="24">
        <f t="shared" si="133"/>
        <v>0</v>
      </c>
      <c r="M210" s="26" t="e">
        <f t="shared" si="133"/>
        <v>#DIV/0!</v>
      </c>
      <c r="O210" s="59"/>
      <c r="P210" s="4" t="s">
        <v>22</v>
      </c>
      <c r="Q210" s="24">
        <f t="shared" si="135"/>
        <v>22.8475</v>
      </c>
      <c r="R210" s="24">
        <f t="shared" si="135"/>
        <v>11.425000000000001</v>
      </c>
      <c r="S210" s="24">
        <f t="shared" si="135"/>
        <v>12.5</v>
      </c>
      <c r="T210" s="26" t="e">
        <f t="shared" si="135"/>
        <v>#DIV/0!</v>
      </c>
    </row>
    <row r="211" spans="1:20" ht="15" thickBot="1" x14ac:dyDescent="0.35">
      <c r="H211" s="60"/>
      <c r="I211" s="8" t="s">
        <v>19</v>
      </c>
      <c r="J211" s="25">
        <f>AVERAGE(J191,J196,J201,J206)</f>
        <v>0</v>
      </c>
      <c r="K211" s="25">
        <f t="shared" si="133"/>
        <v>0</v>
      </c>
      <c r="L211" s="25">
        <f t="shared" si="133"/>
        <v>0</v>
      </c>
      <c r="M211" s="27" t="e">
        <f t="shared" si="133"/>
        <v>#DIV/0!</v>
      </c>
      <c r="O211" s="60"/>
      <c r="P211" s="8" t="s">
        <v>23</v>
      </c>
      <c r="Q211" s="25">
        <f>AVERAGE(Q191,Q196,Q201,Q206)</f>
        <v>0</v>
      </c>
      <c r="R211" s="25">
        <f t="shared" si="135"/>
        <v>0</v>
      </c>
      <c r="S211" s="25">
        <f t="shared" si="135"/>
        <v>0</v>
      </c>
      <c r="T211" s="27" t="e">
        <f t="shared" si="135"/>
        <v>#DIV/0!</v>
      </c>
    </row>
    <row r="213" spans="1:20" s="28" customFormat="1" x14ac:dyDescent="0.3"/>
    <row r="214" spans="1:20" x14ac:dyDescent="0.3">
      <c r="A214" t="s">
        <v>30</v>
      </c>
      <c r="B214" t="s">
        <v>1</v>
      </c>
      <c r="C214" t="s">
        <v>2</v>
      </c>
    </row>
    <row r="215" spans="1:20" x14ac:dyDescent="0.3">
      <c r="A215" t="s">
        <v>3</v>
      </c>
      <c r="B215">
        <v>1225</v>
      </c>
      <c r="C215">
        <v>1861</v>
      </c>
      <c r="D215">
        <f>B215+C215</f>
        <v>3086</v>
      </c>
      <c r="E215" s="16">
        <f>(B215/D215)</f>
        <v>0.39695398574206092</v>
      </c>
      <c r="F215" s="16">
        <f>C215/D215</f>
        <v>0.60304601425793913</v>
      </c>
    </row>
    <row r="216" spans="1:20" x14ac:dyDescent="0.3">
      <c r="A216" t="s">
        <v>4</v>
      </c>
      <c r="B216">
        <v>2464</v>
      </c>
      <c r="C216">
        <v>622</v>
      </c>
      <c r="D216">
        <f t="shared" ref="D216:D218" si="136">B216+C216</f>
        <v>3086</v>
      </c>
      <c r="E216" s="16">
        <f t="shared" ref="E216:E218" si="137">(B216/D216)</f>
        <v>0.7984445884640311</v>
      </c>
      <c r="F216" s="16">
        <f t="shared" ref="F216:F218" si="138">C216/D216</f>
        <v>0.2015554115359689</v>
      </c>
    </row>
    <row r="217" spans="1:20" x14ac:dyDescent="0.3">
      <c r="A217" t="s">
        <v>0</v>
      </c>
      <c r="B217">
        <v>2043</v>
      </c>
      <c r="C217">
        <v>1043</v>
      </c>
      <c r="D217">
        <f t="shared" si="136"/>
        <v>3086</v>
      </c>
      <c r="E217" s="16">
        <f t="shared" si="137"/>
        <v>0.6620220349967596</v>
      </c>
      <c r="F217" s="16">
        <f t="shared" si="138"/>
        <v>0.33797796500324045</v>
      </c>
    </row>
    <row r="218" spans="1:20" x14ac:dyDescent="0.3">
      <c r="A218" t="s">
        <v>5</v>
      </c>
      <c r="B218">
        <v>2647</v>
      </c>
      <c r="C218">
        <v>439</v>
      </c>
      <c r="D218">
        <f t="shared" si="136"/>
        <v>3086</v>
      </c>
      <c r="E218" s="16">
        <f t="shared" si="137"/>
        <v>0.8577446532728451</v>
      </c>
      <c r="F218" s="16">
        <f t="shared" si="138"/>
        <v>0.1422553467271549</v>
      </c>
    </row>
    <row r="219" spans="1:20" ht="15" thickBot="1" x14ac:dyDescent="0.35"/>
    <row r="220" spans="1:20" ht="15" thickBot="1" x14ac:dyDescent="0.35">
      <c r="A220" s="61"/>
      <c r="B220" s="63" t="s">
        <v>12</v>
      </c>
      <c r="C220" s="64"/>
      <c r="D220" s="64"/>
      <c r="E220" s="64"/>
      <c r="F220" s="65"/>
      <c r="G220" s="63" t="s">
        <v>11</v>
      </c>
      <c r="H220" s="64"/>
      <c r="I220" s="64"/>
      <c r="J220" s="64"/>
      <c r="K220" s="65"/>
      <c r="L220" s="63" t="s">
        <v>13</v>
      </c>
      <c r="M220" s="64"/>
      <c r="N220" s="64"/>
      <c r="O220" s="64"/>
      <c r="P220" s="65"/>
    </row>
    <row r="221" spans="1:20" ht="15" thickBot="1" x14ac:dyDescent="0.35">
      <c r="A221" s="62"/>
      <c r="B221" s="9" t="s">
        <v>6</v>
      </c>
      <c r="C221" s="10" t="s">
        <v>7</v>
      </c>
      <c r="D221" s="7" t="s">
        <v>8</v>
      </c>
      <c r="E221" s="7" t="s">
        <v>9</v>
      </c>
      <c r="F221" s="8" t="s">
        <v>10</v>
      </c>
      <c r="G221" s="9" t="s">
        <v>6</v>
      </c>
      <c r="H221" s="10" t="s">
        <v>7</v>
      </c>
      <c r="I221" s="7" t="s">
        <v>8</v>
      </c>
      <c r="J221" s="7" t="s">
        <v>9</v>
      </c>
      <c r="K221" s="8" t="s">
        <v>10</v>
      </c>
      <c r="L221" s="9" t="s">
        <v>6</v>
      </c>
      <c r="M221" s="10" t="s">
        <v>7</v>
      </c>
      <c r="N221" s="7" t="s">
        <v>8</v>
      </c>
      <c r="O221" s="7" t="s">
        <v>9</v>
      </c>
      <c r="P221" s="8" t="s">
        <v>10</v>
      </c>
    </row>
    <row r="222" spans="1:20" x14ac:dyDescent="0.3">
      <c r="A222" s="11" t="s">
        <v>3</v>
      </c>
      <c r="B222" s="1"/>
      <c r="C222" s="2"/>
      <c r="D222" s="3"/>
      <c r="E222" s="24" t="e">
        <f>2*((C222*D222)/(C222+D222))</f>
        <v>#DIV/0!</v>
      </c>
      <c r="F222" s="4"/>
      <c r="G222" s="31">
        <v>60.3</v>
      </c>
      <c r="H222" s="24">
        <v>30.15</v>
      </c>
      <c r="I222" s="32">
        <v>50</v>
      </c>
      <c r="J222" s="24">
        <f>2*((H222*I222)/(H222+I222))</f>
        <v>37.616968184653771</v>
      </c>
      <c r="K222" s="36">
        <v>0</v>
      </c>
      <c r="L222" s="31">
        <v>61.67</v>
      </c>
      <c r="M222" s="24">
        <v>58.57</v>
      </c>
      <c r="N222" s="32">
        <v>55.84</v>
      </c>
      <c r="O222" s="24">
        <f>2*((M222*N222)/(M222+N222))</f>
        <v>57.172428983480465</v>
      </c>
      <c r="P222" s="36">
        <v>0.127</v>
      </c>
    </row>
    <row r="223" spans="1:20" x14ac:dyDescent="0.3">
      <c r="A223" s="12" t="s">
        <v>4</v>
      </c>
      <c r="B223" s="5"/>
      <c r="C223" s="3"/>
      <c r="D223" s="3"/>
      <c r="E223" s="24" t="e">
        <f t="shared" ref="E223:E225" si="139">2*((C223*D223)/(C223+D223))</f>
        <v>#DIV/0!</v>
      </c>
      <c r="F223" s="4"/>
      <c r="G223" s="31">
        <v>79.84</v>
      </c>
      <c r="H223" s="24">
        <v>39.92</v>
      </c>
      <c r="I223" s="32">
        <v>50</v>
      </c>
      <c r="J223" s="24">
        <f t="shared" ref="J223:J225" si="140">2*((H223*I223)/(H223+I223))</f>
        <v>44.395017793594306</v>
      </c>
      <c r="K223" s="36">
        <v>0</v>
      </c>
      <c r="L223" s="31">
        <v>78.45</v>
      </c>
      <c r="M223" s="24">
        <v>56.88</v>
      </c>
      <c r="N223" s="24">
        <v>51.71</v>
      </c>
      <c r="O223" s="24">
        <f t="shared" ref="O223:O225" si="141">2*((M223*N223)/(M223+N223))</f>
        <v>54.171927433465335</v>
      </c>
      <c r="P223" s="36">
        <v>4.9000000000000002E-2</v>
      </c>
    </row>
    <row r="224" spans="1:20" x14ac:dyDescent="0.3">
      <c r="A224" s="12" t="s">
        <v>0</v>
      </c>
      <c r="B224" s="5"/>
      <c r="C224" s="3"/>
      <c r="D224" s="3"/>
      <c r="E224" s="24" t="e">
        <f t="shared" si="139"/>
        <v>#DIV/0!</v>
      </c>
      <c r="F224" s="4"/>
      <c r="G224" s="31">
        <v>66.2</v>
      </c>
      <c r="H224" s="24">
        <v>33.1</v>
      </c>
      <c r="I224" s="32">
        <v>50</v>
      </c>
      <c r="J224" s="24">
        <f t="shared" si="140"/>
        <v>39.831528279181711</v>
      </c>
      <c r="K224" s="36">
        <v>0</v>
      </c>
      <c r="L224" s="31">
        <v>64.81</v>
      </c>
      <c r="M224" s="24">
        <v>55.78</v>
      </c>
      <c r="N224" s="32">
        <v>52.66</v>
      </c>
      <c r="O224" s="24">
        <f t="shared" si="141"/>
        <v>54.175116193286613</v>
      </c>
      <c r="P224" s="36">
        <v>6.3E-2</v>
      </c>
    </row>
    <row r="225" spans="1:16" ht="15" thickBot="1" x14ac:dyDescent="0.35">
      <c r="A225" s="13" t="s">
        <v>5</v>
      </c>
      <c r="B225" s="6"/>
      <c r="C225" s="7"/>
      <c r="D225" s="7"/>
      <c r="E225" s="25" t="e">
        <f t="shared" si="139"/>
        <v>#DIV/0!</v>
      </c>
      <c r="F225" s="8"/>
      <c r="G225" s="33">
        <v>85.77</v>
      </c>
      <c r="H225" s="25">
        <v>42.89</v>
      </c>
      <c r="I225" s="25">
        <v>50</v>
      </c>
      <c r="J225" s="25">
        <f t="shared" si="140"/>
        <v>46.172892668747984</v>
      </c>
      <c r="K225" s="37">
        <v>0</v>
      </c>
      <c r="L225" s="33">
        <v>84.58</v>
      </c>
      <c r="M225" s="25">
        <v>59.02</v>
      </c>
      <c r="N225" s="25">
        <v>52.34</v>
      </c>
      <c r="O225" s="25">
        <f t="shared" si="141"/>
        <v>55.479647988505747</v>
      </c>
      <c r="P225" s="37">
        <v>6.9000000000000006E-2</v>
      </c>
    </row>
  </sheetData>
  <sheetProtection sheet="1" objects="1" scenarios="1"/>
  <mergeCells count="74">
    <mergeCell ref="A8:A9"/>
    <mergeCell ref="B8:F8"/>
    <mergeCell ref="G8:K8"/>
    <mergeCell ref="L8:P8"/>
    <mergeCell ref="A22:A23"/>
    <mergeCell ref="B22:F22"/>
    <mergeCell ref="G22:K22"/>
    <mergeCell ref="L22:P22"/>
    <mergeCell ref="A36:A37"/>
    <mergeCell ref="B36:F36"/>
    <mergeCell ref="G36:K36"/>
    <mergeCell ref="L36:P36"/>
    <mergeCell ref="A50:A51"/>
    <mergeCell ref="B50:F50"/>
    <mergeCell ref="G50:K50"/>
    <mergeCell ref="L50:P50"/>
    <mergeCell ref="A64:A65"/>
    <mergeCell ref="B64:F64"/>
    <mergeCell ref="G64:K64"/>
    <mergeCell ref="L64:P64"/>
    <mergeCell ref="A78:A79"/>
    <mergeCell ref="B78:F78"/>
    <mergeCell ref="G78:K78"/>
    <mergeCell ref="L78:P78"/>
    <mergeCell ref="A92:A93"/>
    <mergeCell ref="B92:F92"/>
    <mergeCell ref="G92:K92"/>
    <mergeCell ref="L92:P92"/>
    <mergeCell ref="A106:A107"/>
    <mergeCell ref="B106:F106"/>
    <mergeCell ref="G106:K106"/>
    <mergeCell ref="L106:P106"/>
    <mergeCell ref="A120:A121"/>
    <mergeCell ref="B120:F120"/>
    <mergeCell ref="G120:K120"/>
    <mergeCell ref="L120:P120"/>
    <mergeCell ref="A134:A135"/>
    <mergeCell ref="B134:F134"/>
    <mergeCell ref="G134:K134"/>
    <mergeCell ref="L134:P134"/>
    <mergeCell ref="A148:A149"/>
    <mergeCell ref="B148:F148"/>
    <mergeCell ref="G148:K148"/>
    <mergeCell ref="L148:P148"/>
    <mergeCell ref="A163:A164"/>
    <mergeCell ref="B163:F163"/>
    <mergeCell ref="G163:K163"/>
    <mergeCell ref="L163:P163"/>
    <mergeCell ref="A177:A178"/>
    <mergeCell ref="B177:F177"/>
    <mergeCell ref="G177:K177"/>
    <mergeCell ref="L177:P177"/>
    <mergeCell ref="A186:B186"/>
    <mergeCell ref="H186:I186"/>
    <mergeCell ref="O186:P186"/>
    <mergeCell ref="A187:A189"/>
    <mergeCell ref="H187:H191"/>
    <mergeCell ref="O187:O191"/>
    <mergeCell ref="A190:A192"/>
    <mergeCell ref="H192:H196"/>
    <mergeCell ref="O192:O196"/>
    <mergeCell ref="A193:A195"/>
    <mergeCell ref="A196:A198"/>
    <mergeCell ref="H197:H201"/>
    <mergeCell ref="O197:O201"/>
    <mergeCell ref="A199:A201"/>
    <mergeCell ref="O202:O206"/>
    <mergeCell ref="H207:H211"/>
    <mergeCell ref="O207:O211"/>
    <mergeCell ref="A220:A221"/>
    <mergeCell ref="B220:F220"/>
    <mergeCell ref="G220:K220"/>
    <mergeCell ref="L220:P220"/>
    <mergeCell ref="H202:H20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5"/>
  <sheetViews>
    <sheetView topLeftCell="A213" zoomScaleNormal="100" workbookViewId="0">
      <selection activeCell="N161" sqref="N161"/>
    </sheetView>
  </sheetViews>
  <sheetFormatPr defaultRowHeight="14.4" x14ac:dyDescent="0.3"/>
  <cols>
    <col min="1" max="20" width="7.6640625" customWidth="1"/>
  </cols>
  <sheetData>
    <row r="1" spans="1:16" s="14" customFormat="1" x14ac:dyDescent="0.3"/>
    <row r="2" spans="1:16" x14ac:dyDescent="0.3">
      <c r="A2" t="s">
        <v>14</v>
      </c>
      <c r="B2" t="b">
        <v>0</v>
      </c>
      <c r="C2" t="b">
        <v>1</v>
      </c>
    </row>
    <row r="3" spans="1:16" x14ac:dyDescent="0.3">
      <c r="A3" t="s">
        <v>34</v>
      </c>
      <c r="B3">
        <f>17416+2723</f>
        <v>20139</v>
      </c>
      <c r="C3">
        <f>2553+428</f>
        <v>2981</v>
      </c>
      <c r="D3">
        <f>B3+C3</f>
        <v>23120</v>
      </c>
      <c r="E3" s="16">
        <f>(B3/D3)</f>
        <v>0.87106401384083043</v>
      </c>
      <c r="F3" s="16">
        <f>C3/D3</f>
        <v>0.12893598615916954</v>
      </c>
    </row>
    <row r="4" spans="1:16" x14ac:dyDescent="0.3">
      <c r="A4" t="s">
        <v>35</v>
      </c>
      <c r="B4">
        <f>3143+9773</f>
        <v>12916</v>
      </c>
      <c r="C4">
        <f>1992+8212</f>
        <v>10204</v>
      </c>
      <c r="D4">
        <f t="shared" ref="D4:D6" si="0">B4+C4</f>
        <v>23120</v>
      </c>
      <c r="E4" s="16">
        <f>(B4/D4)</f>
        <v>0.55865051903114182</v>
      </c>
      <c r="F4" s="16">
        <f t="shared" ref="F4:F6" si="1">C4/D4</f>
        <v>0.44134948096885812</v>
      </c>
    </row>
    <row r="5" spans="1:16" x14ac:dyDescent="0.3">
      <c r="A5" t="s">
        <v>36</v>
      </c>
      <c r="B5">
        <f>3033+9620</f>
        <v>12653</v>
      </c>
      <c r="C5">
        <f>1033+9434</f>
        <v>10467</v>
      </c>
      <c r="D5">
        <f t="shared" si="0"/>
        <v>23120</v>
      </c>
      <c r="E5" s="16">
        <f t="shared" ref="E5:E6" si="2">(B5/D5)</f>
        <v>0.5472750865051903</v>
      </c>
      <c r="F5" s="16">
        <f t="shared" si="1"/>
        <v>0.4527249134948097</v>
      </c>
    </row>
    <row r="6" spans="1:16" x14ac:dyDescent="0.3">
      <c r="A6" t="s">
        <v>37</v>
      </c>
      <c r="B6">
        <v>22925</v>
      </c>
      <c r="C6">
        <v>195</v>
      </c>
      <c r="D6">
        <f t="shared" si="0"/>
        <v>23120</v>
      </c>
      <c r="E6" s="16">
        <f t="shared" si="2"/>
        <v>0.9915657439446367</v>
      </c>
      <c r="F6" s="16">
        <f t="shared" si="1"/>
        <v>8.4342560553633227E-3</v>
      </c>
    </row>
    <row r="7" spans="1:16" ht="15" thickBot="1" x14ac:dyDescent="0.35"/>
    <row r="8" spans="1:16" ht="15" thickBot="1" x14ac:dyDescent="0.35">
      <c r="A8" s="61"/>
      <c r="B8" s="63" t="s">
        <v>12</v>
      </c>
      <c r="C8" s="64"/>
      <c r="D8" s="64"/>
      <c r="E8" s="64"/>
      <c r="F8" s="65"/>
      <c r="G8" s="63" t="s">
        <v>11</v>
      </c>
      <c r="H8" s="64"/>
      <c r="I8" s="64"/>
      <c r="J8" s="64"/>
      <c r="K8" s="65"/>
      <c r="L8" s="63" t="s">
        <v>13</v>
      </c>
      <c r="M8" s="64"/>
      <c r="N8" s="64"/>
      <c r="O8" s="64"/>
      <c r="P8" s="65"/>
    </row>
    <row r="9" spans="1:16" ht="15" thickBot="1" x14ac:dyDescent="0.35">
      <c r="A9" s="62"/>
      <c r="B9" s="9" t="s">
        <v>6</v>
      </c>
      <c r="C9" s="10" t="s">
        <v>7</v>
      </c>
      <c r="D9" s="7" t="s">
        <v>8</v>
      </c>
      <c r="E9" s="7" t="s">
        <v>9</v>
      </c>
      <c r="F9" s="8" t="s">
        <v>10</v>
      </c>
      <c r="G9" s="9" t="s">
        <v>6</v>
      </c>
      <c r="H9" s="10" t="s">
        <v>7</v>
      </c>
      <c r="I9" s="7" t="s">
        <v>8</v>
      </c>
      <c r="J9" s="7" t="s">
        <v>9</v>
      </c>
      <c r="K9" s="8" t="s">
        <v>10</v>
      </c>
      <c r="L9" s="9" t="s">
        <v>6</v>
      </c>
      <c r="M9" s="10" t="s">
        <v>7</v>
      </c>
      <c r="N9" s="7" t="s">
        <v>8</v>
      </c>
      <c r="O9" s="7" t="s">
        <v>9</v>
      </c>
      <c r="P9" s="8" t="s">
        <v>10</v>
      </c>
    </row>
    <row r="10" spans="1:16" x14ac:dyDescent="0.3">
      <c r="A10" s="11" t="s">
        <v>34</v>
      </c>
      <c r="B10" s="29">
        <v>77.180000000000007</v>
      </c>
      <c r="C10" s="30">
        <v>50.4</v>
      </c>
      <c r="D10" s="24">
        <v>50.42</v>
      </c>
      <c r="E10" s="24">
        <f>2*((C10*D10)/(C10+D10))</f>
        <v>50.40999801626662</v>
      </c>
      <c r="F10" s="36">
        <v>8.0000000000000002E-3</v>
      </c>
      <c r="G10" s="31">
        <v>87.11</v>
      </c>
      <c r="H10" s="24">
        <v>43.55</v>
      </c>
      <c r="I10" s="32">
        <v>50</v>
      </c>
      <c r="J10" s="24">
        <f>2*((H10*I10)/(H10+I10))</f>
        <v>46.552645644040624</v>
      </c>
      <c r="K10" s="36">
        <v>0</v>
      </c>
      <c r="L10" s="31">
        <v>87.02</v>
      </c>
      <c r="M10" s="24">
        <v>49.55</v>
      </c>
      <c r="N10" s="32">
        <v>50</v>
      </c>
      <c r="O10" s="24">
        <f>2*((M10*N10)/(M10+N10))</f>
        <v>49.773982923154193</v>
      </c>
      <c r="P10" s="36">
        <v>0</v>
      </c>
    </row>
    <row r="11" spans="1:16" x14ac:dyDescent="0.3">
      <c r="A11" s="12" t="s">
        <v>35</v>
      </c>
      <c r="B11" s="31">
        <v>49.11</v>
      </c>
      <c r="C11" s="24">
        <v>53.43</v>
      </c>
      <c r="D11" s="24">
        <v>52.41</v>
      </c>
      <c r="E11" s="24">
        <f t="shared" ref="E11:E13" si="3">2*((C11*D11)/(C11+D11))</f>
        <v>52.9150850340136</v>
      </c>
      <c r="F11" s="36">
        <v>4.4999999999999998E-2</v>
      </c>
      <c r="G11" s="31">
        <v>48.59</v>
      </c>
      <c r="H11" s="24">
        <v>47.81</v>
      </c>
      <c r="I11" s="24">
        <v>47.82</v>
      </c>
      <c r="J11" s="24">
        <f t="shared" ref="J11:J13" si="4">2*((H11*I11)/(H11+I11))</f>
        <v>47.814999477151531</v>
      </c>
      <c r="K11" s="36">
        <v>-4.3999999999999997E-2</v>
      </c>
      <c r="L11" s="31">
        <v>54.87</v>
      </c>
      <c r="M11" s="24">
        <v>53.57</v>
      </c>
      <c r="N11" s="24">
        <v>53.37</v>
      </c>
      <c r="O11" s="24">
        <f t="shared" ref="O11:O13" si="5">2*((M11*N11)/(M11+N11))</f>
        <v>53.469812979240693</v>
      </c>
      <c r="P11" s="36">
        <v>6.9000000000000006E-2</v>
      </c>
    </row>
    <row r="12" spans="1:16" x14ac:dyDescent="0.3">
      <c r="A12" s="12" t="s">
        <v>36</v>
      </c>
      <c r="B12" s="31">
        <v>57.84</v>
      </c>
      <c r="C12" s="24">
        <v>57.31</v>
      </c>
      <c r="D12" s="24">
        <v>55.5</v>
      </c>
      <c r="E12" s="24">
        <f t="shared" si="3"/>
        <v>56.390479567414232</v>
      </c>
      <c r="F12" s="36">
        <v>0.115</v>
      </c>
      <c r="G12" s="31">
        <v>70.709999999999994</v>
      </c>
      <c r="H12" s="24">
        <v>70.45</v>
      </c>
      <c r="I12" s="24">
        <v>70.27</v>
      </c>
      <c r="J12" s="24">
        <f t="shared" si="4"/>
        <v>70.359884877771464</v>
      </c>
      <c r="K12" s="36">
        <v>0.40699999999999997</v>
      </c>
      <c r="L12" s="31">
        <v>53.92</v>
      </c>
      <c r="M12" s="24">
        <v>62.05</v>
      </c>
      <c r="N12" s="24">
        <v>57.05</v>
      </c>
      <c r="O12" s="24">
        <f t="shared" si="5"/>
        <v>59.445046179680944</v>
      </c>
      <c r="P12" s="36">
        <v>0.13200000000000001</v>
      </c>
    </row>
    <row r="13" spans="1:16" ht="15" thickBot="1" x14ac:dyDescent="0.35">
      <c r="A13" s="13" t="s">
        <v>37</v>
      </c>
      <c r="B13" s="33">
        <v>99.16</v>
      </c>
      <c r="C13" s="25">
        <v>49.58</v>
      </c>
      <c r="D13" s="25">
        <v>50</v>
      </c>
      <c r="E13" s="25">
        <f t="shared" si="3"/>
        <v>49.789114279975898</v>
      </c>
      <c r="F13" s="37">
        <v>0</v>
      </c>
      <c r="G13" s="33">
        <v>99.16</v>
      </c>
      <c r="H13" s="25">
        <v>49.58</v>
      </c>
      <c r="I13" s="25">
        <v>50</v>
      </c>
      <c r="J13" s="25">
        <f t="shared" si="4"/>
        <v>49.789114279975898</v>
      </c>
      <c r="K13" s="37">
        <v>0</v>
      </c>
      <c r="L13" s="33">
        <v>99.16</v>
      </c>
      <c r="M13" s="25">
        <v>49.58</v>
      </c>
      <c r="N13" s="25">
        <v>50</v>
      </c>
      <c r="O13" s="25">
        <f t="shared" si="5"/>
        <v>49.789114279975898</v>
      </c>
      <c r="P13" s="37">
        <v>0</v>
      </c>
    </row>
    <row r="15" spans="1:16" s="14" customFormat="1" x14ac:dyDescent="0.3"/>
    <row r="16" spans="1:16" x14ac:dyDescent="0.3">
      <c r="A16" t="s">
        <v>15</v>
      </c>
      <c r="B16" t="b">
        <v>0</v>
      </c>
      <c r="C16" t="b">
        <v>1</v>
      </c>
    </row>
    <row r="17" spans="1:16" x14ac:dyDescent="0.3">
      <c r="A17" t="s">
        <v>34</v>
      </c>
      <c r="B17">
        <f>13876+3660</f>
        <v>17536</v>
      </c>
      <c r="C17">
        <f>3116+1191</f>
        <v>4307</v>
      </c>
      <c r="D17">
        <f>B17+C17</f>
        <v>21843</v>
      </c>
      <c r="E17" s="16">
        <f>(B17/D17)</f>
        <v>0.80282012544064463</v>
      </c>
      <c r="F17" s="16">
        <f>C17/D17</f>
        <v>0.1971798745593554</v>
      </c>
    </row>
    <row r="18" spans="1:16" x14ac:dyDescent="0.3">
      <c r="A18" t="s">
        <v>35</v>
      </c>
      <c r="B18">
        <f>5138+9657</f>
        <v>14795</v>
      </c>
      <c r="C18">
        <f>3522+3526</f>
        <v>7048</v>
      </c>
      <c r="D18">
        <f t="shared" ref="D18:D20" si="6">B18+C18</f>
        <v>21843</v>
      </c>
      <c r="E18" s="16">
        <f t="shared" ref="E18:E20" si="7">(B18/D18)</f>
        <v>0.67733369958339051</v>
      </c>
      <c r="F18" s="16">
        <f t="shared" ref="F18:F20" si="8">C18/D18</f>
        <v>0.32266630041660943</v>
      </c>
    </row>
    <row r="19" spans="1:16" x14ac:dyDescent="0.3">
      <c r="A19" t="s">
        <v>36</v>
      </c>
      <c r="B19">
        <f>2393+5910</f>
        <v>8303</v>
      </c>
      <c r="C19">
        <f>7844+5696</f>
        <v>13540</v>
      </c>
      <c r="D19">
        <f t="shared" si="6"/>
        <v>21843</v>
      </c>
      <c r="E19" s="16">
        <f t="shared" si="7"/>
        <v>0.38012177814402781</v>
      </c>
      <c r="F19" s="16">
        <f t="shared" si="8"/>
        <v>0.61987822185597219</v>
      </c>
    </row>
    <row r="20" spans="1:16" x14ac:dyDescent="0.3">
      <c r="A20" t="s">
        <v>37</v>
      </c>
      <c r="B20">
        <v>21083</v>
      </c>
      <c r="C20">
        <v>760</v>
      </c>
      <c r="D20">
        <f t="shared" si="6"/>
        <v>21843</v>
      </c>
      <c r="E20" s="16">
        <f t="shared" si="7"/>
        <v>0.9652062445634757</v>
      </c>
      <c r="F20" s="16">
        <f t="shared" si="8"/>
        <v>3.4793755436524285E-2</v>
      </c>
    </row>
    <row r="21" spans="1:16" ht="15" thickBot="1" x14ac:dyDescent="0.35"/>
    <row r="22" spans="1:16" ht="15" thickBot="1" x14ac:dyDescent="0.35">
      <c r="A22" s="61"/>
      <c r="B22" s="63" t="s">
        <v>12</v>
      </c>
      <c r="C22" s="64"/>
      <c r="D22" s="64"/>
      <c r="E22" s="64"/>
      <c r="F22" s="65"/>
      <c r="G22" s="63" t="s">
        <v>11</v>
      </c>
      <c r="H22" s="64"/>
      <c r="I22" s="64"/>
      <c r="J22" s="64"/>
      <c r="K22" s="65"/>
      <c r="L22" s="63" t="s">
        <v>13</v>
      </c>
      <c r="M22" s="64"/>
      <c r="N22" s="64"/>
      <c r="O22" s="64"/>
      <c r="P22" s="65"/>
    </row>
    <row r="23" spans="1:16" ht="15" thickBot="1" x14ac:dyDescent="0.35">
      <c r="A23" s="62"/>
      <c r="B23" s="9" t="s">
        <v>6</v>
      </c>
      <c r="C23" s="10" t="s">
        <v>7</v>
      </c>
      <c r="D23" s="7" t="s">
        <v>8</v>
      </c>
      <c r="E23" s="7" t="s">
        <v>9</v>
      </c>
      <c r="F23" s="8" t="s">
        <v>10</v>
      </c>
      <c r="G23" s="9" t="s">
        <v>6</v>
      </c>
      <c r="H23" s="10" t="s">
        <v>7</v>
      </c>
      <c r="I23" s="7" t="s">
        <v>8</v>
      </c>
      <c r="J23" s="7" t="s">
        <v>9</v>
      </c>
      <c r="K23" s="8" t="s">
        <v>10</v>
      </c>
      <c r="L23" s="9" t="s">
        <v>6</v>
      </c>
      <c r="M23" s="10" t="s">
        <v>7</v>
      </c>
      <c r="N23" s="7" t="s">
        <v>8</v>
      </c>
      <c r="O23" s="7" t="s">
        <v>9</v>
      </c>
      <c r="P23" s="8" t="s">
        <v>10</v>
      </c>
    </row>
    <row r="24" spans="1:16" x14ac:dyDescent="0.3">
      <c r="A24" s="11" t="s">
        <v>34</v>
      </c>
      <c r="B24" s="29">
        <v>68.98</v>
      </c>
      <c r="C24" s="30">
        <v>53.11</v>
      </c>
      <c r="D24" s="24">
        <v>53.39</v>
      </c>
      <c r="E24" s="24">
        <f>2*((C24*D24)/(C24+D24))</f>
        <v>53.249631924882628</v>
      </c>
      <c r="F24" s="36">
        <v>6.5000000000000002E-2</v>
      </c>
      <c r="G24" s="31">
        <v>80.28</v>
      </c>
      <c r="H24" s="24">
        <v>40.14</v>
      </c>
      <c r="I24" s="24">
        <v>50</v>
      </c>
      <c r="J24" s="24">
        <f>2*((H24*I24)/(H24+I24))</f>
        <v>44.530729975593523</v>
      </c>
      <c r="K24" s="36">
        <v>0</v>
      </c>
      <c r="L24" s="31">
        <v>73.92</v>
      </c>
      <c r="M24" s="24">
        <v>56.36</v>
      </c>
      <c r="N24" s="24">
        <v>55.45</v>
      </c>
      <c r="O24" s="24">
        <f>2*((M24*N24)/(M24+N24))</f>
        <v>55.901296842858422</v>
      </c>
      <c r="P24" s="36">
        <v>0.11700000000000001</v>
      </c>
    </row>
    <row r="25" spans="1:16" x14ac:dyDescent="0.3">
      <c r="A25" s="12" t="s">
        <v>35</v>
      </c>
      <c r="B25" s="31">
        <v>39.659999999999997</v>
      </c>
      <c r="C25" s="24">
        <v>43.04</v>
      </c>
      <c r="D25" s="24">
        <v>42.38</v>
      </c>
      <c r="E25" s="24">
        <f t="shared" ref="E25:E27" si="9">2*((C25*D25)/(C25+D25))</f>
        <v>42.707450245844065</v>
      </c>
      <c r="F25" s="36">
        <v>-0.124</v>
      </c>
      <c r="G25" s="31">
        <v>68.099999999999994</v>
      </c>
      <c r="H25" s="24">
        <v>60.99</v>
      </c>
      <c r="I25" s="24">
        <v>55.63</v>
      </c>
      <c r="J25" s="24">
        <f t="shared" ref="J25:J27" si="10">2*((H25*I25)/(H25+I25))</f>
        <v>58.186823872406102</v>
      </c>
      <c r="K25" s="36">
        <v>0.13400000000000001</v>
      </c>
      <c r="L25" s="31">
        <v>55.95</v>
      </c>
      <c r="M25" s="24">
        <v>49.03</v>
      </c>
      <c r="N25" s="24">
        <v>49.05</v>
      </c>
      <c r="O25" s="24">
        <f t="shared" ref="O25:O26" si="11">2*((M25*N25)/(M25+N25))</f>
        <v>49.039997960848289</v>
      </c>
      <c r="P25" s="36">
        <v>-1.9E-2</v>
      </c>
    </row>
    <row r="26" spans="1:16" x14ac:dyDescent="0.3">
      <c r="A26" s="12" t="s">
        <v>36</v>
      </c>
      <c r="B26" s="34">
        <v>37.03</v>
      </c>
      <c r="C26" s="34">
        <v>36.229999999999997</v>
      </c>
      <c r="D26" s="34">
        <v>35.44</v>
      </c>
      <c r="E26" s="24">
        <f t="shared" si="9"/>
        <v>35.83064601646435</v>
      </c>
      <c r="F26" s="35">
        <v>-0.27900000000000003</v>
      </c>
      <c r="G26" s="31">
        <v>48.24</v>
      </c>
      <c r="H26" s="24">
        <v>41.98</v>
      </c>
      <c r="I26" s="24">
        <v>42.92</v>
      </c>
      <c r="J26" s="24">
        <f t="shared" si="10"/>
        <v>42.444796230859836</v>
      </c>
      <c r="K26" s="36">
        <v>-0.14799999999999999</v>
      </c>
      <c r="L26" s="31">
        <v>55.27</v>
      </c>
      <c r="M26" s="24">
        <v>41.73</v>
      </c>
      <c r="N26" s="24">
        <v>46.11</v>
      </c>
      <c r="O26" s="24">
        <f t="shared" si="11"/>
        <v>43.810799180327862</v>
      </c>
      <c r="P26" s="36">
        <v>-8.8999999999999996E-2</v>
      </c>
    </row>
    <row r="27" spans="1:16" ht="15" thickBot="1" x14ac:dyDescent="0.35">
      <c r="A27" s="13" t="s">
        <v>37</v>
      </c>
      <c r="B27" s="33">
        <v>96.51</v>
      </c>
      <c r="C27" s="25">
        <v>48.26</v>
      </c>
      <c r="D27" s="25">
        <v>49.99</v>
      </c>
      <c r="E27" s="25">
        <f t="shared" si="9"/>
        <v>49.109768956743004</v>
      </c>
      <c r="F27" s="37">
        <v>0</v>
      </c>
      <c r="G27" s="33">
        <v>96.52</v>
      </c>
      <c r="H27" s="25">
        <v>48.26</v>
      </c>
      <c r="I27" s="25">
        <v>50</v>
      </c>
      <c r="J27" s="25">
        <f t="shared" si="10"/>
        <v>49.114593934459599</v>
      </c>
      <c r="K27" s="37">
        <v>0</v>
      </c>
      <c r="L27" s="33">
        <v>96.52</v>
      </c>
      <c r="M27" s="25">
        <v>48.26</v>
      </c>
      <c r="N27" s="25">
        <v>50</v>
      </c>
      <c r="O27" s="25">
        <f t="shared" ref="O27" si="12">2*((M27*N27)/(M27+N27))</f>
        <v>49.114593934459599</v>
      </c>
      <c r="P27" s="37">
        <v>0</v>
      </c>
    </row>
    <row r="29" spans="1:16" s="14" customFormat="1" x14ac:dyDescent="0.3"/>
    <row r="30" spans="1:16" x14ac:dyDescent="0.3">
      <c r="A30" t="s">
        <v>16</v>
      </c>
      <c r="B30" t="b">
        <v>0</v>
      </c>
      <c r="C30" t="b">
        <v>1</v>
      </c>
    </row>
    <row r="31" spans="1:16" x14ac:dyDescent="0.3">
      <c r="A31" t="s">
        <v>34</v>
      </c>
      <c r="B31">
        <f>5363+2417</f>
        <v>7780</v>
      </c>
      <c r="C31">
        <f>540+235</f>
        <v>775</v>
      </c>
      <c r="D31">
        <f>B31+C31</f>
        <v>8555</v>
      </c>
      <c r="E31" s="16">
        <f>(B31/D31)</f>
        <v>0.90940970192869663</v>
      </c>
      <c r="F31" s="16">
        <f>C31/D31</f>
        <v>9.0590298071303338E-2</v>
      </c>
    </row>
    <row r="32" spans="1:16" x14ac:dyDescent="0.3">
      <c r="A32" t="s">
        <v>35</v>
      </c>
      <c r="B32">
        <f>2327+2639</f>
        <v>4966</v>
      </c>
      <c r="C32">
        <v>3589</v>
      </c>
      <c r="D32">
        <f t="shared" ref="D32:D34" si="13">B32+C32</f>
        <v>8555</v>
      </c>
      <c r="E32" s="16">
        <f t="shared" ref="E32:E34" si="14">(B32/D32)</f>
        <v>0.58047925189947402</v>
      </c>
      <c r="F32" s="16">
        <f>C32/D32</f>
        <v>0.41952074810052603</v>
      </c>
    </row>
    <row r="33" spans="1:16" x14ac:dyDescent="0.3">
      <c r="A33" t="s">
        <v>36</v>
      </c>
      <c r="B33">
        <f>216+4106</f>
        <v>4322</v>
      </c>
      <c r="C33">
        <f>2409+1824</f>
        <v>4233</v>
      </c>
      <c r="D33">
        <f t="shared" si="13"/>
        <v>8555</v>
      </c>
      <c r="E33" s="16">
        <f t="shared" si="14"/>
        <v>0.50520163646990068</v>
      </c>
      <c r="F33" s="16">
        <f t="shared" ref="F33:F34" si="15">C33/D33</f>
        <v>0.49479836353009937</v>
      </c>
    </row>
    <row r="34" spans="1:16" x14ac:dyDescent="0.3">
      <c r="A34" t="s">
        <v>37</v>
      </c>
      <c r="B34">
        <f>4901+2654</f>
        <v>7555</v>
      </c>
      <c r="C34">
        <v>1000</v>
      </c>
      <c r="D34">
        <f t="shared" si="13"/>
        <v>8555</v>
      </c>
      <c r="E34" s="16">
        <f t="shared" si="14"/>
        <v>0.88310929281122152</v>
      </c>
      <c r="F34" s="16">
        <f t="shared" si="15"/>
        <v>0.11689070718877849</v>
      </c>
    </row>
    <row r="35" spans="1:16" ht="15" thickBot="1" x14ac:dyDescent="0.35"/>
    <row r="36" spans="1:16" ht="15" thickBot="1" x14ac:dyDescent="0.35">
      <c r="A36" s="61"/>
      <c r="B36" s="63" t="s">
        <v>12</v>
      </c>
      <c r="C36" s="64"/>
      <c r="D36" s="64"/>
      <c r="E36" s="64"/>
      <c r="F36" s="65"/>
      <c r="G36" s="63" t="s">
        <v>11</v>
      </c>
      <c r="H36" s="64"/>
      <c r="I36" s="64"/>
      <c r="J36" s="64"/>
      <c r="K36" s="65"/>
      <c r="L36" s="63" t="s">
        <v>13</v>
      </c>
      <c r="M36" s="64"/>
      <c r="N36" s="64"/>
      <c r="O36" s="64"/>
      <c r="P36" s="65"/>
    </row>
    <row r="37" spans="1:16" ht="15" thickBot="1" x14ac:dyDescent="0.35">
      <c r="A37" s="62"/>
      <c r="B37" s="9" t="s">
        <v>6</v>
      </c>
      <c r="C37" s="10" t="s">
        <v>7</v>
      </c>
      <c r="D37" s="7" t="s">
        <v>8</v>
      </c>
      <c r="E37" s="7" t="s">
        <v>9</v>
      </c>
      <c r="F37" s="8" t="s">
        <v>10</v>
      </c>
      <c r="G37" s="9" t="s">
        <v>6</v>
      </c>
      <c r="H37" s="10" t="s">
        <v>7</v>
      </c>
      <c r="I37" s="7" t="s">
        <v>8</v>
      </c>
      <c r="J37" s="7" t="s">
        <v>9</v>
      </c>
      <c r="K37" s="8" t="s">
        <v>10</v>
      </c>
      <c r="L37" s="9" t="s">
        <v>6</v>
      </c>
      <c r="M37" s="10" t="s">
        <v>7</v>
      </c>
      <c r="N37" s="7" t="s">
        <v>8</v>
      </c>
      <c r="O37" s="7" t="s">
        <v>9</v>
      </c>
      <c r="P37" s="8" t="s">
        <v>10</v>
      </c>
    </row>
    <row r="38" spans="1:16" x14ac:dyDescent="0.3">
      <c r="A38" s="11" t="s">
        <v>34</v>
      </c>
      <c r="B38" s="29">
        <v>65.44</v>
      </c>
      <c r="C38" s="30">
        <v>49.86</v>
      </c>
      <c r="D38" s="24">
        <v>49.63</v>
      </c>
      <c r="E38" s="24">
        <f>2*((C38*D38)/(C38+D38))</f>
        <v>49.744734144135087</v>
      </c>
      <c r="F38" s="36">
        <v>-4.0000000000000001E-3</v>
      </c>
      <c r="G38" s="31">
        <v>90.94</v>
      </c>
      <c r="H38" s="24">
        <v>45.47</v>
      </c>
      <c r="I38" s="32">
        <v>50</v>
      </c>
      <c r="J38" s="24">
        <f>2*((H38*I38)/(H38+I38))</f>
        <v>47.627526971823613</v>
      </c>
      <c r="K38" s="36">
        <v>0</v>
      </c>
      <c r="L38" s="31">
        <v>90.58</v>
      </c>
      <c r="M38" s="24">
        <v>45.45</v>
      </c>
      <c r="N38" s="24">
        <v>49.8</v>
      </c>
      <c r="O38" s="24">
        <f>2*((M38*N38)/(M38+N38))</f>
        <v>47.525669291338581</v>
      </c>
      <c r="P38" s="36">
        <v>-7.0000000000000001E-3</v>
      </c>
    </row>
    <row r="39" spans="1:16" x14ac:dyDescent="0.3">
      <c r="A39" s="12" t="s">
        <v>35</v>
      </c>
      <c r="B39" s="31">
        <v>27.21</v>
      </c>
      <c r="C39" s="24">
        <v>19.690000000000001</v>
      </c>
      <c r="D39" s="24">
        <v>23.44</v>
      </c>
      <c r="E39" s="24">
        <f t="shared" ref="E39:E41" si="16">2*((C39*D39)/(C39+D39))</f>
        <v>21.401975423139348</v>
      </c>
      <c r="F39" s="36">
        <v>-0.55100000000000005</v>
      </c>
      <c r="G39" s="31">
        <v>19.09</v>
      </c>
      <c r="H39" s="24">
        <v>17.39</v>
      </c>
      <c r="I39" s="24">
        <v>21.43</v>
      </c>
      <c r="J39" s="24">
        <f t="shared" ref="J39:J41" si="17">2*((H39*I39)/(H39+I39))</f>
        <v>19.199778464708913</v>
      </c>
      <c r="K39" s="36">
        <v>-0.52400000000000002</v>
      </c>
      <c r="L39" s="31">
        <v>50.02</v>
      </c>
      <c r="M39" s="24">
        <v>48.07</v>
      </c>
      <c r="N39" s="24">
        <v>48.12</v>
      </c>
      <c r="O39" s="24">
        <f t="shared" ref="O39:O41" si="18">2*((M39*N39)/(M39+N39))</f>
        <v>48.094987004886164</v>
      </c>
      <c r="P39" s="36">
        <v>-3.7999999999999999E-2</v>
      </c>
    </row>
    <row r="40" spans="1:16" x14ac:dyDescent="0.3">
      <c r="A40" s="12" t="s">
        <v>36</v>
      </c>
      <c r="B40" s="31">
        <v>23.85</v>
      </c>
      <c r="C40" s="24">
        <v>19.489999999999998</v>
      </c>
      <c r="D40" s="24">
        <v>24.04</v>
      </c>
      <c r="E40" s="24">
        <f t="shared" si="16"/>
        <v>21.527204226969904</v>
      </c>
      <c r="F40" s="36">
        <v>-0.51700000000000002</v>
      </c>
      <c r="G40" s="31">
        <v>50.46</v>
      </c>
      <c r="H40" s="24">
        <v>25.25</v>
      </c>
      <c r="I40" s="24">
        <v>49.94</v>
      </c>
      <c r="J40" s="24">
        <f t="shared" si="17"/>
        <v>33.541295385024604</v>
      </c>
      <c r="K40" s="36">
        <v>-1E-3</v>
      </c>
      <c r="L40" s="31">
        <v>49.82</v>
      </c>
      <c r="M40" s="24">
        <v>30.85</v>
      </c>
      <c r="N40" s="24">
        <v>49.31</v>
      </c>
      <c r="O40" s="24">
        <f t="shared" si="18"/>
        <v>37.954428642714575</v>
      </c>
      <c r="P40" s="36">
        <v>-1.4E-2</v>
      </c>
    </row>
    <row r="41" spans="1:16" ht="15" thickBot="1" x14ac:dyDescent="0.35">
      <c r="A41" s="13" t="s">
        <v>37</v>
      </c>
      <c r="B41" s="33">
        <v>57.29</v>
      </c>
      <c r="C41" s="25">
        <v>41.53</v>
      </c>
      <c r="D41" s="25">
        <v>32.44</v>
      </c>
      <c r="E41" s="25">
        <f t="shared" si="16"/>
        <v>36.42647559821549</v>
      </c>
      <c r="F41" s="37">
        <v>-0.20499999999999999</v>
      </c>
      <c r="G41" s="33">
        <v>88.31</v>
      </c>
      <c r="H41" s="25">
        <v>44.16</v>
      </c>
      <c r="I41" s="25">
        <v>50</v>
      </c>
      <c r="J41" s="25">
        <f t="shared" si="17"/>
        <v>46.898895497026338</v>
      </c>
      <c r="K41" s="37">
        <v>0</v>
      </c>
      <c r="L41" s="33">
        <v>88.31</v>
      </c>
      <c r="M41" s="25">
        <v>44.16</v>
      </c>
      <c r="N41" s="25">
        <v>50</v>
      </c>
      <c r="O41" s="25">
        <f t="shared" si="18"/>
        <v>46.898895497026338</v>
      </c>
      <c r="P41" s="37">
        <v>0</v>
      </c>
    </row>
    <row r="42" spans="1:16" x14ac:dyDescent="0.3">
      <c r="K42" s="35"/>
    </row>
    <row r="43" spans="1:16" s="14" customFormat="1" x14ac:dyDescent="0.3"/>
    <row r="44" spans="1:16" x14ac:dyDescent="0.3">
      <c r="A44" t="s">
        <v>17</v>
      </c>
      <c r="B44" t="b">
        <v>0</v>
      </c>
      <c r="C44" t="b">
        <v>1</v>
      </c>
    </row>
    <row r="45" spans="1:16" x14ac:dyDescent="0.3">
      <c r="A45" t="s">
        <v>34</v>
      </c>
      <c r="B45">
        <f>5234+2071</f>
        <v>7305</v>
      </c>
      <c r="C45">
        <f>840+269</f>
        <v>1109</v>
      </c>
      <c r="D45">
        <f>B45+C45</f>
        <v>8414</v>
      </c>
      <c r="E45" s="16">
        <f>(B45/D45)</f>
        <v>0.86819586403613025</v>
      </c>
      <c r="F45" s="16">
        <f>C45/D45</f>
        <v>0.13180413596386975</v>
      </c>
    </row>
    <row r="46" spans="1:16" x14ac:dyDescent="0.3">
      <c r="A46" t="s">
        <v>35</v>
      </c>
      <c r="B46">
        <v>5396</v>
      </c>
      <c r="C46">
        <v>3018</v>
      </c>
      <c r="D46">
        <f t="shared" ref="D46:D48" si="19">B46+C46</f>
        <v>8414</v>
      </c>
      <c r="E46" s="16">
        <f t="shared" ref="E46:E48" si="20">(B46/D46)</f>
        <v>0.64131209888281437</v>
      </c>
      <c r="F46" s="16">
        <f t="shared" ref="F46:F48" si="21">C46/D46</f>
        <v>0.35868790111718563</v>
      </c>
    </row>
    <row r="47" spans="1:16" x14ac:dyDescent="0.3">
      <c r="A47" t="s">
        <v>36</v>
      </c>
      <c r="B47">
        <f>1699+1831</f>
        <v>3530</v>
      </c>
      <c r="C47">
        <f>804+4080</f>
        <v>4884</v>
      </c>
      <c r="D47">
        <f t="shared" si="19"/>
        <v>8414</v>
      </c>
      <c r="E47" s="16">
        <f t="shared" si="20"/>
        <v>0.41953886379843119</v>
      </c>
      <c r="F47" s="16">
        <f t="shared" si="21"/>
        <v>0.58046113620156881</v>
      </c>
    </row>
    <row r="48" spans="1:16" x14ac:dyDescent="0.3">
      <c r="A48" t="s">
        <v>37</v>
      </c>
      <c r="B48">
        <v>8377</v>
      </c>
      <c r="C48">
        <v>37</v>
      </c>
      <c r="D48">
        <f t="shared" si="19"/>
        <v>8414</v>
      </c>
      <c r="E48" s="16">
        <f t="shared" si="20"/>
        <v>0.99560256714998807</v>
      </c>
      <c r="F48" s="16">
        <f t="shared" si="21"/>
        <v>4.3974328500118853E-3</v>
      </c>
    </row>
    <row r="49" spans="1:16" ht="15" thickBot="1" x14ac:dyDescent="0.35"/>
    <row r="50" spans="1:16" ht="15" thickBot="1" x14ac:dyDescent="0.35">
      <c r="A50" s="61"/>
      <c r="B50" s="63" t="s">
        <v>12</v>
      </c>
      <c r="C50" s="64"/>
      <c r="D50" s="64"/>
      <c r="E50" s="64"/>
      <c r="F50" s="65"/>
      <c r="G50" s="63" t="s">
        <v>11</v>
      </c>
      <c r="H50" s="64"/>
      <c r="I50" s="64"/>
      <c r="J50" s="64"/>
      <c r="K50" s="65"/>
      <c r="L50" s="63" t="s">
        <v>13</v>
      </c>
      <c r="M50" s="64"/>
      <c r="N50" s="64"/>
      <c r="O50" s="64"/>
      <c r="P50" s="65"/>
    </row>
    <row r="51" spans="1:16" ht="15" thickBot="1" x14ac:dyDescent="0.35">
      <c r="A51" s="62"/>
      <c r="B51" s="9" t="s">
        <v>6</v>
      </c>
      <c r="C51" s="10" t="s">
        <v>7</v>
      </c>
      <c r="D51" s="7" t="s">
        <v>8</v>
      </c>
      <c r="E51" s="7" t="s">
        <v>9</v>
      </c>
      <c r="F51" s="8" t="s">
        <v>10</v>
      </c>
      <c r="G51" s="9" t="s">
        <v>6</v>
      </c>
      <c r="H51" s="10" t="s">
        <v>7</v>
      </c>
      <c r="I51" s="7" t="s">
        <v>8</v>
      </c>
      <c r="J51" s="7" t="s">
        <v>9</v>
      </c>
      <c r="K51" s="8" t="s">
        <v>10</v>
      </c>
      <c r="L51" s="9" t="s">
        <v>6</v>
      </c>
      <c r="M51" s="10" t="s">
        <v>7</v>
      </c>
      <c r="N51" s="7" t="s">
        <v>8</v>
      </c>
      <c r="O51" s="7" t="s">
        <v>9</v>
      </c>
      <c r="P51" s="8" t="s">
        <v>10</v>
      </c>
    </row>
    <row r="52" spans="1:16" x14ac:dyDescent="0.3">
      <c r="A52" s="11" t="s">
        <v>34</v>
      </c>
      <c r="B52" s="29">
        <v>65.400000000000006</v>
      </c>
      <c r="C52" s="30">
        <v>48.83</v>
      </c>
      <c r="D52" s="24">
        <v>47.95</v>
      </c>
      <c r="E52" s="24">
        <f>2*((C52*D52)/(C52+D52))</f>
        <v>48.385999173382935</v>
      </c>
      <c r="F52" s="36">
        <v>-2.8000000000000001E-2</v>
      </c>
      <c r="G52" s="31">
        <v>86.82</v>
      </c>
      <c r="H52" s="24">
        <v>43.41</v>
      </c>
      <c r="I52" s="32">
        <v>50</v>
      </c>
      <c r="J52" s="24">
        <f t="shared" ref="J52:J55" si="22">2*((H52*I52)/(H52+I52))</f>
        <v>46.472540413231989</v>
      </c>
      <c r="K52" s="36">
        <v>0</v>
      </c>
      <c r="L52" s="31">
        <v>54.24</v>
      </c>
      <c r="M52" s="24">
        <v>49.29</v>
      </c>
      <c r="N52" s="24">
        <v>48.49</v>
      </c>
      <c r="O52" s="24">
        <f>2*((M52*N52)/(M52+N52))</f>
        <v>48.886727347105747</v>
      </c>
      <c r="P52" s="36">
        <v>-1.4999999999999999E-2</v>
      </c>
    </row>
    <row r="53" spans="1:16" x14ac:dyDescent="0.3">
      <c r="A53" s="12" t="s">
        <v>35</v>
      </c>
      <c r="B53" s="31">
        <v>35.869999999999997</v>
      </c>
      <c r="C53" s="24">
        <v>17.93</v>
      </c>
      <c r="D53" s="24">
        <v>50</v>
      </c>
      <c r="E53" s="24">
        <f t="shared" ref="E53:E55" si="23">2*((C53*D53)/(C53+D53))</f>
        <v>26.394818195200941</v>
      </c>
      <c r="F53" s="36">
        <v>0</v>
      </c>
      <c r="G53" s="31">
        <v>33.47</v>
      </c>
      <c r="H53" s="24">
        <v>37.1</v>
      </c>
      <c r="I53" s="24">
        <v>38.369999999999997</v>
      </c>
      <c r="J53" s="24">
        <f t="shared" si="22"/>
        <v>37.724314297071686</v>
      </c>
      <c r="K53" s="36">
        <v>-0.192</v>
      </c>
      <c r="L53" s="31">
        <v>35.29</v>
      </c>
      <c r="M53" s="24">
        <v>37.76</v>
      </c>
      <c r="N53" s="24">
        <v>37.32</v>
      </c>
      <c r="O53" s="24">
        <f t="shared" ref="O53:O55" si="24">2*((M53*N53)/(M53+N53))</f>
        <v>37.538710708577518</v>
      </c>
      <c r="P53" s="36">
        <v>-0.22</v>
      </c>
    </row>
    <row r="54" spans="1:16" x14ac:dyDescent="0.3">
      <c r="A54" s="12" t="s">
        <v>36</v>
      </c>
      <c r="B54" s="31">
        <v>68.680000000000007</v>
      </c>
      <c r="C54" s="24">
        <v>68.45</v>
      </c>
      <c r="D54" s="24">
        <v>65.83</v>
      </c>
      <c r="E54" s="24">
        <f t="shared" si="23"/>
        <v>67.114439976169194</v>
      </c>
      <c r="F54" s="36">
        <v>0.33</v>
      </c>
      <c r="G54" s="31">
        <v>31.16</v>
      </c>
      <c r="H54" s="24">
        <v>31.3</v>
      </c>
      <c r="I54" s="24">
        <v>34.07</v>
      </c>
      <c r="J54" s="24">
        <f t="shared" si="22"/>
        <v>32.626311763806029</v>
      </c>
      <c r="K54" s="36">
        <v>-0.29099999999999998</v>
      </c>
      <c r="L54" s="31">
        <v>58.06</v>
      </c>
      <c r="M54" s="24">
        <v>59.03</v>
      </c>
      <c r="N54" s="24">
        <v>50.02</v>
      </c>
      <c r="O54" s="24">
        <f t="shared" si="24"/>
        <v>54.152784961027052</v>
      </c>
      <c r="P54" s="36">
        <v>1E-3</v>
      </c>
    </row>
    <row r="55" spans="1:16" ht="15" thickBot="1" x14ac:dyDescent="0.35">
      <c r="A55" s="13" t="s">
        <v>37</v>
      </c>
      <c r="B55" s="33">
        <v>99.56</v>
      </c>
      <c r="C55" s="25">
        <v>49.78</v>
      </c>
      <c r="D55" s="25">
        <v>50</v>
      </c>
      <c r="E55" s="25">
        <f t="shared" si="23"/>
        <v>49.88975746642614</v>
      </c>
      <c r="F55" s="37">
        <v>0</v>
      </c>
      <c r="G55" s="33">
        <v>99.56</v>
      </c>
      <c r="H55" s="25">
        <v>49.78</v>
      </c>
      <c r="I55" s="25">
        <v>50</v>
      </c>
      <c r="J55" s="25">
        <f t="shared" si="22"/>
        <v>49.88975746642614</v>
      </c>
      <c r="K55" s="37">
        <v>0</v>
      </c>
      <c r="L55" s="33">
        <v>99.56</v>
      </c>
      <c r="M55" s="25">
        <v>49.78</v>
      </c>
      <c r="N55" s="25">
        <v>50</v>
      </c>
      <c r="O55" s="25">
        <f t="shared" si="24"/>
        <v>49.88975746642614</v>
      </c>
      <c r="P55" s="37">
        <v>0</v>
      </c>
    </row>
    <row r="57" spans="1:16" s="14" customFormat="1" x14ac:dyDescent="0.3"/>
    <row r="58" spans="1:16" x14ac:dyDescent="0.3">
      <c r="A58" t="s">
        <v>18</v>
      </c>
      <c r="B58" t="b">
        <v>0</v>
      </c>
      <c r="C58" t="b">
        <v>1</v>
      </c>
    </row>
    <row r="59" spans="1:16" x14ac:dyDescent="0.3">
      <c r="A59" t="s">
        <v>34</v>
      </c>
      <c r="B59">
        <f>2721+4770</f>
        <v>7491</v>
      </c>
      <c r="C59">
        <f>714+798</f>
        <v>1512</v>
      </c>
      <c r="D59">
        <f>B59+C59</f>
        <v>9003</v>
      </c>
      <c r="E59" s="16">
        <f>(B59/D59)</f>
        <v>0.8320559813395535</v>
      </c>
      <c r="F59" s="16">
        <f>C59/D59</f>
        <v>0.16794401866044653</v>
      </c>
    </row>
    <row r="60" spans="1:16" x14ac:dyDescent="0.3">
      <c r="A60" t="s">
        <v>35</v>
      </c>
      <c r="B60">
        <f>3267+222</f>
        <v>3489</v>
      </c>
      <c r="C60">
        <f>2888+2626</f>
        <v>5514</v>
      </c>
      <c r="D60">
        <f t="shared" ref="D60:D62" si="25">B60+C60</f>
        <v>9003</v>
      </c>
      <c r="E60" s="16">
        <f t="shared" ref="E60:E62" si="26">(B60/D60)</f>
        <v>0.38753748750416528</v>
      </c>
      <c r="F60" s="16">
        <f t="shared" ref="F60:F62" si="27">C60/D60</f>
        <v>0.61246251249583472</v>
      </c>
    </row>
    <row r="61" spans="1:16" x14ac:dyDescent="0.3">
      <c r="A61" t="s">
        <v>36</v>
      </c>
      <c r="B61">
        <f>3232+873</f>
        <v>4105</v>
      </c>
      <c r="C61">
        <f>2804+2094</f>
        <v>4898</v>
      </c>
      <c r="D61">
        <f t="shared" si="25"/>
        <v>9003</v>
      </c>
      <c r="E61" s="16">
        <f t="shared" si="26"/>
        <v>0.45595912473619904</v>
      </c>
      <c r="F61" s="16">
        <f t="shared" si="27"/>
        <v>0.54404087526380096</v>
      </c>
    </row>
    <row r="62" spans="1:16" x14ac:dyDescent="0.3">
      <c r="A62" t="s">
        <v>37</v>
      </c>
      <c r="B62">
        <f>6227+2711</f>
        <v>8938</v>
      </c>
      <c r="C62">
        <f>65+0</f>
        <v>65</v>
      </c>
      <c r="D62">
        <f t="shared" si="25"/>
        <v>9003</v>
      </c>
      <c r="E62" s="16">
        <f t="shared" si="26"/>
        <v>0.99278018438298343</v>
      </c>
      <c r="F62" s="16">
        <f t="shared" si="27"/>
        <v>7.2198156170165499E-3</v>
      </c>
    </row>
    <row r="63" spans="1:16" ht="15" thickBot="1" x14ac:dyDescent="0.35"/>
    <row r="64" spans="1:16" ht="15" thickBot="1" x14ac:dyDescent="0.35">
      <c r="A64" s="61"/>
      <c r="B64" s="63" t="s">
        <v>12</v>
      </c>
      <c r="C64" s="64"/>
      <c r="D64" s="64"/>
      <c r="E64" s="64"/>
      <c r="F64" s="65"/>
      <c r="G64" s="63" t="s">
        <v>11</v>
      </c>
      <c r="H64" s="64"/>
      <c r="I64" s="64"/>
      <c r="J64" s="64"/>
      <c r="K64" s="65"/>
      <c r="L64" s="63" t="s">
        <v>13</v>
      </c>
      <c r="M64" s="64"/>
      <c r="N64" s="64"/>
      <c r="O64" s="64"/>
      <c r="P64" s="65"/>
    </row>
    <row r="65" spans="1:16" ht="15" thickBot="1" x14ac:dyDescent="0.35">
      <c r="A65" s="62"/>
      <c r="B65" s="9" t="s">
        <v>6</v>
      </c>
      <c r="C65" s="10" t="s">
        <v>7</v>
      </c>
      <c r="D65" s="7" t="s">
        <v>8</v>
      </c>
      <c r="E65" s="7" t="s">
        <v>9</v>
      </c>
      <c r="F65" s="8" t="s">
        <v>10</v>
      </c>
      <c r="G65" s="9" t="s">
        <v>6</v>
      </c>
      <c r="H65" s="10" t="s">
        <v>7</v>
      </c>
      <c r="I65" s="7" t="s">
        <v>8</v>
      </c>
      <c r="J65" s="7" t="s">
        <v>9</v>
      </c>
      <c r="K65" s="8" t="s">
        <v>10</v>
      </c>
      <c r="L65" s="9" t="s">
        <v>6</v>
      </c>
      <c r="M65" s="10" t="s">
        <v>7</v>
      </c>
      <c r="N65" s="7" t="s">
        <v>8</v>
      </c>
      <c r="O65" s="7" t="s">
        <v>9</v>
      </c>
      <c r="P65" s="8" t="s">
        <v>10</v>
      </c>
    </row>
    <row r="66" spans="1:16" x14ac:dyDescent="0.3">
      <c r="A66" s="11" t="s">
        <v>34</v>
      </c>
      <c r="B66" s="1">
        <v>39.090000000000003</v>
      </c>
      <c r="C66" s="2">
        <v>46.77</v>
      </c>
      <c r="D66" s="3">
        <v>44.55</v>
      </c>
      <c r="E66" s="24">
        <f>2*((C66*D66)/(C66+D66))</f>
        <v>45.633015768725372</v>
      </c>
      <c r="F66" s="36">
        <v>-5.2999999999999999E-2</v>
      </c>
      <c r="G66" s="31">
        <v>83.21</v>
      </c>
      <c r="H66" s="24">
        <v>41.6</v>
      </c>
      <c r="I66" s="32">
        <v>50</v>
      </c>
      <c r="J66" s="24">
        <f>2*((H66*I66)/(H66+I66))</f>
        <v>45.414847161572055</v>
      </c>
      <c r="K66" s="36">
        <v>0</v>
      </c>
      <c r="L66" s="31">
        <v>62.9</v>
      </c>
      <c r="M66" s="24">
        <v>49.56</v>
      </c>
      <c r="N66" s="24">
        <v>49.33</v>
      </c>
      <c r="O66" s="24">
        <f>2*((M66*N66)/(M66+N66))</f>
        <v>49.444732531095156</v>
      </c>
      <c r="P66" s="36">
        <v>-0.01</v>
      </c>
    </row>
    <row r="67" spans="1:16" x14ac:dyDescent="0.3">
      <c r="A67" s="12" t="s">
        <v>35</v>
      </c>
      <c r="B67" s="5">
        <v>65.459999999999994</v>
      </c>
      <c r="C67" s="3">
        <v>72.64</v>
      </c>
      <c r="D67" s="3">
        <v>70.63</v>
      </c>
      <c r="E67" s="24">
        <f t="shared" ref="E67:E69" si="28">2*((C67*D67)/(C67+D67))</f>
        <v>71.620900397850221</v>
      </c>
      <c r="F67" s="36">
        <v>0.36199999999999999</v>
      </c>
      <c r="G67" s="31">
        <v>29.66</v>
      </c>
      <c r="H67" s="24">
        <v>31.17</v>
      </c>
      <c r="I67" s="32">
        <v>31</v>
      </c>
      <c r="J67" s="24">
        <f t="shared" ref="J67:J69" si="29">2*((H67*I67)/(H67+I67))</f>
        <v>31.084767572784305</v>
      </c>
      <c r="K67" s="36">
        <v>-0.34499999999999997</v>
      </c>
      <c r="L67" s="31">
        <v>56.03</v>
      </c>
      <c r="M67" s="24">
        <v>51.82</v>
      </c>
      <c r="N67" s="32">
        <v>51.61</v>
      </c>
      <c r="O67" s="24">
        <f t="shared" ref="O67:O69" si="30">2*((M67*N67)/(M67+N67))</f>
        <v>51.71478681233684</v>
      </c>
      <c r="P67" s="36">
        <v>3.4000000000000002E-2</v>
      </c>
    </row>
    <row r="68" spans="1:16" x14ac:dyDescent="0.3">
      <c r="A68" s="12" t="s">
        <v>36</v>
      </c>
      <c r="B68" s="5">
        <v>59.16</v>
      </c>
      <c r="C68" s="3">
        <v>62.06</v>
      </c>
      <c r="D68" s="3">
        <v>60.74</v>
      </c>
      <c r="E68" s="24">
        <f t="shared" si="28"/>
        <v>61.392905537459285</v>
      </c>
      <c r="F68" s="36">
        <v>0.20699999999999999</v>
      </c>
      <c r="G68" s="31">
        <v>37.61</v>
      </c>
      <c r="H68" s="32">
        <v>38.01</v>
      </c>
      <c r="I68" s="32">
        <v>38.42</v>
      </c>
      <c r="J68" s="24">
        <f t="shared" si="29"/>
        <v>38.213900300928948</v>
      </c>
      <c r="K68" s="36">
        <v>-0.22600000000000001</v>
      </c>
      <c r="L68" s="31">
        <v>37.61</v>
      </c>
      <c r="M68" s="24">
        <v>38.01</v>
      </c>
      <c r="N68" s="24">
        <v>38.42</v>
      </c>
      <c r="O68" s="24">
        <f t="shared" si="30"/>
        <v>38.213900300928948</v>
      </c>
      <c r="P68" s="36">
        <v>-0.22600000000000001</v>
      </c>
    </row>
    <row r="69" spans="1:16" ht="15" thickBot="1" x14ac:dyDescent="0.35">
      <c r="A69" s="13" t="s">
        <v>37</v>
      </c>
      <c r="B69" s="6">
        <v>69.17</v>
      </c>
      <c r="C69" s="7">
        <v>49.48</v>
      </c>
      <c r="D69" s="7">
        <v>34.83</v>
      </c>
      <c r="E69" s="25">
        <f t="shared" si="28"/>
        <v>40.88218242201399</v>
      </c>
      <c r="F69" s="37">
        <v>-1.4E-2</v>
      </c>
      <c r="G69" s="33">
        <v>99.28</v>
      </c>
      <c r="H69" s="25">
        <v>49.64</v>
      </c>
      <c r="I69" s="25">
        <v>50</v>
      </c>
      <c r="J69" s="25">
        <f t="shared" si="29"/>
        <v>49.819349658771579</v>
      </c>
      <c r="K69" s="37">
        <v>0</v>
      </c>
      <c r="L69" s="33">
        <v>99.28</v>
      </c>
      <c r="M69" s="25">
        <v>49.64</v>
      </c>
      <c r="N69" s="25">
        <v>50</v>
      </c>
      <c r="O69" s="25">
        <f t="shared" si="30"/>
        <v>49.819349658771579</v>
      </c>
      <c r="P69" s="37">
        <v>0</v>
      </c>
    </row>
    <row r="71" spans="1:16" s="14" customFormat="1" x14ac:dyDescent="0.3"/>
    <row r="72" spans="1:16" x14ac:dyDescent="0.3">
      <c r="A72" t="s">
        <v>19</v>
      </c>
      <c r="B72" t="b">
        <v>0</v>
      </c>
      <c r="C72" t="b">
        <v>1</v>
      </c>
    </row>
    <row r="73" spans="1:16" x14ac:dyDescent="0.3">
      <c r="A73" t="s">
        <v>34</v>
      </c>
      <c r="B73">
        <f>6123+0</f>
        <v>6123</v>
      </c>
      <c r="C73">
        <f>1438+0</f>
        <v>1438</v>
      </c>
      <c r="D73">
        <f>B73+C73</f>
        <v>7561</v>
      </c>
      <c r="E73" s="16">
        <f>(B73/D73)</f>
        <v>0.80981351673059121</v>
      </c>
      <c r="F73" s="16">
        <f>C73/D73</f>
        <v>0.19018648326940882</v>
      </c>
    </row>
    <row r="74" spans="1:16" x14ac:dyDescent="0.3">
      <c r="A74" t="s">
        <v>35</v>
      </c>
      <c r="B74">
        <f>1233+2797</f>
        <v>4030</v>
      </c>
      <c r="C74">
        <f>604+2927</f>
        <v>3531</v>
      </c>
      <c r="D74">
        <f>B74+C74</f>
        <v>7561</v>
      </c>
      <c r="E74" s="16">
        <f t="shared" ref="E74:E76" si="31">(B74/D74)</f>
        <v>0.53299828065070753</v>
      </c>
      <c r="F74" s="16">
        <f t="shared" ref="F74:F76" si="32">C74/D74</f>
        <v>0.46700171934929241</v>
      </c>
    </row>
    <row r="75" spans="1:16" x14ac:dyDescent="0.3">
      <c r="A75" t="s">
        <v>36</v>
      </c>
      <c r="B75">
        <f>2432+2875</f>
        <v>5307</v>
      </c>
      <c r="C75">
        <f>1950+304</f>
        <v>2254</v>
      </c>
      <c r="D75">
        <f t="shared" ref="D75:D76" si="33">B75+C75</f>
        <v>7561</v>
      </c>
      <c r="E75" s="16">
        <f t="shared" si="31"/>
        <v>0.7018912842216638</v>
      </c>
      <c r="F75" s="16">
        <f t="shared" si="32"/>
        <v>0.2981087157783362</v>
      </c>
    </row>
    <row r="76" spans="1:16" x14ac:dyDescent="0.3">
      <c r="A76" t="s">
        <v>37</v>
      </c>
      <c r="B76">
        <f>6871+34</f>
        <v>6905</v>
      </c>
      <c r="C76">
        <f>652+4</f>
        <v>656</v>
      </c>
      <c r="D76">
        <f t="shared" si="33"/>
        <v>7561</v>
      </c>
      <c r="E76" s="16">
        <f t="shared" si="31"/>
        <v>0.91323898955164662</v>
      </c>
      <c r="F76" s="16">
        <f t="shared" si="32"/>
        <v>8.6761010448353396E-2</v>
      </c>
    </row>
    <row r="77" spans="1:16" ht="15" thickBot="1" x14ac:dyDescent="0.35"/>
    <row r="78" spans="1:16" ht="15" thickBot="1" x14ac:dyDescent="0.35">
      <c r="A78" s="61"/>
      <c r="B78" s="63" t="s">
        <v>12</v>
      </c>
      <c r="C78" s="64"/>
      <c r="D78" s="64"/>
      <c r="E78" s="64"/>
      <c r="F78" s="65"/>
      <c r="G78" s="63" t="s">
        <v>11</v>
      </c>
      <c r="H78" s="64"/>
      <c r="I78" s="64"/>
      <c r="J78" s="64"/>
      <c r="K78" s="65"/>
      <c r="L78" s="63" t="s">
        <v>13</v>
      </c>
      <c r="M78" s="64"/>
      <c r="N78" s="64"/>
      <c r="O78" s="64"/>
      <c r="P78" s="65"/>
    </row>
    <row r="79" spans="1:16" ht="15" thickBot="1" x14ac:dyDescent="0.35">
      <c r="A79" s="62"/>
      <c r="B79" s="9" t="s">
        <v>6</v>
      </c>
      <c r="C79" s="10" t="s">
        <v>7</v>
      </c>
      <c r="D79" s="7" t="s">
        <v>8</v>
      </c>
      <c r="E79" s="7" t="s">
        <v>9</v>
      </c>
      <c r="F79" s="8" t="s">
        <v>10</v>
      </c>
      <c r="G79" s="9" t="s">
        <v>6</v>
      </c>
      <c r="H79" s="10" t="s">
        <v>7</v>
      </c>
      <c r="I79" s="7" t="s">
        <v>8</v>
      </c>
      <c r="J79" s="7" t="s">
        <v>9</v>
      </c>
      <c r="K79" s="8" t="s">
        <v>10</v>
      </c>
      <c r="L79" s="9" t="s">
        <v>6</v>
      </c>
      <c r="M79" s="10" t="s">
        <v>7</v>
      </c>
      <c r="N79" s="7" t="s">
        <v>8</v>
      </c>
      <c r="O79" s="7" t="s">
        <v>9</v>
      </c>
      <c r="P79" s="8" t="s">
        <v>10</v>
      </c>
    </row>
    <row r="80" spans="1:16" x14ac:dyDescent="0.3">
      <c r="A80" s="11" t="s">
        <v>34</v>
      </c>
      <c r="B80" s="29">
        <v>80.98</v>
      </c>
      <c r="C80" s="30">
        <v>40.49</v>
      </c>
      <c r="D80" s="24">
        <v>50</v>
      </c>
      <c r="E80" s="24">
        <f>2*((C80*D80)/(C80+D80))</f>
        <v>44.745275721074144</v>
      </c>
      <c r="F80" s="36">
        <v>0</v>
      </c>
      <c r="G80" s="34">
        <v>48.62</v>
      </c>
      <c r="H80" s="24">
        <v>42.76</v>
      </c>
      <c r="I80" s="24">
        <v>38.64</v>
      </c>
      <c r="J80" s="24">
        <f>2*((H80*I80)/(H80+I80))</f>
        <v>40.595734643734637</v>
      </c>
      <c r="K80" s="36">
        <v>-0.158</v>
      </c>
      <c r="L80" s="31">
        <v>46.22</v>
      </c>
      <c r="M80" s="24">
        <v>42.37</v>
      </c>
      <c r="N80" s="32">
        <v>37.799999999999997</v>
      </c>
      <c r="O80" s="24">
        <f>2*((M80*N80)/(M80+N80))</f>
        <v>39.954746164400646</v>
      </c>
      <c r="P80" s="36">
        <v>-0.16200000000000001</v>
      </c>
    </row>
    <row r="81" spans="1:16" x14ac:dyDescent="0.3">
      <c r="A81" s="12" t="s">
        <v>35</v>
      </c>
      <c r="B81" s="31">
        <v>55.02</v>
      </c>
      <c r="C81" s="24">
        <v>59.13</v>
      </c>
      <c r="D81" s="24">
        <v>56.74</v>
      </c>
      <c r="E81" s="24">
        <f t="shared" ref="E81:E83" si="34">2*((C81*D81)/(C81+D81))</f>
        <v>57.910351255717622</v>
      </c>
      <c r="F81" s="36">
        <v>0.13</v>
      </c>
      <c r="G81" s="31">
        <v>44.5</v>
      </c>
      <c r="H81" s="24">
        <v>40.54</v>
      </c>
      <c r="I81" s="24">
        <v>42.84</v>
      </c>
      <c r="J81" s="24">
        <f t="shared" ref="J81:J83" si="35">2*((H81*I81)/(H81+I81))</f>
        <v>41.65827776445191</v>
      </c>
      <c r="K81" s="36">
        <v>-0.14699999999999999</v>
      </c>
      <c r="L81" s="31">
        <v>53.3</v>
      </c>
      <c r="M81" s="24">
        <v>51.65</v>
      </c>
      <c r="N81" s="24">
        <v>50.01</v>
      </c>
      <c r="O81" s="24">
        <f t="shared" ref="O81:O82" si="36">2*((M81*N81)/(M81+N81))</f>
        <v>50.816771591579773</v>
      </c>
      <c r="P81" s="36">
        <v>0</v>
      </c>
    </row>
    <row r="82" spans="1:16" x14ac:dyDescent="0.3">
      <c r="A82" s="12" t="s">
        <v>36</v>
      </c>
      <c r="B82" s="31">
        <v>36.19</v>
      </c>
      <c r="C82" s="24">
        <v>32.53</v>
      </c>
      <c r="D82" s="24">
        <v>29.66</v>
      </c>
      <c r="E82" s="24">
        <f t="shared" si="34"/>
        <v>31.028776330599779</v>
      </c>
      <c r="F82" s="36">
        <v>-0.36399999999999999</v>
      </c>
      <c r="G82" s="31">
        <v>70.14</v>
      </c>
      <c r="H82" s="24">
        <v>35.090000000000003</v>
      </c>
      <c r="I82" s="24">
        <v>49.96</v>
      </c>
      <c r="J82" s="24">
        <f t="shared" si="35"/>
        <v>41.225077013521457</v>
      </c>
      <c r="K82" s="36">
        <v>-1E-3</v>
      </c>
      <c r="L82" s="31">
        <v>53.1</v>
      </c>
      <c r="M82" s="24">
        <v>40.119999999999997</v>
      </c>
      <c r="N82" s="32">
        <v>41.31</v>
      </c>
      <c r="O82" s="24">
        <f t="shared" si="36"/>
        <v>40.706304801670143</v>
      </c>
      <c r="P82" s="36">
        <v>-0.184</v>
      </c>
    </row>
    <row r="83" spans="1:16" ht="15" thickBot="1" x14ac:dyDescent="0.35">
      <c r="A83" s="13" t="s">
        <v>37</v>
      </c>
      <c r="B83" s="33">
        <v>90.93</v>
      </c>
      <c r="C83" s="25">
        <v>50.93</v>
      </c>
      <c r="D83" s="25">
        <v>50.06</v>
      </c>
      <c r="E83" s="25">
        <f t="shared" si="34"/>
        <v>50.491252599267249</v>
      </c>
      <c r="F83" s="37">
        <v>2E-3</v>
      </c>
      <c r="G83" s="33">
        <v>91.32</v>
      </c>
      <c r="H83" s="25">
        <v>45.66</v>
      </c>
      <c r="I83" s="25">
        <v>50</v>
      </c>
      <c r="J83" s="25">
        <f t="shared" si="35"/>
        <v>47.731549236880618</v>
      </c>
      <c r="K83" s="37">
        <v>0</v>
      </c>
      <c r="L83" s="33">
        <v>91.32</v>
      </c>
      <c r="M83" s="25">
        <v>45.66</v>
      </c>
      <c r="N83" s="25">
        <v>50</v>
      </c>
      <c r="O83" s="25">
        <f>2*((M83*N83)/(M83+N83))</f>
        <v>47.731549236880618</v>
      </c>
      <c r="P83" s="37">
        <v>0</v>
      </c>
    </row>
    <row r="85" spans="1:16" s="14" customFormat="1" x14ac:dyDescent="0.3"/>
    <row r="86" spans="1:16" x14ac:dyDescent="0.3">
      <c r="A86" t="s">
        <v>20</v>
      </c>
      <c r="B86" t="b">
        <v>0</v>
      </c>
      <c r="C86" t="b">
        <v>1</v>
      </c>
    </row>
    <row r="87" spans="1:16" x14ac:dyDescent="0.3">
      <c r="A87" t="s">
        <v>34</v>
      </c>
      <c r="B87">
        <f>1012+2050</f>
        <v>3062</v>
      </c>
      <c r="C87">
        <f>156+269</f>
        <v>425</v>
      </c>
      <c r="D87">
        <f>B87+C87</f>
        <v>3487</v>
      </c>
      <c r="E87" s="16">
        <f>(B87/D87)</f>
        <v>0.87811872669916835</v>
      </c>
      <c r="F87" s="16">
        <f>C87/D87</f>
        <v>0.12188127330083166</v>
      </c>
    </row>
    <row r="88" spans="1:16" x14ac:dyDescent="0.3">
      <c r="A88" t="s">
        <v>35</v>
      </c>
      <c r="B88">
        <f>1431+0</f>
        <v>1431</v>
      </c>
      <c r="C88">
        <f>2056+0</f>
        <v>2056</v>
      </c>
      <c r="D88">
        <f t="shared" ref="D88:D90" si="37">B88+C88</f>
        <v>3487</v>
      </c>
      <c r="E88" s="16">
        <f t="shared" ref="E88:E90" si="38">(B88/D88)</f>
        <v>0.41038141669056494</v>
      </c>
      <c r="F88" s="16">
        <f t="shared" ref="F88:F90" si="39">C88/D88</f>
        <v>0.58961858330943506</v>
      </c>
    </row>
    <row r="89" spans="1:16" x14ac:dyDescent="0.3">
      <c r="A89" t="s">
        <v>36</v>
      </c>
      <c r="B89">
        <f>187+777</f>
        <v>964</v>
      </c>
      <c r="C89">
        <f>1022+1501</f>
        <v>2523</v>
      </c>
      <c r="D89">
        <f t="shared" si="37"/>
        <v>3487</v>
      </c>
      <c r="E89" s="16">
        <f t="shared" si="38"/>
        <v>0.27645540579294525</v>
      </c>
      <c r="F89" s="16">
        <f t="shared" si="39"/>
        <v>0.72354459420705475</v>
      </c>
    </row>
    <row r="90" spans="1:16" x14ac:dyDescent="0.3">
      <c r="A90" t="s">
        <v>37</v>
      </c>
      <c r="B90">
        <f>3471+0</f>
        <v>3471</v>
      </c>
      <c r="C90">
        <f>16</f>
        <v>16</v>
      </c>
      <c r="D90">
        <f t="shared" si="37"/>
        <v>3487</v>
      </c>
      <c r="E90" s="16">
        <f t="shared" si="38"/>
        <v>0.99541152853455694</v>
      </c>
      <c r="F90" s="16">
        <f t="shared" si="39"/>
        <v>4.5884714654430741E-3</v>
      </c>
    </row>
    <row r="91" spans="1:16" ht="15" thickBot="1" x14ac:dyDescent="0.35"/>
    <row r="92" spans="1:16" ht="15" thickBot="1" x14ac:dyDescent="0.35">
      <c r="A92" s="61"/>
      <c r="B92" s="63" t="s">
        <v>12</v>
      </c>
      <c r="C92" s="64"/>
      <c r="D92" s="64"/>
      <c r="E92" s="64"/>
      <c r="F92" s="65"/>
      <c r="G92" s="63" t="s">
        <v>11</v>
      </c>
      <c r="H92" s="64"/>
      <c r="I92" s="64"/>
      <c r="J92" s="64"/>
      <c r="K92" s="65"/>
      <c r="L92" s="63" t="s">
        <v>13</v>
      </c>
      <c r="M92" s="64"/>
      <c r="N92" s="64"/>
      <c r="O92" s="64"/>
      <c r="P92" s="65"/>
    </row>
    <row r="93" spans="1:16" ht="15" thickBot="1" x14ac:dyDescent="0.35">
      <c r="A93" s="62"/>
      <c r="B93" s="9" t="s">
        <v>6</v>
      </c>
      <c r="C93" s="10" t="s">
        <v>7</v>
      </c>
      <c r="D93" s="7" t="s">
        <v>8</v>
      </c>
      <c r="E93" s="7" t="s">
        <v>9</v>
      </c>
      <c r="F93" s="8" t="s">
        <v>10</v>
      </c>
      <c r="G93" s="9" t="s">
        <v>6</v>
      </c>
      <c r="H93" s="10" t="s">
        <v>7</v>
      </c>
      <c r="I93" s="7" t="s">
        <v>8</v>
      </c>
      <c r="J93" s="7" t="s">
        <v>9</v>
      </c>
      <c r="K93" s="8" t="s">
        <v>10</v>
      </c>
      <c r="L93" s="9" t="s">
        <v>6</v>
      </c>
      <c r="M93" s="10" t="s">
        <v>7</v>
      </c>
      <c r="N93" s="7" t="s">
        <v>8</v>
      </c>
      <c r="O93" s="7" t="s">
        <v>9</v>
      </c>
      <c r="P93" s="8" t="s">
        <v>10</v>
      </c>
    </row>
    <row r="94" spans="1:16" x14ac:dyDescent="0.3">
      <c r="A94" s="11" t="s">
        <v>34</v>
      </c>
      <c r="B94" s="29">
        <v>36.74</v>
      </c>
      <c r="C94" s="30">
        <v>49.12</v>
      </c>
      <c r="D94" s="24">
        <v>48.17</v>
      </c>
      <c r="E94" s="24">
        <f>2*((C94*D94)/(C94+D94))</f>
        <v>48.640361804913148</v>
      </c>
      <c r="F94" s="36">
        <v>-1.2999999999999999E-2</v>
      </c>
      <c r="G94" s="31">
        <v>87.81</v>
      </c>
      <c r="H94" s="24">
        <v>43.91</v>
      </c>
      <c r="I94" s="24">
        <v>50</v>
      </c>
      <c r="J94" s="24">
        <f>2*((H94*I94)/(H94+I94))</f>
        <v>46.757533808966031</v>
      </c>
      <c r="K94" s="36">
        <v>0</v>
      </c>
      <c r="L94" s="31">
        <v>87.81</v>
      </c>
      <c r="M94" s="24">
        <v>43.91</v>
      </c>
      <c r="N94" s="24">
        <v>50</v>
      </c>
      <c r="O94" s="24">
        <f>2*((M94*N94)/(M94+N94))</f>
        <v>46.757533808966031</v>
      </c>
      <c r="P94" s="36">
        <v>0</v>
      </c>
    </row>
    <row r="95" spans="1:16" x14ac:dyDescent="0.3">
      <c r="A95" s="12" t="s">
        <v>35</v>
      </c>
      <c r="B95" s="31">
        <v>41.04</v>
      </c>
      <c r="C95" s="24">
        <v>20.52</v>
      </c>
      <c r="D95" s="24">
        <v>50</v>
      </c>
      <c r="E95" s="24">
        <f t="shared" ref="E95:E97" si="40">2*((C95*D95)/(C95+D95))</f>
        <v>29.098128190584234</v>
      </c>
      <c r="F95" s="36">
        <v>0</v>
      </c>
      <c r="G95" s="31">
        <v>39.32</v>
      </c>
      <c r="H95" s="24">
        <v>35.18</v>
      </c>
      <c r="I95" s="32">
        <v>36.119999999999997</v>
      </c>
      <c r="J95" s="24">
        <f t="shared" ref="J95:J97" si="41">2*((H95*I95)/(H95+I95))</f>
        <v>35.643803646563811</v>
      </c>
      <c r="K95" s="36">
        <v>-0.28399999999999997</v>
      </c>
      <c r="L95" s="31">
        <v>58.96</v>
      </c>
      <c r="M95" s="24">
        <v>29.48</v>
      </c>
      <c r="N95" s="32">
        <v>50</v>
      </c>
      <c r="O95" s="24">
        <f t="shared" ref="O95:O97" si="42">2*((M95*N95)/(M95+N95))</f>
        <v>37.091092098641163</v>
      </c>
      <c r="P95" s="36">
        <v>0</v>
      </c>
    </row>
    <row r="96" spans="1:16" x14ac:dyDescent="0.3">
      <c r="A96" s="12" t="s">
        <v>36</v>
      </c>
      <c r="B96" s="31">
        <v>48.41</v>
      </c>
      <c r="C96" s="24">
        <v>40.68</v>
      </c>
      <c r="D96" s="24">
        <v>39.450000000000003</v>
      </c>
      <c r="E96" s="24">
        <f t="shared" si="40"/>
        <v>40.05555971546238</v>
      </c>
      <c r="F96" s="36">
        <v>-0.19600000000000001</v>
      </c>
      <c r="G96" s="31">
        <v>72.349999999999994</v>
      </c>
      <c r="H96" s="24">
        <v>36.18</v>
      </c>
      <c r="I96" s="24">
        <v>50</v>
      </c>
      <c r="J96" s="24">
        <f t="shared" si="41"/>
        <v>41.98189835228591</v>
      </c>
      <c r="K96" s="36">
        <v>0</v>
      </c>
      <c r="L96" s="31">
        <v>72.349999999999994</v>
      </c>
      <c r="M96" s="24">
        <v>36.18</v>
      </c>
      <c r="N96" s="24">
        <v>50</v>
      </c>
      <c r="O96" s="24">
        <f t="shared" si="42"/>
        <v>41.98189835228591</v>
      </c>
      <c r="P96" s="36">
        <v>0</v>
      </c>
    </row>
    <row r="97" spans="1:16" ht="15" thickBot="1" x14ac:dyDescent="0.35">
      <c r="A97" s="13" t="s">
        <v>37</v>
      </c>
      <c r="B97" s="33">
        <v>99.54</v>
      </c>
      <c r="C97" s="25">
        <v>49.77</v>
      </c>
      <c r="D97" s="25">
        <v>50</v>
      </c>
      <c r="E97" s="25">
        <f t="shared" si="40"/>
        <v>49.884734890247564</v>
      </c>
      <c r="F97" s="37">
        <v>0</v>
      </c>
      <c r="G97" s="33">
        <v>99.54</v>
      </c>
      <c r="H97" s="25">
        <v>49.77</v>
      </c>
      <c r="I97" s="25">
        <v>50</v>
      </c>
      <c r="J97" s="25">
        <f t="shared" si="41"/>
        <v>49.884734890247564</v>
      </c>
      <c r="K97" s="37">
        <v>0</v>
      </c>
      <c r="L97" s="33">
        <v>99.54</v>
      </c>
      <c r="M97" s="25">
        <v>49.77</v>
      </c>
      <c r="N97" s="25">
        <v>50</v>
      </c>
      <c r="O97" s="25">
        <f t="shared" si="42"/>
        <v>49.884734890247564</v>
      </c>
      <c r="P97" s="37">
        <v>0</v>
      </c>
    </row>
    <row r="99" spans="1:16" s="14" customFormat="1" x14ac:dyDescent="0.3"/>
    <row r="100" spans="1:16" x14ac:dyDescent="0.3">
      <c r="A100" t="s">
        <v>21</v>
      </c>
      <c r="B100" t="b">
        <v>0</v>
      </c>
      <c r="C100" t="b">
        <v>1</v>
      </c>
    </row>
    <row r="101" spans="1:16" x14ac:dyDescent="0.3">
      <c r="A101" t="s">
        <v>34</v>
      </c>
      <c r="B101">
        <f>854+1884</f>
        <v>2738</v>
      </c>
      <c r="C101">
        <f>520+259</f>
        <v>779</v>
      </c>
      <c r="D101">
        <f>B101+C101</f>
        <v>3517</v>
      </c>
      <c r="E101" s="16">
        <f>(B101/D101)</f>
        <v>0.77850440716519764</v>
      </c>
      <c r="F101" s="16">
        <f>C101/D101</f>
        <v>0.22149559283480239</v>
      </c>
    </row>
    <row r="102" spans="1:16" x14ac:dyDescent="0.3">
      <c r="A102" t="s">
        <v>35</v>
      </c>
      <c r="B102">
        <f>562+598</f>
        <v>1160</v>
      </c>
      <c r="C102">
        <f>1581+776</f>
        <v>2357</v>
      </c>
      <c r="D102">
        <f t="shared" ref="D102:D104" si="43">B102+C102</f>
        <v>3517</v>
      </c>
      <c r="E102" s="16">
        <f t="shared" ref="E102:E104" si="44">(B102/D102)</f>
        <v>0.32982655672448108</v>
      </c>
      <c r="F102" s="16">
        <f t="shared" ref="F102:F104" si="45">C102/D102</f>
        <v>0.67017344327551887</v>
      </c>
    </row>
    <row r="103" spans="1:16" x14ac:dyDescent="0.3">
      <c r="A103" t="s">
        <v>36</v>
      </c>
      <c r="B103">
        <f>1914+518</f>
        <v>2432</v>
      </c>
      <c r="C103">
        <f>229+856</f>
        <v>1085</v>
      </c>
      <c r="D103">
        <f t="shared" si="43"/>
        <v>3517</v>
      </c>
      <c r="E103" s="16">
        <f t="shared" si="44"/>
        <v>0.69149843616718798</v>
      </c>
      <c r="F103" s="16">
        <f>C103/D103</f>
        <v>0.30850156383281208</v>
      </c>
    </row>
    <row r="104" spans="1:16" x14ac:dyDescent="0.3">
      <c r="A104" t="s">
        <v>37</v>
      </c>
      <c r="B104">
        <f>3432+0</f>
        <v>3432</v>
      </c>
      <c r="C104">
        <f>85+0</f>
        <v>85</v>
      </c>
      <c r="D104">
        <f t="shared" si="43"/>
        <v>3517</v>
      </c>
      <c r="E104" s="16">
        <f t="shared" si="44"/>
        <v>0.9758316747227751</v>
      </c>
      <c r="F104" s="16">
        <f t="shared" si="45"/>
        <v>2.4168325277224907E-2</v>
      </c>
    </row>
    <row r="105" spans="1:16" ht="15" thickBot="1" x14ac:dyDescent="0.35"/>
    <row r="106" spans="1:16" ht="15" thickBot="1" x14ac:dyDescent="0.35">
      <c r="A106" s="61"/>
      <c r="B106" s="63" t="s">
        <v>12</v>
      </c>
      <c r="C106" s="64"/>
      <c r="D106" s="64"/>
      <c r="E106" s="64"/>
      <c r="F106" s="65"/>
      <c r="G106" s="63" t="s">
        <v>11</v>
      </c>
      <c r="H106" s="64"/>
      <c r="I106" s="64"/>
      <c r="J106" s="64"/>
      <c r="K106" s="65"/>
      <c r="L106" s="63" t="s">
        <v>13</v>
      </c>
      <c r="M106" s="64"/>
      <c r="N106" s="64"/>
      <c r="O106" s="64"/>
      <c r="P106" s="65"/>
    </row>
    <row r="107" spans="1:16" ht="15" thickBot="1" x14ac:dyDescent="0.35">
      <c r="A107" s="62"/>
      <c r="B107" s="9" t="s">
        <v>6</v>
      </c>
      <c r="C107" s="10" t="s">
        <v>7</v>
      </c>
      <c r="D107" s="7" t="s">
        <v>8</v>
      </c>
      <c r="E107" s="7" t="s">
        <v>9</v>
      </c>
      <c r="F107" s="8" t="s">
        <v>10</v>
      </c>
      <c r="G107" s="9" t="s">
        <v>6</v>
      </c>
      <c r="H107" s="10" t="s">
        <v>7</v>
      </c>
      <c r="I107" s="7" t="s">
        <v>8</v>
      </c>
      <c r="J107" s="7" t="s">
        <v>9</v>
      </c>
      <c r="K107" s="8" t="s">
        <v>10</v>
      </c>
      <c r="L107" s="9" t="s">
        <v>6</v>
      </c>
      <c r="M107" s="10" t="s">
        <v>7</v>
      </c>
      <c r="N107" s="7" t="s">
        <v>8</v>
      </c>
      <c r="O107" s="7" t="s">
        <v>9</v>
      </c>
      <c r="P107" s="8" t="s">
        <v>10</v>
      </c>
    </row>
    <row r="108" spans="1:16" x14ac:dyDescent="0.3">
      <c r="A108" s="11" t="s">
        <v>34</v>
      </c>
      <c r="B108" s="29">
        <v>31.65</v>
      </c>
      <c r="C108" s="30">
        <v>37.119999999999997</v>
      </c>
      <c r="D108" s="24">
        <v>32.22</v>
      </c>
      <c r="E108" s="24">
        <f>2*((C108*D108)/(C108+D108))</f>
        <v>34.496867608883761</v>
      </c>
      <c r="F108" s="36">
        <v>-0.219</v>
      </c>
      <c r="G108" s="31">
        <v>77.849999999999994</v>
      </c>
      <c r="H108" s="24">
        <v>38.93</v>
      </c>
      <c r="I108" s="24">
        <v>50</v>
      </c>
      <c r="J108" s="24">
        <f>2*((H108*I108)/(H108+I108))</f>
        <v>43.77600359833577</v>
      </c>
      <c r="K108" s="36">
        <v>0</v>
      </c>
      <c r="L108" s="31">
        <v>31.67</v>
      </c>
      <c r="M108" s="24">
        <v>37.14</v>
      </c>
      <c r="N108" s="32">
        <v>32.24</v>
      </c>
      <c r="O108" s="24">
        <f>2*((M108*N108)/(M108+N108))</f>
        <v>34.516967425771121</v>
      </c>
      <c r="P108" s="36">
        <v>-0.218</v>
      </c>
    </row>
    <row r="109" spans="1:16" x14ac:dyDescent="0.3">
      <c r="A109" s="12" t="s">
        <v>35</v>
      </c>
      <c r="B109" s="31">
        <v>38.04</v>
      </c>
      <c r="C109" s="24">
        <v>41.35</v>
      </c>
      <c r="D109" s="24">
        <v>40.69</v>
      </c>
      <c r="E109" s="24">
        <f t="shared" ref="E109:E111" si="46">2*((C109*D109)/(C109+D109))</f>
        <v>41.017345197464657</v>
      </c>
      <c r="F109" s="36">
        <v>-0.153</v>
      </c>
      <c r="G109" s="31">
        <v>67.02</v>
      </c>
      <c r="H109" s="24">
        <v>33.51</v>
      </c>
      <c r="I109" s="32">
        <v>50</v>
      </c>
      <c r="J109" s="24">
        <f t="shared" ref="J109:J111" si="47">2*((H109*I109)/(H109+I109))</f>
        <v>40.126930906478272</v>
      </c>
      <c r="K109" s="36">
        <v>0</v>
      </c>
      <c r="L109" s="31">
        <v>67.02</v>
      </c>
      <c r="M109" s="24">
        <v>33.51</v>
      </c>
      <c r="N109" s="32">
        <v>50</v>
      </c>
      <c r="O109" s="24">
        <f t="shared" ref="O109:O111" si="48">2*((M109*N109)/(M109+N109))</f>
        <v>40.126930906478272</v>
      </c>
      <c r="P109" s="36">
        <v>0</v>
      </c>
    </row>
    <row r="110" spans="1:16" x14ac:dyDescent="0.3">
      <c r="A110" s="12" t="s">
        <v>36</v>
      </c>
      <c r="B110" s="31">
        <v>78.760000000000005</v>
      </c>
      <c r="C110" s="24">
        <v>75.81</v>
      </c>
      <c r="D110" s="24">
        <v>78.8</v>
      </c>
      <c r="E110" s="24">
        <f t="shared" si="46"/>
        <v>77.276088221977872</v>
      </c>
      <c r="F110" s="36">
        <v>0.53600000000000003</v>
      </c>
      <c r="G110" s="31">
        <v>21.24</v>
      </c>
      <c r="H110" s="24">
        <v>24.19</v>
      </c>
      <c r="I110" s="24">
        <v>21.2</v>
      </c>
      <c r="J110" s="24">
        <f t="shared" si="47"/>
        <v>22.596519057061027</v>
      </c>
      <c r="K110" s="36">
        <v>-0.45300000000000001</v>
      </c>
      <c r="L110" s="31">
        <v>30.88</v>
      </c>
      <c r="M110" s="24">
        <v>65.430000000000007</v>
      </c>
      <c r="N110" s="24">
        <v>50.02</v>
      </c>
      <c r="O110" s="24">
        <f t="shared" si="48"/>
        <v>56.696554352533568</v>
      </c>
      <c r="P110" s="36">
        <v>0</v>
      </c>
    </row>
    <row r="111" spans="1:16" ht="15" thickBot="1" x14ac:dyDescent="0.35">
      <c r="A111" s="13" t="s">
        <v>37</v>
      </c>
      <c r="B111" s="33">
        <v>97.58</v>
      </c>
      <c r="C111" s="25">
        <v>48.79</v>
      </c>
      <c r="D111" s="25">
        <v>50</v>
      </c>
      <c r="E111" s="25">
        <f t="shared" si="46"/>
        <v>49.387589837028045</v>
      </c>
      <c r="F111" s="37">
        <v>0</v>
      </c>
      <c r="G111" s="33">
        <v>97.58</v>
      </c>
      <c r="H111" s="25">
        <v>48.79</v>
      </c>
      <c r="I111" s="25">
        <v>50</v>
      </c>
      <c r="J111" s="25">
        <f t="shared" si="47"/>
        <v>49.387589837028045</v>
      </c>
      <c r="K111" s="37">
        <v>0</v>
      </c>
      <c r="L111" s="33">
        <v>97.58</v>
      </c>
      <c r="M111" s="25">
        <v>48.79</v>
      </c>
      <c r="N111" s="25">
        <v>50</v>
      </c>
      <c r="O111" s="25">
        <f t="shared" si="48"/>
        <v>49.387589837028045</v>
      </c>
      <c r="P111" s="37">
        <v>0</v>
      </c>
    </row>
    <row r="113" spans="1:16" s="14" customFormat="1" x14ac:dyDescent="0.3"/>
    <row r="114" spans="1:16" x14ac:dyDescent="0.3">
      <c r="A114" t="s">
        <v>22</v>
      </c>
      <c r="B114" t="b">
        <v>0</v>
      </c>
      <c r="C114" t="b">
        <v>1</v>
      </c>
    </row>
    <row r="115" spans="1:16" x14ac:dyDescent="0.3">
      <c r="A115" t="s">
        <v>34</v>
      </c>
      <c r="B115">
        <f>5576+1</f>
        <v>5577</v>
      </c>
      <c r="C115">
        <f>442+0</f>
        <v>442</v>
      </c>
      <c r="D115">
        <f>B115+C115</f>
        <v>6019</v>
      </c>
      <c r="E115" s="16">
        <f>(B115/D115)</f>
        <v>0.92656587473002161</v>
      </c>
      <c r="F115" s="16">
        <f>C115/D115</f>
        <v>7.3434125269978404E-2</v>
      </c>
    </row>
    <row r="116" spans="1:16" x14ac:dyDescent="0.3">
      <c r="A116" t="s">
        <v>35</v>
      </c>
      <c r="B116">
        <f>752+1114</f>
        <v>1866</v>
      </c>
      <c r="C116">
        <f>2060+2093</f>
        <v>4153</v>
      </c>
      <c r="D116">
        <f t="shared" ref="D116:D118" si="49">B116+C116</f>
        <v>6019</v>
      </c>
      <c r="E116" s="16">
        <f t="shared" ref="E116:E118" si="50">(B116/D116)</f>
        <v>0.31001827546104005</v>
      </c>
      <c r="F116" s="16">
        <f t="shared" ref="F116:F118" si="51">C116/D116</f>
        <v>0.68998172453896001</v>
      </c>
    </row>
    <row r="117" spans="1:16" x14ac:dyDescent="0.3">
      <c r="A117" t="s">
        <v>36</v>
      </c>
      <c r="B117">
        <f>2423+2807</f>
        <v>5230</v>
      </c>
      <c r="C117">
        <f>789+0</f>
        <v>789</v>
      </c>
      <c r="D117">
        <f t="shared" si="49"/>
        <v>6019</v>
      </c>
      <c r="E117" s="16">
        <f t="shared" si="50"/>
        <v>0.8689151021764413</v>
      </c>
      <c r="F117" s="16">
        <f t="shared" si="51"/>
        <v>0.13108489782355873</v>
      </c>
    </row>
    <row r="118" spans="1:16" x14ac:dyDescent="0.3">
      <c r="A118" t="s">
        <v>37</v>
      </c>
      <c r="B118">
        <f>5980+0</f>
        <v>5980</v>
      </c>
      <c r="C118">
        <f>39+0</f>
        <v>39</v>
      </c>
      <c r="D118">
        <f t="shared" si="49"/>
        <v>6019</v>
      </c>
      <c r="E118" s="16">
        <f t="shared" si="50"/>
        <v>0.99352051835853128</v>
      </c>
      <c r="F118" s="16">
        <f t="shared" si="51"/>
        <v>6.4794816414686825E-3</v>
      </c>
    </row>
    <row r="119" spans="1:16" ht="15" thickBot="1" x14ac:dyDescent="0.35"/>
    <row r="120" spans="1:16" ht="15" thickBot="1" x14ac:dyDescent="0.35">
      <c r="A120" s="61"/>
      <c r="B120" s="63" t="s">
        <v>12</v>
      </c>
      <c r="C120" s="64"/>
      <c r="D120" s="64"/>
      <c r="E120" s="64"/>
      <c r="F120" s="65"/>
      <c r="G120" s="63" t="s">
        <v>11</v>
      </c>
      <c r="H120" s="64"/>
      <c r="I120" s="64"/>
      <c r="J120" s="64"/>
      <c r="K120" s="65"/>
      <c r="L120" s="63" t="s">
        <v>13</v>
      </c>
      <c r="M120" s="64"/>
      <c r="N120" s="64"/>
      <c r="O120" s="64"/>
      <c r="P120" s="65"/>
    </row>
    <row r="121" spans="1:16" ht="15" thickBot="1" x14ac:dyDescent="0.35">
      <c r="A121" s="62"/>
      <c r="B121" s="9" t="s">
        <v>6</v>
      </c>
      <c r="C121" s="10" t="s">
        <v>7</v>
      </c>
      <c r="D121" s="7" t="s">
        <v>8</v>
      </c>
      <c r="E121" s="7" t="s">
        <v>9</v>
      </c>
      <c r="F121" s="8" t="s">
        <v>10</v>
      </c>
      <c r="G121" s="9" t="s">
        <v>6</v>
      </c>
      <c r="H121" s="10" t="s">
        <v>7</v>
      </c>
      <c r="I121" s="7" t="s">
        <v>8</v>
      </c>
      <c r="J121" s="7" t="s">
        <v>9</v>
      </c>
      <c r="K121" s="8" t="s">
        <v>10</v>
      </c>
      <c r="L121" s="9" t="s">
        <v>6</v>
      </c>
      <c r="M121" s="10" t="s">
        <v>7</v>
      </c>
      <c r="N121" s="7" t="s">
        <v>8</v>
      </c>
      <c r="O121" s="7" t="s">
        <v>9</v>
      </c>
      <c r="P121" s="8" t="s">
        <v>10</v>
      </c>
    </row>
    <row r="122" spans="1:16" x14ac:dyDescent="0.3">
      <c r="A122" s="11" t="s">
        <v>34</v>
      </c>
      <c r="B122" s="29">
        <v>92.64</v>
      </c>
      <c r="C122" s="30">
        <v>46.33</v>
      </c>
      <c r="D122" s="24">
        <v>49.99</v>
      </c>
      <c r="E122" s="24">
        <f>2*((C122*D122)/(C122+D122))</f>
        <v>48.090463039867117</v>
      </c>
      <c r="F122" s="36">
        <v>0</v>
      </c>
      <c r="G122" s="29">
        <v>92.66</v>
      </c>
      <c r="H122" s="30">
        <v>46.33</v>
      </c>
      <c r="I122" s="24">
        <v>50</v>
      </c>
      <c r="J122" s="24">
        <f>2*((H122*I122)/(H122+I122))</f>
        <v>48.095089795494651</v>
      </c>
      <c r="K122" s="36">
        <v>0</v>
      </c>
      <c r="L122" s="29">
        <v>50.16</v>
      </c>
      <c r="M122" s="30">
        <v>53.04</v>
      </c>
      <c r="N122" s="24">
        <v>61.13</v>
      </c>
      <c r="O122" s="24">
        <f>2*((M122*N122)/(M122+N122))</f>
        <v>56.798374354033456</v>
      </c>
      <c r="P122" s="36">
        <v>5.7000000000000002E-2</v>
      </c>
    </row>
    <row r="123" spans="1:16" x14ac:dyDescent="0.3">
      <c r="A123" s="12" t="s">
        <v>35</v>
      </c>
      <c r="B123" s="31">
        <v>47.27</v>
      </c>
      <c r="C123" s="24">
        <v>46</v>
      </c>
      <c r="D123" s="24">
        <v>45.35</v>
      </c>
      <c r="E123" s="24">
        <f t="shared" ref="E123:E125" si="52">2*((C123*D123)/(C123+D123))</f>
        <v>45.672687465790915</v>
      </c>
      <c r="F123" s="36">
        <v>-8.2000000000000003E-2</v>
      </c>
      <c r="G123" s="31">
        <v>69</v>
      </c>
      <c r="H123" s="24">
        <v>34.5</v>
      </c>
      <c r="I123" s="24">
        <v>50</v>
      </c>
      <c r="J123" s="24">
        <f t="shared" ref="J123:J125" si="53">2*((H123*I123)/(H123+I123))</f>
        <v>40.828402366863905</v>
      </c>
      <c r="K123" s="36">
        <v>0</v>
      </c>
      <c r="L123" s="31">
        <v>47.28</v>
      </c>
      <c r="M123" s="24">
        <v>45.99</v>
      </c>
      <c r="N123" s="24">
        <v>45.33</v>
      </c>
      <c r="O123" s="24">
        <f>2*((M123*N123)/(M123+N123))</f>
        <v>45.657614980289104</v>
      </c>
      <c r="P123" s="36">
        <v>-8.2000000000000003E-2</v>
      </c>
    </row>
    <row r="124" spans="1:16" x14ac:dyDescent="0.3">
      <c r="A124" s="12" t="s">
        <v>36</v>
      </c>
      <c r="B124" s="31">
        <v>40.26</v>
      </c>
      <c r="C124" s="24">
        <v>37.72</v>
      </c>
      <c r="D124" s="24">
        <v>23.16</v>
      </c>
      <c r="E124" s="24">
        <f t="shared" si="52"/>
        <v>28.69892247043364</v>
      </c>
      <c r="F124" s="36">
        <v>-0.25700000000000001</v>
      </c>
      <c r="G124" s="31">
        <v>86.89</v>
      </c>
      <c r="H124" s="24">
        <v>43.45</v>
      </c>
      <c r="I124" s="32">
        <v>50</v>
      </c>
      <c r="J124" s="24">
        <f t="shared" si="53"/>
        <v>46.495452113429643</v>
      </c>
      <c r="K124" s="36">
        <v>0</v>
      </c>
      <c r="L124" s="31">
        <v>86.89</v>
      </c>
      <c r="M124" s="24">
        <v>43.45</v>
      </c>
      <c r="N124" s="32">
        <v>50</v>
      </c>
      <c r="O124" s="24">
        <f t="shared" ref="O124:O125" si="54">2*((M124*N124)/(M124+N124))</f>
        <v>46.495452113429643</v>
      </c>
      <c r="P124" s="36">
        <v>0</v>
      </c>
    </row>
    <row r="125" spans="1:16" ht="15" thickBot="1" x14ac:dyDescent="0.35">
      <c r="A125" s="13" t="s">
        <v>37</v>
      </c>
      <c r="B125" s="33">
        <v>99.35</v>
      </c>
      <c r="C125" s="25">
        <v>49.68</v>
      </c>
      <c r="D125" s="25">
        <v>50</v>
      </c>
      <c r="E125" s="25">
        <f t="shared" si="52"/>
        <v>49.839486356340288</v>
      </c>
      <c r="F125" s="37">
        <v>0</v>
      </c>
      <c r="G125" s="33">
        <v>99.35</v>
      </c>
      <c r="H125" s="25">
        <v>49.68</v>
      </c>
      <c r="I125" s="25">
        <v>50</v>
      </c>
      <c r="J125" s="25">
        <f t="shared" si="53"/>
        <v>49.839486356340288</v>
      </c>
      <c r="K125" s="37">
        <v>0</v>
      </c>
      <c r="L125" s="33">
        <v>99.35</v>
      </c>
      <c r="M125" s="25">
        <v>49.68</v>
      </c>
      <c r="N125" s="25">
        <v>50</v>
      </c>
      <c r="O125" s="25">
        <f t="shared" si="54"/>
        <v>49.839486356340288</v>
      </c>
      <c r="P125" s="37">
        <v>0</v>
      </c>
    </row>
    <row r="127" spans="1:16" s="14" customFormat="1" x14ac:dyDescent="0.3"/>
    <row r="128" spans="1:16" x14ac:dyDescent="0.3">
      <c r="A128" t="s">
        <v>23</v>
      </c>
      <c r="B128" t="b">
        <v>0</v>
      </c>
      <c r="C128" t="b">
        <v>1</v>
      </c>
    </row>
    <row r="129" spans="1:16" x14ac:dyDescent="0.3">
      <c r="A129" t="s">
        <v>34</v>
      </c>
      <c r="B129">
        <f>0+4988</f>
        <v>4988</v>
      </c>
      <c r="C129">
        <f>0+865</f>
        <v>865</v>
      </c>
      <c r="D129">
        <f>B129+C129</f>
        <v>5853</v>
      </c>
      <c r="E129" s="16">
        <f>(B129/D129)</f>
        <v>0.85221254057748164</v>
      </c>
      <c r="F129" s="16">
        <f>C129/D129</f>
        <v>0.14778745942251836</v>
      </c>
    </row>
    <row r="130" spans="1:16" x14ac:dyDescent="0.3">
      <c r="A130" t="s">
        <v>35</v>
      </c>
      <c r="B130">
        <f>2474+0</f>
        <v>2474</v>
      </c>
      <c r="C130">
        <f>3379</f>
        <v>3379</v>
      </c>
      <c r="D130">
        <f t="shared" ref="D130:D132" si="55">B130+C130</f>
        <v>5853</v>
      </c>
      <c r="E130" s="16">
        <f t="shared" ref="E130:E132" si="56">(B130/D130)</f>
        <v>0.42268921920382707</v>
      </c>
      <c r="F130" s="16">
        <f t="shared" ref="F130:F132" si="57">C130/D130</f>
        <v>0.57731078079617293</v>
      </c>
    </row>
    <row r="131" spans="1:16" x14ac:dyDescent="0.3">
      <c r="A131" t="s">
        <v>36</v>
      </c>
      <c r="B131">
        <f>2278+1142</f>
        <v>3420</v>
      </c>
      <c r="C131">
        <f>1025+1408</f>
        <v>2433</v>
      </c>
      <c r="D131">
        <f t="shared" si="55"/>
        <v>5853</v>
      </c>
      <c r="E131" s="16">
        <f t="shared" si="56"/>
        <v>0.58431573552024607</v>
      </c>
      <c r="F131" s="16">
        <f t="shared" si="57"/>
        <v>0.41568426447975398</v>
      </c>
    </row>
    <row r="132" spans="1:16" x14ac:dyDescent="0.3">
      <c r="A132" t="s">
        <v>37</v>
      </c>
      <c r="B132">
        <f>2684+3104</f>
        <v>5788</v>
      </c>
      <c r="C132">
        <f>65+0</f>
        <v>65</v>
      </c>
      <c r="D132">
        <f t="shared" si="55"/>
        <v>5853</v>
      </c>
      <c r="E132" s="16">
        <f t="shared" si="56"/>
        <v>0.98889458397403041</v>
      </c>
      <c r="F132" s="16">
        <f t="shared" si="57"/>
        <v>1.1105416025969587E-2</v>
      </c>
    </row>
    <row r="133" spans="1:16" ht="15" thickBot="1" x14ac:dyDescent="0.35"/>
    <row r="134" spans="1:16" ht="15" thickBot="1" x14ac:dyDescent="0.35">
      <c r="A134" s="61"/>
      <c r="B134" s="63" t="s">
        <v>12</v>
      </c>
      <c r="C134" s="64"/>
      <c r="D134" s="64"/>
      <c r="E134" s="64"/>
      <c r="F134" s="65"/>
      <c r="G134" s="63" t="s">
        <v>11</v>
      </c>
      <c r="H134" s="64"/>
      <c r="I134" s="64"/>
      <c r="J134" s="64"/>
      <c r="K134" s="65"/>
      <c r="L134" s="63" t="s">
        <v>13</v>
      </c>
      <c r="M134" s="64"/>
      <c r="N134" s="64"/>
      <c r="O134" s="64"/>
      <c r="P134" s="65"/>
    </row>
    <row r="135" spans="1:16" ht="15" thickBot="1" x14ac:dyDescent="0.35">
      <c r="A135" s="62"/>
      <c r="B135" s="9" t="s">
        <v>6</v>
      </c>
      <c r="C135" s="10" t="s">
        <v>7</v>
      </c>
      <c r="D135" s="7" t="s">
        <v>8</v>
      </c>
      <c r="E135" s="7" t="s">
        <v>9</v>
      </c>
      <c r="F135" s="8" t="s">
        <v>10</v>
      </c>
      <c r="G135" s="9" t="s">
        <v>6</v>
      </c>
      <c r="H135" s="10" t="s">
        <v>7</v>
      </c>
      <c r="I135" s="7" t="s">
        <v>8</v>
      </c>
      <c r="J135" s="7" t="s">
        <v>9</v>
      </c>
      <c r="K135" s="8" t="s">
        <v>10</v>
      </c>
      <c r="L135" s="9" t="s">
        <v>6</v>
      </c>
      <c r="M135" s="10" t="s">
        <v>7</v>
      </c>
      <c r="N135" s="7" t="s">
        <v>8</v>
      </c>
      <c r="O135" s="7" t="s">
        <v>9</v>
      </c>
      <c r="P135" s="8" t="s">
        <v>10</v>
      </c>
    </row>
    <row r="136" spans="1:16" x14ac:dyDescent="0.3">
      <c r="A136" s="11" t="s">
        <v>34</v>
      </c>
      <c r="B136" s="29">
        <v>14.78</v>
      </c>
      <c r="C136" s="30">
        <v>7.39</v>
      </c>
      <c r="D136" s="24">
        <v>50</v>
      </c>
      <c r="E136" s="24">
        <f>2*((C136*D136)/(C136+D136))</f>
        <v>12.87680780623802</v>
      </c>
      <c r="F136" s="36">
        <v>0</v>
      </c>
      <c r="G136" s="31">
        <v>85.22</v>
      </c>
      <c r="H136" s="24">
        <v>42.61</v>
      </c>
      <c r="I136" s="24">
        <v>50</v>
      </c>
      <c r="J136" s="24">
        <f>2*((H136*I136)/(H136+I136))</f>
        <v>46.010150091782748</v>
      </c>
      <c r="K136" s="36">
        <v>0</v>
      </c>
      <c r="L136" s="29">
        <v>14.78</v>
      </c>
      <c r="M136" s="30">
        <v>7.39</v>
      </c>
      <c r="N136" s="24">
        <v>50</v>
      </c>
      <c r="O136" s="24">
        <f>2*((M136*N136)/(M136+N136))</f>
        <v>12.87680780623802</v>
      </c>
      <c r="P136" s="36">
        <v>0</v>
      </c>
    </row>
    <row r="137" spans="1:16" x14ac:dyDescent="0.3">
      <c r="A137" s="12" t="s">
        <v>35</v>
      </c>
      <c r="B137" s="31">
        <v>42.27</v>
      </c>
      <c r="C137" s="24">
        <v>21.13</v>
      </c>
      <c r="D137" s="24">
        <v>50</v>
      </c>
      <c r="E137" s="24">
        <f t="shared" ref="E137:E139" si="58">2*((C137*D137)/(C137+D137))</f>
        <v>29.706171798116127</v>
      </c>
      <c r="F137" s="36">
        <v>0</v>
      </c>
      <c r="G137" s="31">
        <v>57.73</v>
      </c>
      <c r="H137" s="24">
        <v>28.87</v>
      </c>
      <c r="I137" s="24">
        <v>50</v>
      </c>
      <c r="J137" s="24">
        <f t="shared" ref="J137:J139" si="59">2*((H137*I137)/(H137+I137))</f>
        <v>36.604539114999362</v>
      </c>
      <c r="K137" s="36">
        <v>0</v>
      </c>
      <c r="L137" s="31">
        <v>42.27</v>
      </c>
      <c r="M137" s="24">
        <v>21.13</v>
      </c>
      <c r="N137" s="32">
        <v>50</v>
      </c>
      <c r="O137" s="24">
        <f t="shared" ref="O137:O139" si="60">2*((M137*N137)/(M137+N137))</f>
        <v>29.706171798116127</v>
      </c>
      <c r="P137" s="36">
        <v>0</v>
      </c>
    </row>
    <row r="138" spans="1:16" x14ac:dyDescent="0.3">
      <c r="A138" s="12" t="s">
        <v>36</v>
      </c>
      <c r="B138" s="31">
        <v>62.98</v>
      </c>
      <c r="C138" s="24">
        <v>62.09</v>
      </c>
      <c r="D138" s="24">
        <v>62.24</v>
      </c>
      <c r="E138" s="24">
        <f t="shared" si="58"/>
        <v>62.164909515000403</v>
      </c>
      <c r="F138" s="36">
        <v>0.24299999999999999</v>
      </c>
      <c r="G138" s="31">
        <v>36.340000000000003</v>
      </c>
      <c r="H138" s="24">
        <v>36.909999999999997</v>
      </c>
      <c r="I138" s="24">
        <v>36.61</v>
      </c>
      <c r="J138" s="24">
        <f t="shared" si="59"/>
        <v>36.759387921653968</v>
      </c>
      <c r="K138" s="36">
        <v>-0.25700000000000001</v>
      </c>
      <c r="L138" s="31">
        <v>63.66</v>
      </c>
      <c r="M138" s="24">
        <v>63.09</v>
      </c>
      <c r="N138" s="32">
        <v>63.39</v>
      </c>
      <c r="O138" s="24">
        <f t="shared" si="60"/>
        <v>63.239644212523721</v>
      </c>
      <c r="P138" s="36">
        <v>0.26400000000000001</v>
      </c>
    </row>
    <row r="139" spans="1:16" ht="15" thickBot="1" x14ac:dyDescent="0.35">
      <c r="A139" s="13" t="s">
        <v>37</v>
      </c>
      <c r="B139" s="33">
        <v>45.86</v>
      </c>
      <c r="C139" s="25">
        <v>48.82</v>
      </c>
      <c r="D139" s="25">
        <v>23.19</v>
      </c>
      <c r="E139" s="25">
        <f t="shared" si="58"/>
        <v>31.443849465352034</v>
      </c>
      <c r="F139" s="37">
        <v>-2.1999999999999999E-2</v>
      </c>
      <c r="G139" s="33">
        <v>98.89</v>
      </c>
      <c r="H139" s="25">
        <v>49.44</v>
      </c>
      <c r="I139" s="25">
        <v>50</v>
      </c>
      <c r="J139" s="25">
        <f t="shared" si="59"/>
        <v>49.718423169750608</v>
      </c>
      <c r="K139" s="37">
        <v>0</v>
      </c>
      <c r="L139" s="33">
        <v>98.89</v>
      </c>
      <c r="M139" s="25">
        <v>49.44</v>
      </c>
      <c r="N139" s="25">
        <v>50</v>
      </c>
      <c r="O139" s="25">
        <f t="shared" si="60"/>
        <v>49.718423169750608</v>
      </c>
      <c r="P139" s="37">
        <v>0</v>
      </c>
    </row>
    <row r="141" spans="1:16" s="17" customFormat="1" x14ac:dyDescent="0.3"/>
    <row r="142" spans="1:16" x14ac:dyDescent="0.3">
      <c r="A142" t="s">
        <v>24</v>
      </c>
      <c r="B142" t="b">
        <v>0</v>
      </c>
      <c r="C142" t="b">
        <v>1</v>
      </c>
      <c r="G142" t="s">
        <v>27</v>
      </c>
    </row>
    <row r="143" spans="1:16" x14ac:dyDescent="0.3">
      <c r="A143" t="s">
        <v>34</v>
      </c>
      <c r="B143">
        <f>37559+116</f>
        <v>37675</v>
      </c>
      <c r="C143">
        <f>7274+14</f>
        <v>7288</v>
      </c>
      <c r="D143">
        <f>B143+C143</f>
        <v>44963</v>
      </c>
      <c r="E143" s="16">
        <f>(B143/D143)</f>
        <v>0.83791117140760185</v>
      </c>
      <c r="F143" s="16">
        <f>C143/D143</f>
        <v>0.1620888285923982</v>
      </c>
      <c r="G143">
        <f>B3+B17</f>
        <v>37675</v>
      </c>
      <c r="H143">
        <f>C3+C17</f>
        <v>7288</v>
      </c>
    </row>
    <row r="144" spans="1:16" x14ac:dyDescent="0.3">
      <c r="A144" t="s">
        <v>35</v>
      </c>
      <c r="B144">
        <f>23374+4337</f>
        <v>27711</v>
      </c>
      <c r="C144">
        <f>14593+2659</f>
        <v>17252</v>
      </c>
      <c r="D144">
        <f t="shared" ref="D144:D146" si="61">B144+C144</f>
        <v>44963</v>
      </c>
      <c r="E144" s="16">
        <f t="shared" ref="E144:E146" si="62">(B144/D144)</f>
        <v>0.61630674109823635</v>
      </c>
      <c r="F144" s="16">
        <f t="shared" ref="F144:F146" si="63">C144/D144</f>
        <v>0.38369325890176365</v>
      </c>
      <c r="G144">
        <f t="shared" ref="G144:H146" si="64">B4+B18</f>
        <v>27711</v>
      </c>
      <c r="H144">
        <f t="shared" si="64"/>
        <v>17252</v>
      </c>
    </row>
    <row r="145" spans="1:16" x14ac:dyDescent="0.3">
      <c r="A145" t="s">
        <v>36</v>
      </c>
      <c r="B145">
        <f>20385+571</f>
        <v>20956</v>
      </c>
      <c r="C145">
        <f>20620+3387</f>
        <v>24007</v>
      </c>
      <c r="D145">
        <f>B145+C145</f>
        <v>44963</v>
      </c>
      <c r="E145" s="16">
        <f t="shared" si="62"/>
        <v>0.46607210372973334</v>
      </c>
      <c r="F145" s="16">
        <f t="shared" si="63"/>
        <v>0.53392789627026671</v>
      </c>
      <c r="G145">
        <f t="shared" si="64"/>
        <v>20956</v>
      </c>
      <c r="H145">
        <f t="shared" si="64"/>
        <v>24007</v>
      </c>
    </row>
    <row r="146" spans="1:16" x14ac:dyDescent="0.3">
      <c r="A146" t="s">
        <v>37</v>
      </c>
      <c r="B146">
        <v>44008</v>
      </c>
      <c r="C146">
        <v>955</v>
      </c>
      <c r="D146">
        <f t="shared" si="61"/>
        <v>44963</v>
      </c>
      <c r="E146" s="16">
        <f t="shared" si="62"/>
        <v>0.97876031403598518</v>
      </c>
      <c r="F146" s="16">
        <f t="shared" si="63"/>
        <v>2.1239685964014855E-2</v>
      </c>
      <c r="G146">
        <f t="shared" si="64"/>
        <v>44008</v>
      </c>
      <c r="H146">
        <f t="shared" si="64"/>
        <v>955</v>
      </c>
    </row>
    <row r="147" spans="1:16" ht="15" thickBot="1" x14ac:dyDescent="0.35"/>
    <row r="148" spans="1:16" ht="15" thickBot="1" x14ac:dyDescent="0.35">
      <c r="A148" s="61"/>
      <c r="B148" s="63" t="s">
        <v>12</v>
      </c>
      <c r="C148" s="64"/>
      <c r="D148" s="64"/>
      <c r="E148" s="64"/>
      <c r="F148" s="65"/>
      <c r="G148" s="63" t="s">
        <v>11</v>
      </c>
      <c r="H148" s="64"/>
      <c r="I148" s="64"/>
      <c r="J148" s="64"/>
      <c r="K148" s="65"/>
      <c r="L148" s="63" t="s">
        <v>13</v>
      </c>
      <c r="M148" s="64"/>
      <c r="N148" s="64"/>
      <c r="O148" s="64"/>
      <c r="P148" s="65"/>
    </row>
    <row r="149" spans="1:16" ht="15" thickBot="1" x14ac:dyDescent="0.35">
      <c r="A149" s="62"/>
      <c r="B149" s="9" t="s">
        <v>6</v>
      </c>
      <c r="C149" s="10" t="s">
        <v>7</v>
      </c>
      <c r="D149" s="7" t="s">
        <v>8</v>
      </c>
      <c r="E149" s="7" t="s">
        <v>9</v>
      </c>
      <c r="F149" s="8" t="s">
        <v>10</v>
      </c>
      <c r="G149" s="9" t="s">
        <v>6</v>
      </c>
      <c r="H149" s="10" t="s">
        <v>7</v>
      </c>
      <c r="I149" s="7" t="s">
        <v>8</v>
      </c>
      <c r="J149" s="7" t="s">
        <v>9</v>
      </c>
      <c r="K149" s="8" t="s">
        <v>10</v>
      </c>
      <c r="L149" s="9" t="s">
        <v>6</v>
      </c>
      <c r="M149" s="10" t="s">
        <v>7</v>
      </c>
      <c r="N149" s="7" t="s">
        <v>8</v>
      </c>
      <c r="O149" s="7" t="s">
        <v>9</v>
      </c>
      <c r="P149" s="8" t="s">
        <v>10</v>
      </c>
    </row>
    <row r="150" spans="1:16" x14ac:dyDescent="0.3">
      <c r="A150" s="11" t="s">
        <v>34</v>
      </c>
      <c r="B150" s="29">
        <v>83.56</v>
      </c>
      <c r="C150" s="30">
        <v>47.27</v>
      </c>
      <c r="D150" s="24">
        <v>49.94</v>
      </c>
      <c r="E150" s="24">
        <f>2*((C150*D150)/(C150+D150))</f>
        <v>48.568332476082709</v>
      </c>
      <c r="F150" s="36">
        <v>-2E-3</v>
      </c>
      <c r="G150" s="31">
        <v>83.79</v>
      </c>
      <c r="H150" s="24">
        <v>41.9</v>
      </c>
      <c r="I150" s="32">
        <v>50</v>
      </c>
      <c r="J150" s="24">
        <f>2*((H150*I150)/(H150+I150))</f>
        <v>45.593035908596299</v>
      </c>
      <c r="K150" s="36">
        <v>0</v>
      </c>
      <c r="L150" s="31">
        <v>54.99</v>
      </c>
      <c r="M150" s="24">
        <v>56.19</v>
      </c>
      <c r="N150" s="32">
        <v>56.17</v>
      </c>
      <c r="O150" s="24">
        <f>2*((M150*N150)/(M150+N150))</f>
        <v>56.179998220007121</v>
      </c>
      <c r="P150" s="36">
        <v>0.11799999999999999</v>
      </c>
    </row>
    <row r="151" spans="1:16" x14ac:dyDescent="0.3">
      <c r="A151" s="12" t="s">
        <v>35</v>
      </c>
      <c r="B151" s="31">
        <v>57.9</v>
      </c>
      <c r="C151" s="24">
        <v>49.79</v>
      </c>
      <c r="D151" s="24">
        <v>49.88</v>
      </c>
      <c r="E151" s="24">
        <f t="shared" ref="E151:E153" si="65">2*((C151*D151)/(C151+D151))</f>
        <v>49.834959365907494</v>
      </c>
      <c r="F151" s="36">
        <v>-3.0000000000000001E-3</v>
      </c>
      <c r="G151" s="31">
        <v>58.1</v>
      </c>
      <c r="H151" s="24">
        <v>49.92</v>
      </c>
      <c r="I151" s="24">
        <v>49.96</v>
      </c>
      <c r="J151" s="24">
        <f t="shared" ref="J151:J153" si="66">2*((H151*I151)/(H151+I151))</f>
        <v>49.939991990388471</v>
      </c>
      <c r="K151" s="36">
        <v>-1E-3</v>
      </c>
      <c r="L151" s="31">
        <v>52.84</v>
      </c>
      <c r="M151" s="24">
        <v>46.14</v>
      </c>
      <c r="N151" s="24">
        <v>47.45</v>
      </c>
      <c r="O151" s="24">
        <f t="shared" ref="O151:O153" si="67">2*((M151*N151)/(M151+N151))</f>
        <v>46.785831819638858</v>
      </c>
      <c r="P151" s="36">
        <v>-5.5E-2</v>
      </c>
    </row>
    <row r="152" spans="1:16" x14ac:dyDescent="0.3">
      <c r="A152" s="12" t="s">
        <v>36</v>
      </c>
      <c r="B152" s="31">
        <v>47.13</v>
      </c>
      <c r="C152" s="24">
        <v>32.36</v>
      </c>
      <c r="D152" s="24">
        <v>44.31</v>
      </c>
      <c r="E152" s="24">
        <f t="shared" si="65"/>
        <v>37.403719838267897</v>
      </c>
      <c r="F152" s="36">
        <v>-0.12</v>
      </c>
      <c r="G152" s="31">
        <v>39.17</v>
      </c>
      <c r="H152" s="24">
        <v>36.479999999999997</v>
      </c>
      <c r="I152" s="24">
        <v>37.97</v>
      </c>
      <c r="J152" s="24">
        <f t="shared" si="66"/>
        <v>37.210089993284086</v>
      </c>
      <c r="K152" s="36">
        <v>-0.245</v>
      </c>
      <c r="L152" s="31">
        <v>53.95</v>
      </c>
      <c r="M152" s="24">
        <v>53.13</v>
      </c>
      <c r="N152" s="32">
        <v>53.01</v>
      </c>
      <c r="O152" s="24">
        <f t="shared" si="67"/>
        <v>53.069932165065005</v>
      </c>
      <c r="P152" s="36">
        <v>6.0999999999999999E-2</v>
      </c>
    </row>
    <row r="153" spans="1:16" ht="15" thickBot="1" x14ac:dyDescent="0.35">
      <c r="A153" s="13" t="s">
        <v>37</v>
      </c>
      <c r="B153" s="33">
        <v>97.87</v>
      </c>
      <c r="C153" s="25">
        <v>48.94</v>
      </c>
      <c r="D153" s="25">
        <v>50</v>
      </c>
      <c r="E153" s="25">
        <f t="shared" si="65"/>
        <v>49.464321811198708</v>
      </c>
      <c r="F153" s="37">
        <v>0</v>
      </c>
      <c r="G153" s="33">
        <v>97.87</v>
      </c>
      <c r="H153" s="25">
        <v>48.94</v>
      </c>
      <c r="I153" s="25">
        <v>50</v>
      </c>
      <c r="J153" s="25">
        <f t="shared" si="66"/>
        <v>49.464321811198708</v>
      </c>
      <c r="K153" s="37">
        <v>0</v>
      </c>
      <c r="L153" s="33">
        <v>69.489999999999995</v>
      </c>
      <c r="M153" s="25">
        <v>57.15</v>
      </c>
      <c r="N153" s="25">
        <v>55.51</v>
      </c>
      <c r="O153" s="25">
        <f t="shared" si="67"/>
        <v>56.318063199005856</v>
      </c>
      <c r="P153" s="37">
        <v>0.122</v>
      </c>
    </row>
    <row r="154" spans="1:16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6" spans="1:16" s="17" customFormat="1" x14ac:dyDescent="0.3"/>
    <row r="157" spans="1:16" x14ac:dyDescent="0.3">
      <c r="A157" t="s">
        <v>25</v>
      </c>
      <c r="B157" t="b">
        <v>0</v>
      </c>
      <c r="C157" t="b">
        <v>1</v>
      </c>
      <c r="G157" t="s">
        <v>27</v>
      </c>
    </row>
    <row r="158" spans="1:16" x14ac:dyDescent="0.3">
      <c r="A158" t="s">
        <v>34</v>
      </c>
      <c r="B158">
        <f>26597+2102</f>
        <v>28699</v>
      </c>
      <c r="C158">
        <f>4444+390</f>
        <v>4834</v>
      </c>
      <c r="D158">
        <f>B158+C158</f>
        <v>33533</v>
      </c>
      <c r="E158" s="16">
        <f>(B158/D158)</f>
        <v>0.85584349745027288</v>
      </c>
      <c r="F158" s="16">
        <f>C158/D158</f>
        <v>0.14415650254972714</v>
      </c>
      <c r="G158">
        <f>B31+B45+B59+B73</f>
        <v>28699</v>
      </c>
      <c r="H158">
        <f>C31+C45+C59+C73</f>
        <v>4834</v>
      </c>
    </row>
    <row r="159" spans="1:16" x14ac:dyDescent="0.3">
      <c r="A159" t="s">
        <v>35</v>
      </c>
      <c r="B159">
        <f>17548+333</f>
        <v>17881</v>
      </c>
      <c r="C159">
        <f>13367+2285</f>
        <v>15652</v>
      </c>
      <c r="D159">
        <f t="shared" ref="D159:D161" si="68">B159+C159</f>
        <v>33533</v>
      </c>
      <c r="E159" s="16">
        <f t="shared" ref="E159:E161" si="69">(B159/D159)</f>
        <v>0.53323591685802041</v>
      </c>
      <c r="F159" s="16">
        <f t="shared" ref="F159:F161" si="70">C159/D159</f>
        <v>0.46676408314197954</v>
      </c>
      <c r="G159">
        <f t="shared" ref="G159:H161" si="71">B32+B46+B60+B74</f>
        <v>17881</v>
      </c>
      <c r="H159">
        <f t="shared" si="71"/>
        <v>15652</v>
      </c>
    </row>
    <row r="160" spans="1:16" x14ac:dyDescent="0.3">
      <c r="A160" t="s">
        <v>36</v>
      </c>
      <c r="B160">
        <f>10451+6813</f>
        <v>17264</v>
      </c>
      <c r="C160">
        <f>10014+6255</f>
        <v>16269</v>
      </c>
      <c r="D160">
        <f t="shared" si="68"/>
        <v>33533</v>
      </c>
      <c r="E160" s="16">
        <f t="shared" si="69"/>
        <v>0.51483613157188446</v>
      </c>
      <c r="F160" s="16">
        <f t="shared" si="70"/>
        <v>0.4851638684281156</v>
      </c>
      <c r="G160">
        <f t="shared" si="71"/>
        <v>17264</v>
      </c>
      <c r="H160">
        <f t="shared" si="71"/>
        <v>16269</v>
      </c>
    </row>
    <row r="161" spans="1:16" x14ac:dyDescent="0.3">
      <c r="A161" t="s">
        <v>37</v>
      </c>
      <c r="B161">
        <v>31775</v>
      </c>
      <c r="C161">
        <v>1758</v>
      </c>
      <c r="D161">
        <f t="shared" si="68"/>
        <v>33533</v>
      </c>
      <c r="E161" s="16">
        <f t="shared" si="69"/>
        <v>0.9475740315510095</v>
      </c>
      <c r="F161" s="16">
        <f t="shared" si="70"/>
        <v>5.2425968448990549E-2</v>
      </c>
      <c r="G161">
        <f t="shared" si="71"/>
        <v>31775</v>
      </c>
      <c r="H161">
        <f t="shared" si="71"/>
        <v>1758</v>
      </c>
    </row>
    <row r="162" spans="1:16" ht="15" thickBot="1" x14ac:dyDescent="0.35">
      <c r="E162" s="16"/>
      <c r="F162" s="16"/>
    </row>
    <row r="163" spans="1:16" ht="15" thickBot="1" x14ac:dyDescent="0.35">
      <c r="A163" s="61"/>
      <c r="B163" s="63" t="s">
        <v>12</v>
      </c>
      <c r="C163" s="64"/>
      <c r="D163" s="64"/>
      <c r="E163" s="64"/>
      <c r="F163" s="65"/>
      <c r="G163" s="63" t="s">
        <v>11</v>
      </c>
      <c r="H163" s="64"/>
      <c r="I163" s="64"/>
      <c r="J163" s="64"/>
      <c r="K163" s="65"/>
      <c r="L163" s="63" t="s">
        <v>13</v>
      </c>
      <c r="M163" s="64"/>
      <c r="N163" s="64"/>
      <c r="O163" s="64"/>
      <c r="P163" s="65"/>
    </row>
    <row r="164" spans="1:16" ht="15" thickBot="1" x14ac:dyDescent="0.35">
      <c r="A164" s="62"/>
      <c r="B164" s="9" t="s">
        <v>6</v>
      </c>
      <c r="C164" s="10" t="s">
        <v>7</v>
      </c>
      <c r="D164" s="7" t="s">
        <v>8</v>
      </c>
      <c r="E164" s="7" t="s">
        <v>9</v>
      </c>
      <c r="F164" s="8" t="s">
        <v>10</v>
      </c>
      <c r="G164" s="9" t="s">
        <v>6</v>
      </c>
      <c r="H164" s="10" t="s">
        <v>7</v>
      </c>
      <c r="I164" s="7" t="s">
        <v>8</v>
      </c>
      <c r="J164" s="7" t="s">
        <v>9</v>
      </c>
      <c r="K164" s="8" t="s">
        <v>10</v>
      </c>
      <c r="L164" s="9" t="s">
        <v>6</v>
      </c>
      <c r="M164" s="10" t="s">
        <v>7</v>
      </c>
      <c r="N164" s="7" t="s">
        <v>8</v>
      </c>
      <c r="O164" s="7" t="s">
        <v>9</v>
      </c>
      <c r="P164" s="8" t="s">
        <v>10</v>
      </c>
    </row>
    <row r="165" spans="1:16" x14ac:dyDescent="0.3">
      <c r="A165" s="11" t="s">
        <v>34</v>
      </c>
      <c r="B165" s="29">
        <v>80.48</v>
      </c>
      <c r="C165" s="30">
        <v>50.67</v>
      </c>
      <c r="D165" s="24">
        <v>50.37</v>
      </c>
      <c r="E165" s="24">
        <f>2*((C165*D165)/(C165+D165))</f>
        <v>50.519554631828981</v>
      </c>
      <c r="F165" s="36">
        <v>8.9999999999999993E-3</v>
      </c>
      <c r="G165" s="31">
        <v>85.58</v>
      </c>
      <c r="H165" s="24">
        <v>42.79</v>
      </c>
      <c r="I165" s="32">
        <v>50</v>
      </c>
      <c r="J165" s="24">
        <f>2*((H165*I165)/(H165+I165))</f>
        <v>46.114883069296262</v>
      </c>
      <c r="K165" s="36">
        <v>0</v>
      </c>
      <c r="L165" s="31">
        <v>76.66</v>
      </c>
      <c r="M165" s="24">
        <v>49.32</v>
      </c>
      <c r="N165" s="32">
        <v>49.41</v>
      </c>
      <c r="O165" s="24">
        <f>2*((M165*N165)/(M165+N165))</f>
        <v>49.36495897903373</v>
      </c>
      <c r="P165" s="36">
        <v>-1.2999999999999999E-2</v>
      </c>
    </row>
    <row r="166" spans="1:16" x14ac:dyDescent="0.3">
      <c r="A166" s="12" t="s">
        <v>35</v>
      </c>
      <c r="B166" s="31">
        <v>59.14</v>
      </c>
      <c r="C166" s="24">
        <v>72.02</v>
      </c>
      <c r="D166" s="24">
        <v>56.37</v>
      </c>
      <c r="E166" s="24">
        <f t="shared" ref="E166:E168" si="72">2*((C166*D166)/(C166+D166))</f>
        <v>63.241177661811669</v>
      </c>
      <c r="F166" s="36">
        <v>0.13400000000000001</v>
      </c>
      <c r="G166" s="31">
        <v>63.29</v>
      </c>
      <c r="H166" s="24">
        <v>63.13</v>
      </c>
      <c r="I166" s="24">
        <v>62.72</v>
      </c>
      <c r="J166" s="24">
        <f t="shared" ref="J166:J168" si="73">2*((H166*I166)/(H166+I166))</f>
        <v>62.924332141438228</v>
      </c>
      <c r="K166" s="36">
        <v>0.25600000000000001</v>
      </c>
      <c r="L166" s="31">
        <v>57.13</v>
      </c>
      <c r="M166" s="24">
        <v>56.77</v>
      </c>
      <c r="N166" s="24">
        <v>56.04</v>
      </c>
      <c r="O166" s="24">
        <f t="shared" ref="O166:O168" si="74">2*((M166*N166)/(M166+N166))</f>
        <v>56.402638064001422</v>
      </c>
      <c r="P166" s="36">
        <v>0.123</v>
      </c>
    </row>
    <row r="167" spans="1:16" x14ac:dyDescent="0.3">
      <c r="A167" s="12" t="s">
        <v>36</v>
      </c>
      <c r="B167" s="31">
        <v>38.97</v>
      </c>
      <c r="C167" s="24">
        <v>38.97</v>
      </c>
      <c r="D167" s="24">
        <v>38.96</v>
      </c>
      <c r="E167" s="24">
        <f t="shared" si="72"/>
        <v>38.964999358398558</v>
      </c>
      <c r="F167" s="36">
        <v>-0.221</v>
      </c>
      <c r="G167" s="31">
        <v>43.37</v>
      </c>
      <c r="H167" s="24">
        <v>42.36</v>
      </c>
      <c r="I167" s="24">
        <v>42.95</v>
      </c>
      <c r="J167" s="24">
        <f t="shared" si="73"/>
        <v>42.65295979369359</v>
      </c>
      <c r="K167" s="36">
        <v>-0.14199999999999999</v>
      </c>
      <c r="L167" s="31">
        <v>45.67</v>
      </c>
      <c r="M167" s="24">
        <v>45.43</v>
      </c>
      <c r="N167" s="32">
        <v>45.49</v>
      </c>
      <c r="O167" s="24">
        <f t="shared" si="74"/>
        <v>45.459980202375718</v>
      </c>
      <c r="P167" s="36">
        <v>-9.0999999999999998E-2</v>
      </c>
    </row>
    <row r="168" spans="1:16" ht="15" thickBot="1" x14ac:dyDescent="0.35">
      <c r="A168" s="13" t="s">
        <v>37</v>
      </c>
      <c r="B168" s="33">
        <v>94.76</v>
      </c>
      <c r="C168" s="25">
        <v>47.38</v>
      </c>
      <c r="D168" s="25">
        <v>50</v>
      </c>
      <c r="E168" s="25">
        <f t="shared" si="72"/>
        <v>48.654754569726848</v>
      </c>
      <c r="F168" s="37">
        <v>0</v>
      </c>
      <c r="G168" s="33">
        <v>94.76</v>
      </c>
      <c r="H168" s="25">
        <v>47.38</v>
      </c>
      <c r="I168" s="25">
        <v>50</v>
      </c>
      <c r="J168" s="25">
        <f t="shared" si="73"/>
        <v>48.654754569726848</v>
      </c>
      <c r="K168" s="37">
        <v>0</v>
      </c>
      <c r="L168" s="33">
        <v>94.72</v>
      </c>
      <c r="M168" s="25">
        <v>47.38</v>
      </c>
      <c r="N168" s="25">
        <v>49.98</v>
      </c>
      <c r="O168" s="25">
        <f t="shared" si="74"/>
        <v>48.645283483976996</v>
      </c>
      <c r="P168" s="37">
        <v>-1E-3</v>
      </c>
    </row>
    <row r="170" spans="1:16" s="17" customFormat="1" x14ac:dyDescent="0.3"/>
    <row r="171" spans="1:16" x14ac:dyDescent="0.3">
      <c r="A171" t="s">
        <v>26</v>
      </c>
      <c r="B171" t="b">
        <v>0</v>
      </c>
      <c r="C171" t="b">
        <v>1</v>
      </c>
      <c r="G171" t="s">
        <v>27</v>
      </c>
    </row>
    <row r="172" spans="1:16" x14ac:dyDescent="0.3">
      <c r="A172" t="s">
        <v>34</v>
      </c>
      <c r="B172">
        <v>16365</v>
      </c>
      <c r="C172">
        <v>2511</v>
      </c>
      <c r="D172">
        <f>B172+C172</f>
        <v>18876</v>
      </c>
      <c r="E172" s="16">
        <f>(B172/D172)</f>
        <v>0.86697393515575338</v>
      </c>
      <c r="F172" s="16">
        <f>C172/D172</f>
        <v>0.13302606484424667</v>
      </c>
      <c r="G172">
        <f>B87+B101+B115+B129</f>
        <v>16365</v>
      </c>
      <c r="H172">
        <f>C87+C101+C115+C129</f>
        <v>2511</v>
      </c>
    </row>
    <row r="173" spans="1:16" x14ac:dyDescent="0.3">
      <c r="A173" t="s">
        <v>35</v>
      </c>
      <c r="B173">
        <v>6931</v>
      </c>
      <c r="C173">
        <v>11945</v>
      </c>
      <c r="D173">
        <f t="shared" ref="D173:D175" si="75">B173+C173</f>
        <v>18876</v>
      </c>
      <c r="E173" s="16">
        <f t="shared" ref="E173:E175" si="76">(B173/D173)</f>
        <v>0.36718584445857172</v>
      </c>
      <c r="F173" s="16">
        <f t="shared" ref="F173:F175" si="77">C173/D173</f>
        <v>0.63281415554142828</v>
      </c>
      <c r="G173">
        <f t="shared" ref="G173:H175" si="78">B88+B102+B116+B130</f>
        <v>6931</v>
      </c>
      <c r="H173">
        <f t="shared" si="78"/>
        <v>11945</v>
      </c>
    </row>
    <row r="174" spans="1:16" x14ac:dyDescent="0.3">
      <c r="A174" t="s">
        <v>36</v>
      </c>
      <c r="B174">
        <f>8358+3688</f>
        <v>12046</v>
      </c>
      <c r="C174">
        <f>4500+2330</f>
        <v>6830</v>
      </c>
      <c r="D174">
        <f t="shared" si="75"/>
        <v>18876</v>
      </c>
      <c r="E174" s="16">
        <f t="shared" si="76"/>
        <v>0.63816486543759277</v>
      </c>
      <c r="F174" s="16">
        <f t="shared" si="77"/>
        <v>0.36183513456240729</v>
      </c>
      <c r="G174">
        <f t="shared" si="78"/>
        <v>12046</v>
      </c>
      <c r="H174">
        <f t="shared" si="78"/>
        <v>6830</v>
      </c>
    </row>
    <row r="175" spans="1:16" x14ac:dyDescent="0.3">
      <c r="A175" t="s">
        <v>37</v>
      </c>
      <c r="B175">
        <v>18671</v>
      </c>
      <c r="C175">
        <v>205</v>
      </c>
      <c r="D175">
        <f t="shared" si="75"/>
        <v>18876</v>
      </c>
      <c r="E175" s="16">
        <f t="shared" si="76"/>
        <v>0.98913964823055733</v>
      </c>
      <c r="F175" s="16">
        <f t="shared" si="77"/>
        <v>1.0860351769442679E-2</v>
      </c>
      <c r="G175">
        <f t="shared" si="78"/>
        <v>18671</v>
      </c>
      <c r="H175">
        <f t="shared" si="78"/>
        <v>205</v>
      </c>
    </row>
    <row r="176" spans="1:16" ht="15" thickBot="1" x14ac:dyDescent="0.35"/>
    <row r="177" spans="1:20" ht="15" thickBot="1" x14ac:dyDescent="0.35">
      <c r="A177" s="61"/>
      <c r="B177" s="63" t="s">
        <v>12</v>
      </c>
      <c r="C177" s="64"/>
      <c r="D177" s="64"/>
      <c r="E177" s="64"/>
      <c r="F177" s="65"/>
      <c r="G177" s="63" t="s">
        <v>11</v>
      </c>
      <c r="H177" s="64"/>
      <c r="I177" s="64"/>
      <c r="J177" s="64"/>
      <c r="K177" s="65"/>
      <c r="L177" s="63" t="s">
        <v>13</v>
      </c>
      <c r="M177" s="64"/>
      <c r="N177" s="64"/>
      <c r="O177" s="64"/>
      <c r="P177" s="65"/>
    </row>
    <row r="178" spans="1:20" ht="15" thickBot="1" x14ac:dyDescent="0.35">
      <c r="A178" s="62"/>
      <c r="B178" s="9" t="s">
        <v>6</v>
      </c>
      <c r="C178" s="10" t="s">
        <v>7</v>
      </c>
      <c r="D178" s="7" t="s">
        <v>8</v>
      </c>
      <c r="E178" s="7" t="s">
        <v>9</v>
      </c>
      <c r="F178" s="8" t="s">
        <v>10</v>
      </c>
      <c r="G178" s="9" t="s">
        <v>6</v>
      </c>
      <c r="H178" s="10" t="s">
        <v>7</v>
      </c>
      <c r="I178" s="7" t="s">
        <v>8</v>
      </c>
      <c r="J178" s="7" t="s">
        <v>9</v>
      </c>
      <c r="K178" s="8" t="s">
        <v>10</v>
      </c>
      <c r="L178" s="9" t="s">
        <v>6</v>
      </c>
      <c r="M178" s="10" t="s">
        <v>7</v>
      </c>
      <c r="N178" s="7" t="s">
        <v>8</v>
      </c>
      <c r="O178" s="7" t="s">
        <v>9</v>
      </c>
      <c r="P178" s="8" t="s">
        <v>10</v>
      </c>
    </row>
    <row r="179" spans="1:20" x14ac:dyDescent="0.3">
      <c r="A179" s="11" t="s">
        <v>34</v>
      </c>
      <c r="B179" s="29">
        <v>86.7</v>
      </c>
      <c r="C179" s="30">
        <v>43.35</v>
      </c>
      <c r="D179" s="24">
        <v>50</v>
      </c>
      <c r="E179" s="24">
        <f>2*((C179*D179)/(C179+D179))</f>
        <v>46.438136047134442</v>
      </c>
      <c r="F179" s="36">
        <v>0</v>
      </c>
      <c r="G179" s="29">
        <v>86.7</v>
      </c>
      <c r="H179" s="30">
        <v>43.35</v>
      </c>
      <c r="I179" s="24">
        <v>50</v>
      </c>
      <c r="J179" s="24">
        <f>2*((H179*I179)/(H179+I179))</f>
        <v>46.438136047134442</v>
      </c>
      <c r="K179" s="36">
        <v>0</v>
      </c>
      <c r="L179" s="31">
        <v>83.88</v>
      </c>
      <c r="M179" s="24">
        <v>51.03</v>
      </c>
      <c r="N179" s="32">
        <v>50.35</v>
      </c>
      <c r="O179" s="24">
        <f>2*((M179*N179)/(M179+N179))</f>
        <v>50.68771947129612</v>
      </c>
      <c r="P179" s="36">
        <v>0.01</v>
      </c>
    </row>
    <row r="180" spans="1:20" x14ac:dyDescent="0.3">
      <c r="A180" s="12" t="s">
        <v>35</v>
      </c>
      <c r="B180" s="31">
        <v>63.27</v>
      </c>
      <c r="C180" s="24">
        <v>31.64</v>
      </c>
      <c r="D180" s="24">
        <v>49.99</v>
      </c>
      <c r="E180" s="24">
        <f t="shared" ref="E180:E182" si="79">2*((C180*D180)/(C180+D180))</f>
        <v>38.752507656498842</v>
      </c>
      <c r="F180" s="36">
        <v>0</v>
      </c>
      <c r="G180" s="31">
        <v>63.28</v>
      </c>
      <c r="H180" s="24">
        <v>31.64</v>
      </c>
      <c r="I180" s="32">
        <v>50</v>
      </c>
      <c r="J180" s="24">
        <f t="shared" ref="J180:J182" si="80">2*((H180*I180)/(H180+I180))</f>
        <v>38.755512003919648</v>
      </c>
      <c r="K180" s="36">
        <v>0</v>
      </c>
      <c r="L180" s="31">
        <v>58.21</v>
      </c>
      <c r="M180" s="24">
        <v>46.81</v>
      </c>
      <c r="N180" s="24">
        <v>48.4</v>
      </c>
      <c r="O180" s="24">
        <f t="shared" ref="O180:O182" si="81">2*((M180*N180)/(M180+N180))</f>
        <v>47.591723558449743</v>
      </c>
      <c r="P180" s="36">
        <v>-3.6999999999999998E-2</v>
      </c>
    </row>
    <row r="181" spans="1:20" x14ac:dyDescent="0.3">
      <c r="A181" s="12" t="s">
        <v>36</v>
      </c>
      <c r="B181" s="31">
        <v>56.62</v>
      </c>
      <c r="C181" s="24">
        <v>51.86</v>
      </c>
      <c r="D181" s="24">
        <v>51.75</v>
      </c>
      <c r="E181" s="24">
        <f t="shared" si="79"/>
        <v>51.804941607952905</v>
      </c>
      <c r="F181" s="36">
        <v>3.5999999999999997E-2</v>
      </c>
      <c r="G181" s="31">
        <v>36.6</v>
      </c>
      <c r="H181" s="24">
        <v>39.74</v>
      </c>
      <c r="I181" s="24">
        <v>39.83</v>
      </c>
      <c r="J181" s="24">
        <f t="shared" si="80"/>
        <v>39.784949101420139</v>
      </c>
      <c r="K181" s="36">
        <v>-0.17399999999999999</v>
      </c>
      <c r="L181" s="31">
        <v>65.33</v>
      </c>
      <c r="M181" s="24">
        <v>61.24</v>
      </c>
      <c r="N181" s="32">
        <v>59.19</v>
      </c>
      <c r="O181" s="24">
        <f t="shared" si="81"/>
        <v>60.197552104957232</v>
      </c>
      <c r="P181" s="36">
        <v>0.19700000000000001</v>
      </c>
    </row>
    <row r="182" spans="1:20" ht="15" thickBot="1" x14ac:dyDescent="0.35">
      <c r="A182" s="13" t="s">
        <v>37</v>
      </c>
      <c r="B182" s="33">
        <v>98.91</v>
      </c>
      <c r="C182" s="25">
        <v>49.46</v>
      </c>
      <c r="D182" s="25">
        <v>50</v>
      </c>
      <c r="E182" s="25">
        <f t="shared" si="79"/>
        <v>49.728534084053884</v>
      </c>
      <c r="F182" s="37">
        <v>0</v>
      </c>
      <c r="G182" s="33">
        <v>98.91</v>
      </c>
      <c r="H182" s="25">
        <v>49.46</v>
      </c>
      <c r="I182" s="25">
        <v>50</v>
      </c>
      <c r="J182" s="25">
        <f t="shared" si="80"/>
        <v>49.728534084053884</v>
      </c>
      <c r="K182" s="37">
        <v>0</v>
      </c>
      <c r="L182" s="33">
        <v>98.91</v>
      </c>
      <c r="M182" s="25">
        <v>49.46</v>
      </c>
      <c r="N182" s="25">
        <v>50</v>
      </c>
      <c r="O182" s="25">
        <f t="shared" si="81"/>
        <v>49.728534084053884</v>
      </c>
      <c r="P182" s="37">
        <v>0</v>
      </c>
    </row>
    <row r="184" spans="1:20" s="18" customFormat="1" x14ac:dyDescent="0.3"/>
    <row r="185" spans="1:20" ht="15" thickBot="1" x14ac:dyDescent="0.35">
      <c r="A185" t="s">
        <v>31</v>
      </c>
      <c r="H185" t="s">
        <v>32</v>
      </c>
      <c r="O185" t="s">
        <v>33</v>
      </c>
    </row>
    <row r="186" spans="1:20" ht="15" thickBot="1" x14ac:dyDescent="0.35">
      <c r="A186" s="67"/>
      <c r="B186" s="61"/>
      <c r="C186" s="20" t="s">
        <v>6</v>
      </c>
      <c r="D186" s="21" t="s">
        <v>7</v>
      </c>
      <c r="E186" s="22" t="s">
        <v>8</v>
      </c>
      <c r="F186" s="23" t="s">
        <v>9</v>
      </c>
      <c r="H186" s="63"/>
      <c r="I186" s="65"/>
      <c r="J186" s="21" t="s">
        <v>6</v>
      </c>
      <c r="K186" s="21" t="s">
        <v>7</v>
      </c>
      <c r="L186" s="22" t="s">
        <v>8</v>
      </c>
      <c r="M186" s="23" t="s">
        <v>9</v>
      </c>
      <c r="O186" s="63"/>
      <c r="P186" s="65"/>
      <c r="Q186" s="21" t="s">
        <v>6</v>
      </c>
      <c r="R186" s="21" t="s">
        <v>7</v>
      </c>
      <c r="S186" s="22" t="s">
        <v>8</v>
      </c>
      <c r="T186" s="23" t="s">
        <v>9</v>
      </c>
    </row>
    <row r="187" spans="1:20" x14ac:dyDescent="0.3">
      <c r="A187" s="66" t="s">
        <v>34</v>
      </c>
      <c r="B187" s="19" t="s">
        <v>29</v>
      </c>
      <c r="C187" s="24">
        <f>B150</f>
        <v>83.56</v>
      </c>
      <c r="D187" s="24">
        <f t="shared" ref="D187:E187" si="82">C150</f>
        <v>47.27</v>
      </c>
      <c r="E187" s="24">
        <f t="shared" si="82"/>
        <v>49.94</v>
      </c>
      <c r="F187" s="26">
        <f>E150</f>
        <v>48.568332476082709</v>
      </c>
      <c r="H187" s="59" t="s">
        <v>34</v>
      </c>
      <c r="I187" s="4" t="s">
        <v>29</v>
      </c>
      <c r="J187" s="24">
        <f>B165</f>
        <v>80.48</v>
      </c>
      <c r="K187" s="24">
        <f t="shared" ref="K187:M187" si="83">C165</f>
        <v>50.67</v>
      </c>
      <c r="L187" s="24">
        <f t="shared" si="83"/>
        <v>50.37</v>
      </c>
      <c r="M187" s="26">
        <f t="shared" si="83"/>
        <v>50.519554631828981</v>
      </c>
      <c r="O187" s="59" t="s">
        <v>34</v>
      </c>
      <c r="P187" s="4" t="s">
        <v>29</v>
      </c>
      <c r="Q187" s="24">
        <f>B179</f>
        <v>86.7</v>
      </c>
      <c r="R187" s="24">
        <f t="shared" ref="R187:S187" si="84">C179</f>
        <v>43.35</v>
      </c>
      <c r="S187" s="24">
        <f t="shared" si="84"/>
        <v>50</v>
      </c>
      <c r="T187" s="26">
        <f>E179</f>
        <v>46.438136047134442</v>
      </c>
    </row>
    <row r="188" spans="1:20" x14ac:dyDescent="0.3">
      <c r="A188" s="59"/>
      <c r="B188" s="4" t="s">
        <v>14</v>
      </c>
      <c r="C188" s="24">
        <f>B10</f>
        <v>77.180000000000007</v>
      </c>
      <c r="D188" s="24">
        <f t="shared" ref="D188:F188" si="85">C10</f>
        <v>50.4</v>
      </c>
      <c r="E188" s="24">
        <f t="shared" si="85"/>
        <v>50.42</v>
      </c>
      <c r="F188" s="26">
        <f t="shared" si="85"/>
        <v>50.40999801626662</v>
      </c>
      <c r="H188" s="59"/>
      <c r="I188" s="4" t="s">
        <v>16</v>
      </c>
      <c r="J188" s="24">
        <f>B38</f>
        <v>65.44</v>
      </c>
      <c r="K188" s="24">
        <f t="shared" ref="K188:M188" si="86">C38</f>
        <v>49.86</v>
      </c>
      <c r="L188" s="24">
        <f t="shared" si="86"/>
        <v>49.63</v>
      </c>
      <c r="M188" s="26">
        <f t="shared" si="86"/>
        <v>49.744734144135087</v>
      </c>
      <c r="O188" s="59"/>
      <c r="P188" s="4" t="s">
        <v>20</v>
      </c>
      <c r="Q188" s="24">
        <f>B94</f>
        <v>36.74</v>
      </c>
      <c r="R188" s="24">
        <f t="shared" ref="R188:T188" si="87">C94</f>
        <v>49.12</v>
      </c>
      <c r="S188" s="24">
        <f t="shared" si="87"/>
        <v>48.17</v>
      </c>
      <c r="T188" s="26">
        <f t="shared" si="87"/>
        <v>48.640361804913148</v>
      </c>
    </row>
    <row r="189" spans="1:20" x14ac:dyDescent="0.3">
      <c r="A189" s="59"/>
      <c r="B189" s="4" t="s">
        <v>15</v>
      </c>
      <c r="C189" s="24">
        <f>B24</f>
        <v>68.98</v>
      </c>
      <c r="D189" s="24">
        <f t="shared" ref="D189:F189" si="88">C24</f>
        <v>53.11</v>
      </c>
      <c r="E189" s="24">
        <f t="shared" si="88"/>
        <v>53.39</v>
      </c>
      <c r="F189" s="26">
        <f t="shared" si="88"/>
        <v>53.249631924882628</v>
      </c>
      <c r="H189" s="59"/>
      <c r="I189" s="4" t="s">
        <v>17</v>
      </c>
      <c r="J189" s="24">
        <f>B52</f>
        <v>65.400000000000006</v>
      </c>
      <c r="K189" s="24">
        <f t="shared" ref="K189:M189" si="89">C52</f>
        <v>48.83</v>
      </c>
      <c r="L189" s="24">
        <f t="shared" si="89"/>
        <v>47.95</v>
      </c>
      <c r="M189" s="26">
        <f t="shared" si="89"/>
        <v>48.385999173382935</v>
      </c>
      <c r="O189" s="59"/>
      <c r="P189" s="4" t="s">
        <v>21</v>
      </c>
      <c r="Q189" s="24">
        <f>B108</f>
        <v>31.65</v>
      </c>
      <c r="R189" s="24">
        <f t="shared" ref="R189:T189" si="90">C108</f>
        <v>37.119999999999997</v>
      </c>
      <c r="S189" s="24">
        <f t="shared" si="90"/>
        <v>32.22</v>
      </c>
      <c r="T189" s="26">
        <f t="shared" si="90"/>
        <v>34.496867608883761</v>
      </c>
    </row>
    <row r="190" spans="1:20" x14ac:dyDescent="0.3">
      <c r="A190" s="59" t="s">
        <v>35</v>
      </c>
      <c r="B190" s="4" t="s">
        <v>29</v>
      </c>
      <c r="C190" s="24">
        <f>B151</f>
        <v>57.9</v>
      </c>
      <c r="D190" s="24">
        <f>C151</f>
        <v>49.79</v>
      </c>
      <c r="E190" s="24">
        <f>D151</f>
        <v>49.88</v>
      </c>
      <c r="F190" s="26">
        <f>E151</f>
        <v>49.834959365907494</v>
      </c>
      <c r="H190" s="59"/>
      <c r="I190" s="4" t="s">
        <v>18</v>
      </c>
      <c r="J190" s="24">
        <f>B66</f>
        <v>39.090000000000003</v>
      </c>
      <c r="K190" s="24">
        <f t="shared" ref="K190:M190" si="91">C66</f>
        <v>46.77</v>
      </c>
      <c r="L190" s="24">
        <f t="shared" si="91"/>
        <v>44.55</v>
      </c>
      <c r="M190" s="26">
        <f t="shared" si="91"/>
        <v>45.633015768725372</v>
      </c>
      <c r="O190" s="59"/>
      <c r="P190" s="4" t="s">
        <v>22</v>
      </c>
      <c r="Q190" s="24">
        <f>B122</f>
        <v>92.64</v>
      </c>
      <c r="R190" s="24">
        <f t="shared" ref="R190:T190" si="92">C122</f>
        <v>46.33</v>
      </c>
      <c r="S190" s="24">
        <f t="shared" si="92"/>
        <v>49.99</v>
      </c>
      <c r="T190" s="26">
        <f t="shared" si="92"/>
        <v>48.090463039867117</v>
      </c>
    </row>
    <row r="191" spans="1:20" x14ac:dyDescent="0.3">
      <c r="A191" s="59"/>
      <c r="B191" s="4" t="s">
        <v>14</v>
      </c>
      <c r="C191" s="24">
        <f>B11</f>
        <v>49.11</v>
      </c>
      <c r="D191" s="24">
        <f t="shared" ref="D191:F191" si="93">C11</f>
        <v>53.43</v>
      </c>
      <c r="E191" s="24">
        <f t="shared" si="93"/>
        <v>52.41</v>
      </c>
      <c r="F191" s="26">
        <f t="shared" si="93"/>
        <v>52.9150850340136</v>
      </c>
      <c r="H191" s="59"/>
      <c r="I191" s="4" t="s">
        <v>19</v>
      </c>
      <c r="J191" s="24">
        <f>B80</f>
        <v>80.98</v>
      </c>
      <c r="K191" s="24">
        <f t="shared" ref="K191:M191" si="94">C80</f>
        <v>40.49</v>
      </c>
      <c r="L191" s="24">
        <f t="shared" si="94"/>
        <v>50</v>
      </c>
      <c r="M191" s="26">
        <f t="shared" si="94"/>
        <v>44.745275721074144</v>
      </c>
      <c r="O191" s="59"/>
      <c r="P191" s="4" t="s">
        <v>23</v>
      </c>
      <c r="Q191" s="24">
        <f>B136</f>
        <v>14.78</v>
      </c>
      <c r="R191" s="24">
        <f t="shared" ref="R191:T191" si="95">C136</f>
        <v>7.39</v>
      </c>
      <c r="S191" s="24">
        <f t="shared" si="95"/>
        <v>50</v>
      </c>
      <c r="T191" s="26">
        <f t="shared" si="95"/>
        <v>12.87680780623802</v>
      </c>
    </row>
    <row r="192" spans="1:20" x14ac:dyDescent="0.3">
      <c r="A192" s="59"/>
      <c r="B192" s="4" t="s">
        <v>15</v>
      </c>
      <c r="C192" s="24">
        <f>B25</f>
        <v>39.659999999999997</v>
      </c>
      <c r="D192" s="24">
        <f t="shared" ref="D192:F192" si="96">C25</f>
        <v>43.04</v>
      </c>
      <c r="E192" s="24">
        <f t="shared" si="96"/>
        <v>42.38</v>
      </c>
      <c r="F192" s="26">
        <f t="shared" si="96"/>
        <v>42.707450245844065</v>
      </c>
      <c r="H192" s="59" t="s">
        <v>35</v>
      </c>
      <c r="I192" s="4" t="s">
        <v>29</v>
      </c>
      <c r="J192" s="24">
        <f>B166</f>
        <v>59.14</v>
      </c>
      <c r="K192" s="24">
        <f t="shared" ref="K192:M192" si="97">C166</f>
        <v>72.02</v>
      </c>
      <c r="L192" s="24">
        <f t="shared" si="97"/>
        <v>56.37</v>
      </c>
      <c r="M192" s="26">
        <f t="shared" si="97"/>
        <v>63.241177661811669</v>
      </c>
      <c r="O192" s="59" t="s">
        <v>35</v>
      </c>
      <c r="P192" s="4" t="s">
        <v>29</v>
      </c>
      <c r="Q192" s="24">
        <f>B180</f>
        <v>63.27</v>
      </c>
      <c r="R192" s="24">
        <f t="shared" ref="R192:T192" si="98">C180</f>
        <v>31.64</v>
      </c>
      <c r="S192" s="24">
        <f t="shared" si="98"/>
        <v>49.99</v>
      </c>
      <c r="T192" s="26">
        <f t="shared" si="98"/>
        <v>38.752507656498842</v>
      </c>
    </row>
    <row r="193" spans="1:20" x14ac:dyDescent="0.3">
      <c r="A193" s="59" t="s">
        <v>36</v>
      </c>
      <c r="B193" s="4" t="s">
        <v>29</v>
      </c>
      <c r="C193" s="24">
        <f>B152</f>
        <v>47.13</v>
      </c>
      <c r="D193" s="24">
        <f t="shared" ref="D193:F193" si="99">C152</f>
        <v>32.36</v>
      </c>
      <c r="E193" s="24">
        <f t="shared" si="99"/>
        <v>44.31</v>
      </c>
      <c r="F193" s="26">
        <f t="shared" si="99"/>
        <v>37.403719838267897</v>
      </c>
      <c r="H193" s="59"/>
      <c r="I193" s="4" t="s">
        <v>16</v>
      </c>
      <c r="J193" s="24">
        <f>B39</f>
        <v>27.21</v>
      </c>
      <c r="K193" s="24">
        <f t="shared" ref="K193:M193" si="100">C39</f>
        <v>19.690000000000001</v>
      </c>
      <c r="L193" s="24">
        <f t="shared" si="100"/>
        <v>23.44</v>
      </c>
      <c r="M193" s="26">
        <f t="shared" si="100"/>
        <v>21.401975423139348</v>
      </c>
      <c r="O193" s="59"/>
      <c r="P193" s="4" t="s">
        <v>20</v>
      </c>
      <c r="Q193" s="24">
        <f>B95</f>
        <v>41.04</v>
      </c>
      <c r="R193" s="24">
        <f t="shared" ref="R193:T193" si="101">C95</f>
        <v>20.52</v>
      </c>
      <c r="S193" s="24">
        <f t="shared" si="101"/>
        <v>50</v>
      </c>
      <c r="T193" s="26">
        <f t="shared" si="101"/>
        <v>29.098128190584234</v>
      </c>
    </row>
    <row r="194" spans="1:20" x14ac:dyDescent="0.3">
      <c r="A194" s="59"/>
      <c r="B194" s="4" t="s">
        <v>14</v>
      </c>
      <c r="C194" s="24">
        <f>B12</f>
        <v>57.84</v>
      </c>
      <c r="D194" s="24">
        <f t="shared" ref="D194:F194" si="102">C12</f>
        <v>57.31</v>
      </c>
      <c r="E194" s="24">
        <f t="shared" si="102"/>
        <v>55.5</v>
      </c>
      <c r="F194" s="26">
        <f t="shared" si="102"/>
        <v>56.390479567414232</v>
      </c>
      <c r="H194" s="59"/>
      <c r="I194" s="4" t="s">
        <v>17</v>
      </c>
      <c r="J194" s="24">
        <f>B53</f>
        <v>35.869999999999997</v>
      </c>
      <c r="K194" s="24">
        <f t="shared" ref="K194:M194" si="103">C53</f>
        <v>17.93</v>
      </c>
      <c r="L194" s="24">
        <f t="shared" si="103"/>
        <v>50</v>
      </c>
      <c r="M194" s="26">
        <f t="shared" si="103"/>
        <v>26.394818195200941</v>
      </c>
      <c r="O194" s="59"/>
      <c r="P194" s="4" t="s">
        <v>21</v>
      </c>
      <c r="Q194" s="24">
        <f>B109</f>
        <v>38.04</v>
      </c>
      <c r="R194" s="24">
        <f t="shared" ref="R194:T194" si="104">C109</f>
        <v>41.35</v>
      </c>
      <c r="S194" s="24">
        <f t="shared" si="104"/>
        <v>40.69</v>
      </c>
      <c r="T194" s="26">
        <f t="shared" si="104"/>
        <v>41.017345197464657</v>
      </c>
    </row>
    <row r="195" spans="1:20" x14ac:dyDescent="0.3">
      <c r="A195" s="59"/>
      <c r="B195" s="4" t="s">
        <v>15</v>
      </c>
      <c r="C195" s="24">
        <f>L25</f>
        <v>55.95</v>
      </c>
      <c r="D195" s="24">
        <f>M25</f>
        <v>49.03</v>
      </c>
      <c r="E195" s="24">
        <f>N25</f>
        <v>49.05</v>
      </c>
      <c r="F195" s="26">
        <f t="shared" ref="F195" si="105">E26</f>
        <v>35.83064601646435</v>
      </c>
      <c r="H195" s="59"/>
      <c r="I195" s="4" t="s">
        <v>18</v>
      </c>
      <c r="J195" s="24">
        <f>B67</f>
        <v>65.459999999999994</v>
      </c>
      <c r="K195" s="24">
        <f t="shared" ref="K195:M195" si="106">C67</f>
        <v>72.64</v>
      </c>
      <c r="L195" s="24">
        <f t="shared" si="106"/>
        <v>70.63</v>
      </c>
      <c r="M195" s="26">
        <f t="shared" si="106"/>
        <v>71.620900397850221</v>
      </c>
      <c r="O195" s="59"/>
      <c r="P195" s="4" t="s">
        <v>22</v>
      </c>
      <c r="Q195" s="24">
        <f>B123</f>
        <v>47.27</v>
      </c>
      <c r="R195" s="24">
        <f t="shared" ref="R195:T195" si="107">C123</f>
        <v>46</v>
      </c>
      <c r="S195" s="24">
        <f t="shared" si="107"/>
        <v>45.35</v>
      </c>
      <c r="T195" s="26">
        <f t="shared" si="107"/>
        <v>45.672687465790915</v>
      </c>
    </row>
    <row r="196" spans="1:20" x14ac:dyDescent="0.3">
      <c r="A196" s="59" t="s">
        <v>37</v>
      </c>
      <c r="B196" s="4" t="s">
        <v>29</v>
      </c>
      <c r="C196" s="24">
        <f>B153</f>
        <v>97.87</v>
      </c>
      <c r="D196" s="24">
        <f t="shared" ref="D196:F196" si="108">C153</f>
        <v>48.94</v>
      </c>
      <c r="E196" s="24">
        <f t="shared" si="108"/>
        <v>50</v>
      </c>
      <c r="F196" s="26">
        <f t="shared" si="108"/>
        <v>49.464321811198708</v>
      </c>
      <c r="H196" s="59"/>
      <c r="I196" s="4" t="s">
        <v>19</v>
      </c>
      <c r="J196" s="24">
        <f>B81</f>
        <v>55.02</v>
      </c>
      <c r="K196" s="24">
        <f t="shared" ref="K196:M196" si="109">C81</f>
        <v>59.13</v>
      </c>
      <c r="L196" s="24">
        <f t="shared" si="109"/>
        <v>56.74</v>
      </c>
      <c r="M196" s="26">
        <f t="shared" si="109"/>
        <v>57.910351255717622</v>
      </c>
      <c r="O196" s="59"/>
      <c r="P196" s="4" t="s">
        <v>23</v>
      </c>
      <c r="Q196" s="24">
        <f>B137</f>
        <v>42.27</v>
      </c>
      <c r="R196" s="24">
        <f t="shared" ref="R196:T196" si="110">C137</f>
        <v>21.13</v>
      </c>
      <c r="S196" s="24">
        <f t="shared" si="110"/>
        <v>50</v>
      </c>
      <c r="T196" s="26">
        <f t="shared" si="110"/>
        <v>29.706171798116127</v>
      </c>
    </row>
    <row r="197" spans="1:20" x14ac:dyDescent="0.3">
      <c r="A197" s="59"/>
      <c r="B197" s="4" t="s">
        <v>14</v>
      </c>
      <c r="C197" s="24">
        <f>B13</f>
        <v>99.16</v>
      </c>
      <c r="D197" s="24">
        <f t="shared" ref="D197:F197" si="111">C13</f>
        <v>49.58</v>
      </c>
      <c r="E197" s="24">
        <f t="shared" si="111"/>
        <v>50</v>
      </c>
      <c r="F197" s="26">
        <f t="shared" si="111"/>
        <v>49.789114279975898</v>
      </c>
      <c r="H197" s="59" t="s">
        <v>36</v>
      </c>
      <c r="I197" s="4" t="s">
        <v>29</v>
      </c>
      <c r="J197" s="24">
        <f>B167</f>
        <v>38.97</v>
      </c>
      <c r="K197" s="24">
        <f t="shared" ref="K197:M197" si="112">C167</f>
        <v>38.97</v>
      </c>
      <c r="L197" s="24">
        <f t="shared" si="112"/>
        <v>38.96</v>
      </c>
      <c r="M197" s="26">
        <f t="shared" si="112"/>
        <v>38.964999358398558</v>
      </c>
      <c r="O197" s="59" t="s">
        <v>36</v>
      </c>
      <c r="P197" s="4" t="s">
        <v>29</v>
      </c>
      <c r="Q197" s="24">
        <f>B181</f>
        <v>56.62</v>
      </c>
      <c r="R197" s="24">
        <f t="shared" ref="R197:T197" si="113">C181</f>
        <v>51.86</v>
      </c>
      <c r="S197" s="24">
        <f t="shared" si="113"/>
        <v>51.75</v>
      </c>
      <c r="T197" s="26">
        <f t="shared" si="113"/>
        <v>51.804941607952905</v>
      </c>
    </row>
    <row r="198" spans="1:20" x14ac:dyDescent="0.3">
      <c r="A198" s="59"/>
      <c r="B198" s="4" t="s">
        <v>15</v>
      </c>
      <c r="C198" s="24">
        <f>B27</f>
        <v>96.51</v>
      </c>
      <c r="D198" s="24">
        <f t="shared" ref="D198:F198" si="114">C27</f>
        <v>48.26</v>
      </c>
      <c r="E198" s="24">
        <f t="shared" si="114"/>
        <v>49.99</v>
      </c>
      <c r="F198" s="26">
        <f t="shared" si="114"/>
        <v>49.109768956743004</v>
      </c>
      <c r="H198" s="59"/>
      <c r="I198" s="4" t="s">
        <v>16</v>
      </c>
      <c r="J198" s="24">
        <f>B40</f>
        <v>23.85</v>
      </c>
      <c r="K198" s="24">
        <f t="shared" ref="K198:M198" si="115">C40</f>
        <v>19.489999999999998</v>
      </c>
      <c r="L198" s="24">
        <f t="shared" si="115"/>
        <v>24.04</v>
      </c>
      <c r="M198" s="26">
        <f t="shared" si="115"/>
        <v>21.527204226969904</v>
      </c>
      <c r="O198" s="59"/>
      <c r="P198" s="4" t="s">
        <v>20</v>
      </c>
      <c r="Q198" s="24">
        <f>B96</f>
        <v>48.41</v>
      </c>
      <c r="R198" s="24">
        <f t="shared" ref="R198:T198" si="116">C96</f>
        <v>40.68</v>
      </c>
      <c r="S198" s="24">
        <f t="shared" si="116"/>
        <v>39.450000000000003</v>
      </c>
      <c r="T198" s="26">
        <f t="shared" si="116"/>
        <v>40.05555971546238</v>
      </c>
    </row>
    <row r="199" spans="1:20" x14ac:dyDescent="0.3">
      <c r="A199" s="59" t="s">
        <v>28</v>
      </c>
      <c r="B199" s="4" t="s">
        <v>29</v>
      </c>
      <c r="C199" s="24">
        <f>AVERAGE(C187,C190,C193,C196)</f>
        <v>71.615000000000009</v>
      </c>
      <c r="D199" s="24">
        <f t="shared" ref="D199:F201" si="117">AVERAGE(D187,D190,D193,D196)</f>
        <v>44.59</v>
      </c>
      <c r="E199" s="24">
        <f t="shared" si="117"/>
        <v>48.532499999999999</v>
      </c>
      <c r="F199" s="26">
        <f t="shared" si="117"/>
        <v>46.317833372864207</v>
      </c>
      <c r="H199" s="59"/>
      <c r="I199" s="4" t="s">
        <v>17</v>
      </c>
      <c r="J199" s="24">
        <f>B54</f>
        <v>68.680000000000007</v>
      </c>
      <c r="K199" s="24">
        <f t="shared" ref="K199:M199" si="118">C54</f>
        <v>68.45</v>
      </c>
      <c r="L199" s="24">
        <f t="shared" si="118"/>
        <v>65.83</v>
      </c>
      <c r="M199" s="26">
        <f t="shared" si="118"/>
        <v>67.114439976169194</v>
      </c>
      <c r="O199" s="59"/>
      <c r="P199" s="4" t="s">
        <v>21</v>
      </c>
      <c r="Q199" s="24">
        <f>B110</f>
        <v>78.760000000000005</v>
      </c>
      <c r="R199" s="24">
        <f t="shared" ref="R199:T199" si="119">C110</f>
        <v>75.81</v>
      </c>
      <c r="S199" s="24">
        <f t="shared" si="119"/>
        <v>78.8</v>
      </c>
      <c r="T199" s="26">
        <f t="shared" si="119"/>
        <v>77.276088221977872</v>
      </c>
    </row>
    <row r="200" spans="1:20" x14ac:dyDescent="0.3">
      <c r="A200" s="59"/>
      <c r="B200" s="4" t="s">
        <v>14</v>
      </c>
      <c r="C200" s="24">
        <f>AVERAGE(C188,C191,C194,C197)</f>
        <v>70.822499999999991</v>
      </c>
      <c r="D200" s="24">
        <f t="shared" si="117"/>
        <v>52.679999999999993</v>
      </c>
      <c r="E200" s="24">
        <f t="shared" si="117"/>
        <v>52.082499999999996</v>
      </c>
      <c r="F200" s="26">
        <f t="shared" si="117"/>
        <v>52.376169224417588</v>
      </c>
      <c r="H200" s="59"/>
      <c r="I200" s="4" t="s">
        <v>18</v>
      </c>
      <c r="J200" s="24">
        <f>B68</f>
        <v>59.16</v>
      </c>
      <c r="K200" s="24">
        <f t="shared" ref="K200:M200" si="120">C68</f>
        <v>62.06</v>
      </c>
      <c r="L200" s="24">
        <f t="shared" si="120"/>
        <v>60.74</v>
      </c>
      <c r="M200" s="26">
        <f t="shared" si="120"/>
        <v>61.392905537459285</v>
      </c>
      <c r="O200" s="59"/>
      <c r="P200" s="4" t="s">
        <v>22</v>
      </c>
      <c r="Q200" s="24">
        <f>B124</f>
        <v>40.26</v>
      </c>
      <c r="R200" s="24">
        <f t="shared" ref="R200:T200" si="121">C124</f>
        <v>37.72</v>
      </c>
      <c r="S200" s="24">
        <f t="shared" si="121"/>
        <v>23.16</v>
      </c>
      <c r="T200" s="26">
        <f t="shared" si="121"/>
        <v>28.69892247043364</v>
      </c>
    </row>
    <row r="201" spans="1:20" ht="15" thickBot="1" x14ac:dyDescent="0.35">
      <c r="A201" s="60"/>
      <c r="B201" s="8" t="s">
        <v>15</v>
      </c>
      <c r="C201" s="25">
        <f>AVERAGE(C189,C192,C195,C198)</f>
        <v>65.275000000000006</v>
      </c>
      <c r="D201" s="25">
        <f t="shared" si="117"/>
        <v>48.36</v>
      </c>
      <c r="E201" s="25">
        <f t="shared" si="117"/>
        <v>48.702500000000001</v>
      </c>
      <c r="F201" s="27">
        <f t="shared" si="117"/>
        <v>45.224374285983515</v>
      </c>
      <c r="H201" s="59"/>
      <c r="I201" s="4" t="s">
        <v>19</v>
      </c>
      <c r="J201" s="24">
        <f>B82</f>
        <v>36.19</v>
      </c>
      <c r="K201" s="24">
        <f t="shared" ref="K201:M201" si="122">C82</f>
        <v>32.53</v>
      </c>
      <c r="L201" s="24">
        <f t="shared" si="122"/>
        <v>29.66</v>
      </c>
      <c r="M201" s="26">
        <f t="shared" si="122"/>
        <v>31.028776330599779</v>
      </c>
      <c r="O201" s="59"/>
      <c r="P201" s="4" t="s">
        <v>23</v>
      </c>
      <c r="Q201" s="24">
        <f>B138</f>
        <v>62.98</v>
      </c>
      <c r="R201" s="24">
        <f t="shared" ref="R201:T201" si="123">C138</f>
        <v>62.09</v>
      </c>
      <c r="S201" s="24">
        <f t="shared" si="123"/>
        <v>62.24</v>
      </c>
      <c r="T201" s="26">
        <f t="shared" si="123"/>
        <v>62.164909515000403</v>
      </c>
    </row>
    <row r="202" spans="1:20" x14ac:dyDescent="0.3">
      <c r="H202" s="59" t="s">
        <v>37</v>
      </c>
      <c r="I202" s="4" t="s">
        <v>29</v>
      </c>
      <c r="J202" s="24">
        <f>B168</f>
        <v>94.76</v>
      </c>
      <c r="K202" s="24">
        <f t="shared" ref="K202:M202" si="124">C168</f>
        <v>47.38</v>
      </c>
      <c r="L202" s="24">
        <f t="shared" si="124"/>
        <v>50</v>
      </c>
      <c r="M202" s="26">
        <f t="shared" si="124"/>
        <v>48.654754569726848</v>
      </c>
      <c r="O202" s="59" t="s">
        <v>37</v>
      </c>
      <c r="P202" s="4" t="s">
        <v>29</v>
      </c>
      <c r="Q202" s="24">
        <f>B182</f>
        <v>98.91</v>
      </c>
      <c r="R202" s="24">
        <f t="shared" ref="R202:S202" si="125">C182</f>
        <v>49.46</v>
      </c>
      <c r="S202" s="24">
        <f t="shared" si="125"/>
        <v>50</v>
      </c>
      <c r="T202" s="26">
        <f>E182</f>
        <v>49.728534084053884</v>
      </c>
    </row>
    <row r="203" spans="1:20" x14ac:dyDescent="0.3">
      <c r="H203" s="59"/>
      <c r="I203" s="4" t="s">
        <v>16</v>
      </c>
      <c r="J203" s="24">
        <f>B41</f>
        <v>57.29</v>
      </c>
      <c r="K203" s="24">
        <f t="shared" ref="K203:M203" si="126">C41</f>
        <v>41.53</v>
      </c>
      <c r="L203" s="24">
        <f t="shared" si="126"/>
        <v>32.44</v>
      </c>
      <c r="M203" s="26">
        <f t="shared" si="126"/>
        <v>36.42647559821549</v>
      </c>
      <c r="O203" s="59"/>
      <c r="P203" s="4" t="s">
        <v>20</v>
      </c>
      <c r="Q203" s="24">
        <f>B97</f>
        <v>99.54</v>
      </c>
      <c r="R203" s="24">
        <f t="shared" ref="R203:T203" si="127">C97</f>
        <v>49.77</v>
      </c>
      <c r="S203" s="24">
        <f t="shared" si="127"/>
        <v>50</v>
      </c>
      <c r="T203" s="26">
        <f t="shared" si="127"/>
        <v>49.884734890247564</v>
      </c>
    </row>
    <row r="204" spans="1:20" x14ac:dyDescent="0.3">
      <c r="H204" s="59"/>
      <c r="I204" s="4" t="s">
        <v>17</v>
      </c>
      <c r="J204" s="24">
        <f>B55</f>
        <v>99.56</v>
      </c>
      <c r="K204" s="24">
        <f t="shared" ref="K204:M204" si="128">C55</f>
        <v>49.78</v>
      </c>
      <c r="L204" s="24">
        <f t="shared" si="128"/>
        <v>50</v>
      </c>
      <c r="M204" s="26">
        <f t="shared" si="128"/>
        <v>49.88975746642614</v>
      </c>
      <c r="O204" s="59"/>
      <c r="P204" s="4" t="s">
        <v>21</v>
      </c>
      <c r="Q204" s="24">
        <f>B111</f>
        <v>97.58</v>
      </c>
      <c r="R204" s="24">
        <f t="shared" ref="R204:T204" si="129">C111</f>
        <v>48.79</v>
      </c>
      <c r="S204" s="24">
        <f t="shared" si="129"/>
        <v>50</v>
      </c>
      <c r="T204" s="26">
        <f t="shared" si="129"/>
        <v>49.387589837028045</v>
      </c>
    </row>
    <row r="205" spans="1:20" x14ac:dyDescent="0.3">
      <c r="H205" s="59"/>
      <c r="I205" s="4" t="s">
        <v>18</v>
      </c>
      <c r="J205" s="24">
        <f>B69</f>
        <v>69.17</v>
      </c>
      <c r="K205" s="24">
        <f t="shared" ref="K205:M205" si="130">C69</f>
        <v>49.48</v>
      </c>
      <c r="L205" s="24">
        <f t="shared" si="130"/>
        <v>34.83</v>
      </c>
      <c r="M205" s="26">
        <f t="shared" si="130"/>
        <v>40.88218242201399</v>
      </c>
      <c r="O205" s="59"/>
      <c r="P205" s="4" t="s">
        <v>22</v>
      </c>
      <c r="Q205" s="24">
        <f>B125</f>
        <v>99.35</v>
      </c>
      <c r="R205" s="24">
        <f t="shared" ref="R205:T205" si="131">C125</f>
        <v>49.68</v>
      </c>
      <c r="S205" s="24">
        <f t="shared" si="131"/>
        <v>50</v>
      </c>
      <c r="T205" s="26">
        <f t="shared" si="131"/>
        <v>49.839486356340288</v>
      </c>
    </row>
    <row r="206" spans="1:20" x14ac:dyDescent="0.3">
      <c r="H206" s="59"/>
      <c r="I206" s="4" t="s">
        <v>19</v>
      </c>
      <c r="J206" s="24">
        <f>B83</f>
        <v>90.93</v>
      </c>
      <c r="K206" s="24">
        <f t="shared" ref="K206:M206" si="132">C83</f>
        <v>50.93</v>
      </c>
      <c r="L206" s="24">
        <f t="shared" si="132"/>
        <v>50.06</v>
      </c>
      <c r="M206" s="26">
        <f t="shared" si="132"/>
        <v>50.491252599267249</v>
      </c>
      <c r="O206" s="59"/>
      <c r="P206" s="4" t="s">
        <v>23</v>
      </c>
      <c r="Q206" s="24">
        <f>B139</f>
        <v>45.86</v>
      </c>
      <c r="R206" s="24">
        <f t="shared" ref="R206:T206" si="133">C139</f>
        <v>48.82</v>
      </c>
      <c r="S206" s="24">
        <f t="shared" si="133"/>
        <v>23.19</v>
      </c>
      <c r="T206" s="26">
        <f t="shared" si="133"/>
        <v>31.443849465352034</v>
      </c>
    </row>
    <row r="207" spans="1:20" x14ac:dyDescent="0.3">
      <c r="H207" s="59" t="s">
        <v>28</v>
      </c>
      <c r="I207" s="4" t="s">
        <v>29</v>
      </c>
      <c r="J207" s="24">
        <f>AVERAGE(J187,J192,J197,J202)</f>
        <v>68.337500000000006</v>
      </c>
      <c r="K207" s="24">
        <f t="shared" ref="J207:M211" si="134">AVERAGE(K187,K192,K197,K202)</f>
        <v>52.26</v>
      </c>
      <c r="L207" s="24">
        <f t="shared" si="134"/>
        <v>48.924999999999997</v>
      </c>
      <c r="M207" s="26">
        <f t="shared" si="134"/>
        <v>50.345121555441509</v>
      </c>
      <c r="O207" s="59" t="s">
        <v>28</v>
      </c>
      <c r="P207" s="4" t="s">
        <v>29</v>
      </c>
      <c r="Q207" s="24">
        <f>AVERAGE(Q187,Q192,Q197,Q202)</f>
        <v>76.375</v>
      </c>
      <c r="R207" s="24">
        <f t="shared" ref="R207:T207" si="135">AVERAGE(R187,R192,R197,R202)</f>
        <v>44.077500000000001</v>
      </c>
      <c r="S207" s="24">
        <f t="shared" si="135"/>
        <v>50.435000000000002</v>
      </c>
      <c r="T207" s="26">
        <f t="shared" si="135"/>
        <v>46.681029848910015</v>
      </c>
    </row>
    <row r="208" spans="1:20" x14ac:dyDescent="0.3">
      <c r="H208" s="59"/>
      <c r="I208" s="4" t="s">
        <v>16</v>
      </c>
      <c r="J208" s="24">
        <f>AVERAGE(J188,J193,J198,J203)</f>
        <v>43.447499999999998</v>
      </c>
      <c r="K208" s="24">
        <f t="shared" si="134"/>
        <v>32.642499999999998</v>
      </c>
      <c r="L208" s="24">
        <f t="shared" si="134"/>
        <v>32.387500000000003</v>
      </c>
      <c r="M208" s="26">
        <f t="shared" si="134"/>
        <v>32.275097348114954</v>
      </c>
      <c r="O208" s="59"/>
      <c r="P208" s="4" t="s">
        <v>20</v>
      </c>
      <c r="Q208" s="24">
        <f t="shared" ref="Q208:T211" si="136">AVERAGE(Q188,Q193,Q198,Q203)</f>
        <v>56.432500000000005</v>
      </c>
      <c r="R208" s="24">
        <f t="shared" si="136"/>
        <v>40.022500000000001</v>
      </c>
      <c r="S208" s="24">
        <f t="shared" si="136"/>
        <v>46.905000000000001</v>
      </c>
      <c r="T208" s="26">
        <f t="shared" si="136"/>
        <v>41.919696150301831</v>
      </c>
    </row>
    <row r="209" spans="1:20" x14ac:dyDescent="0.3">
      <c r="H209" s="59"/>
      <c r="I209" s="4" t="s">
        <v>17</v>
      </c>
      <c r="J209" s="24">
        <f t="shared" si="134"/>
        <v>67.377499999999998</v>
      </c>
      <c r="K209" s="24">
        <f t="shared" si="134"/>
        <v>46.247499999999995</v>
      </c>
      <c r="L209" s="24">
        <f t="shared" si="134"/>
        <v>53.445</v>
      </c>
      <c r="M209" s="26">
        <f>AVERAGE(M189,M194,M199,M204)</f>
        <v>47.946253702794806</v>
      </c>
      <c r="O209" s="59"/>
      <c r="P209" s="4" t="s">
        <v>21</v>
      </c>
      <c r="Q209" s="24">
        <f>AVERAGE(Q189,Q194,Q199,Q204)</f>
        <v>61.507499999999993</v>
      </c>
      <c r="R209" s="24">
        <f t="shared" si="136"/>
        <v>50.767499999999998</v>
      </c>
      <c r="S209" s="24">
        <f t="shared" si="136"/>
        <v>50.427499999999995</v>
      </c>
      <c r="T209" s="26">
        <f t="shared" si="136"/>
        <v>50.544472716338575</v>
      </c>
    </row>
    <row r="210" spans="1:20" x14ac:dyDescent="0.3">
      <c r="H210" s="59"/>
      <c r="I210" s="4" t="s">
        <v>18</v>
      </c>
      <c r="J210" s="24">
        <f t="shared" si="134"/>
        <v>58.22</v>
      </c>
      <c r="K210" s="24">
        <f t="shared" si="134"/>
        <v>57.737499999999997</v>
      </c>
      <c r="L210" s="24">
        <f t="shared" si="134"/>
        <v>52.6875</v>
      </c>
      <c r="M210" s="26">
        <f t="shared" si="134"/>
        <v>54.882251031512219</v>
      </c>
      <c r="O210" s="59"/>
      <c r="P210" s="4" t="s">
        <v>22</v>
      </c>
      <c r="Q210" s="24">
        <f t="shared" si="136"/>
        <v>69.88</v>
      </c>
      <c r="R210" s="24">
        <f t="shared" si="136"/>
        <v>44.932500000000005</v>
      </c>
      <c r="S210" s="24">
        <f t="shared" si="136"/>
        <v>42.125</v>
      </c>
      <c r="T210" s="26">
        <f t="shared" si="136"/>
        <v>43.075389833107991</v>
      </c>
    </row>
    <row r="211" spans="1:20" ht="15" thickBot="1" x14ac:dyDescent="0.35">
      <c r="H211" s="60"/>
      <c r="I211" s="8" t="s">
        <v>19</v>
      </c>
      <c r="J211" s="25">
        <f>AVERAGE(J191,J196,J201,J206)</f>
        <v>65.78</v>
      </c>
      <c r="K211" s="25">
        <f t="shared" si="134"/>
        <v>45.77</v>
      </c>
      <c r="L211" s="25">
        <f t="shared" si="134"/>
        <v>46.615000000000002</v>
      </c>
      <c r="M211" s="27">
        <f t="shared" si="134"/>
        <v>46.043913976664697</v>
      </c>
      <c r="O211" s="60"/>
      <c r="P211" s="8" t="s">
        <v>23</v>
      </c>
      <c r="Q211" s="25">
        <f>AVERAGE(Q191,Q196,Q201,Q206)</f>
        <v>41.472499999999997</v>
      </c>
      <c r="R211" s="25">
        <f t="shared" si="136"/>
        <v>34.857500000000002</v>
      </c>
      <c r="S211" s="25">
        <f t="shared" si="136"/>
        <v>46.357500000000002</v>
      </c>
      <c r="T211" s="27">
        <f t="shared" si="136"/>
        <v>34.04793464617665</v>
      </c>
    </row>
    <row r="213" spans="1:20" s="28" customFormat="1" x14ac:dyDescent="0.3"/>
    <row r="214" spans="1:20" x14ac:dyDescent="0.3">
      <c r="A214" t="s">
        <v>30</v>
      </c>
      <c r="B214" t="b">
        <v>0</v>
      </c>
      <c r="C214" t="b">
        <v>1</v>
      </c>
    </row>
    <row r="215" spans="1:20" x14ac:dyDescent="0.3">
      <c r="A215" t="s">
        <v>34</v>
      </c>
      <c r="B215">
        <f>2019+8</f>
        <v>2027</v>
      </c>
      <c r="C215">
        <f>1059</f>
        <v>1059</v>
      </c>
      <c r="D215">
        <f>B215+C215</f>
        <v>3086</v>
      </c>
      <c r="E215" s="16">
        <f>(B215/D215)</f>
        <v>0.65683732987686327</v>
      </c>
      <c r="F215" s="16">
        <f>C215/D215</f>
        <v>0.34316267012313673</v>
      </c>
    </row>
    <row r="216" spans="1:20" x14ac:dyDescent="0.3">
      <c r="A216" t="s">
        <v>35</v>
      </c>
      <c r="B216">
        <f>2033+10</f>
        <v>2043</v>
      </c>
      <c r="C216">
        <f>1033+10</f>
        <v>1043</v>
      </c>
      <c r="D216">
        <f t="shared" ref="D216:D218" si="137">B216+C216</f>
        <v>3086</v>
      </c>
      <c r="E216" s="16">
        <f t="shared" ref="E216:E218" si="138">(B216/D216)</f>
        <v>0.6620220349967596</v>
      </c>
      <c r="F216" s="16">
        <f t="shared" ref="F216:F218" si="139">C216/D216</f>
        <v>0.33797796500324045</v>
      </c>
    </row>
    <row r="217" spans="1:20" x14ac:dyDescent="0.3">
      <c r="A217" t="s">
        <v>36</v>
      </c>
      <c r="B217">
        <f>1748+12</f>
        <v>1760</v>
      </c>
      <c r="C217">
        <f>1319+7</f>
        <v>1326</v>
      </c>
      <c r="D217">
        <f t="shared" si="137"/>
        <v>3086</v>
      </c>
      <c r="E217" s="16">
        <f t="shared" si="138"/>
        <v>0.57031756318859361</v>
      </c>
      <c r="F217" s="16">
        <f t="shared" si="139"/>
        <v>0.42968243681140633</v>
      </c>
    </row>
    <row r="218" spans="1:20" x14ac:dyDescent="0.3">
      <c r="A218" t="s">
        <v>37</v>
      </c>
      <c r="B218">
        <f>3086+0</f>
        <v>3086</v>
      </c>
      <c r="C218">
        <f>0+0</f>
        <v>0</v>
      </c>
      <c r="D218">
        <f t="shared" si="137"/>
        <v>3086</v>
      </c>
      <c r="E218" s="16">
        <f t="shared" si="138"/>
        <v>1</v>
      </c>
      <c r="F218" s="16">
        <f t="shared" si="139"/>
        <v>0</v>
      </c>
    </row>
    <row r="219" spans="1:20" ht="15" thickBot="1" x14ac:dyDescent="0.35"/>
    <row r="220" spans="1:20" ht="15" thickBot="1" x14ac:dyDescent="0.35">
      <c r="A220" s="61"/>
      <c r="B220" s="63" t="s">
        <v>12</v>
      </c>
      <c r="C220" s="64"/>
      <c r="D220" s="64"/>
      <c r="E220" s="64"/>
      <c r="F220" s="65"/>
      <c r="G220" s="63" t="s">
        <v>11</v>
      </c>
      <c r="H220" s="64"/>
      <c r="I220" s="64"/>
      <c r="J220" s="64"/>
      <c r="K220" s="65"/>
      <c r="L220" s="63" t="s">
        <v>13</v>
      </c>
      <c r="M220" s="64"/>
      <c r="N220" s="64"/>
      <c r="O220" s="64"/>
      <c r="P220" s="65"/>
    </row>
    <row r="221" spans="1:20" ht="15" thickBot="1" x14ac:dyDescent="0.35">
      <c r="A221" s="62"/>
      <c r="B221" s="9" t="s">
        <v>6</v>
      </c>
      <c r="C221" s="10" t="s">
        <v>7</v>
      </c>
      <c r="D221" s="7" t="s">
        <v>8</v>
      </c>
      <c r="E221" s="7" t="s">
        <v>9</v>
      </c>
      <c r="F221" s="8" t="s">
        <v>10</v>
      </c>
      <c r="G221" s="9" t="s">
        <v>6</v>
      </c>
      <c r="H221" s="10" t="s">
        <v>7</v>
      </c>
      <c r="I221" s="7" t="s">
        <v>8</v>
      </c>
      <c r="J221" s="7" t="s">
        <v>9</v>
      </c>
      <c r="K221" s="8" t="s">
        <v>10</v>
      </c>
      <c r="L221" s="9" t="s">
        <v>6</v>
      </c>
      <c r="M221" s="10" t="s">
        <v>7</v>
      </c>
      <c r="N221" s="7" t="s">
        <v>8</v>
      </c>
      <c r="O221" s="7" t="s">
        <v>9</v>
      </c>
      <c r="P221" s="8" t="s">
        <v>10</v>
      </c>
    </row>
    <row r="222" spans="1:20" x14ac:dyDescent="0.3">
      <c r="A222" s="11" t="s">
        <v>34</v>
      </c>
      <c r="B222" s="29">
        <v>65.42</v>
      </c>
      <c r="C222" s="30">
        <v>32.799999999999997</v>
      </c>
      <c r="D222" s="24">
        <v>49.8</v>
      </c>
      <c r="E222" s="24">
        <f>2*((C222*D222)/(C222+D222))</f>
        <v>39.550605326876514</v>
      </c>
      <c r="F222" s="36">
        <v>-5.0000000000000001E-3</v>
      </c>
      <c r="G222" s="31">
        <v>65.680000000000007</v>
      </c>
      <c r="H222" s="24">
        <v>32.840000000000003</v>
      </c>
      <c r="I222" s="32">
        <v>50</v>
      </c>
      <c r="J222" s="24">
        <f>2*((H222*I222)/(H222+I222))</f>
        <v>39.642684693384844</v>
      </c>
      <c r="K222" s="36">
        <v>0</v>
      </c>
      <c r="L222" s="31">
        <v>65.55</v>
      </c>
      <c r="M222" s="38">
        <v>57.68</v>
      </c>
      <c r="N222" s="32">
        <v>51.77</v>
      </c>
      <c r="O222" s="24">
        <f>2*((M222*N222)/(M222+N222))</f>
        <v>54.565438099588853</v>
      </c>
      <c r="P222" s="36">
        <v>4.3999999999999997E-2</v>
      </c>
    </row>
    <row r="223" spans="1:20" x14ac:dyDescent="0.3">
      <c r="A223" s="12" t="s">
        <v>35</v>
      </c>
      <c r="B223" s="31">
        <v>66.2</v>
      </c>
      <c r="C223" s="24">
        <v>58.15</v>
      </c>
      <c r="D223" s="24">
        <v>50.23</v>
      </c>
      <c r="E223" s="24">
        <f t="shared" ref="E223:E225" si="140">2*((C223*D223)/(C223+D223))</f>
        <v>53.900618195238977</v>
      </c>
      <c r="F223" s="36">
        <v>6.0000000000000001E-3</v>
      </c>
      <c r="G223" s="31">
        <v>66.2</v>
      </c>
      <c r="H223" s="24">
        <v>33.1</v>
      </c>
      <c r="I223" s="32">
        <v>50</v>
      </c>
      <c r="J223" s="24">
        <f t="shared" ref="J223:J225" si="141">2*((H223*I223)/(H223+I223))</f>
        <v>39.831528279181711</v>
      </c>
      <c r="K223" s="36">
        <v>0</v>
      </c>
      <c r="L223" s="31">
        <v>65.52</v>
      </c>
      <c r="M223" s="24">
        <v>55.77</v>
      </c>
      <c r="N223" s="24">
        <v>51.53</v>
      </c>
      <c r="O223" s="24">
        <f>2*((M223*N223)/(M223+N223))</f>
        <v>53.566227399813606</v>
      </c>
      <c r="P223" s="36">
        <v>3.7999999999999999E-2</v>
      </c>
    </row>
    <row r="224" spans="1:20" x14ac:dyDescent="0.3">
      <c r="A224" s="12" t="s">
        <v>36</v>
      </c>
      <c r="B224" s="31">
        <v>56.87</v>
      </c>
      <c r="C224" s="24">
        <v>46.92</v>
      </c>
      <c r="D224" s="24">
        <v>49.92</v>
      </c>
      <c r="E224" s="24">
        <f t="shared" si="140"/>
        <v>48.373531598513011</v>
      </c>
      <c r="F224" s="36">
        <v>-2E-3</v>
      </c>
      <c r="G224" s="31">
        <v>57.55</v>
      </c>
      <c r="H224" s="24">
        <v>60.38</v>
      </c>
      <c r="I224" s="32">
        <v>50.81</v>
      </c>
      <c r="J224" s="24">
        <f t="shared" si="141"/>
        <v>55.183160356147141</v>
      </c>
      <c r="K224" s="36">
        <v>1.7999999999999999E-2</v>
      </c>
      <c r="L224" s="31">
        <v>58.23</v>
      </c>
      <c r="M224" s="24">
        <v>56.55</v>
      </c>
      <c r="N224" s="32">
        <v>53.27</v>
      </c>
      <c r="O224" s="24">
        <f t="shared" ref="O224:O225" si="142">2*((M224*N224)/(M224+N224))</f>
        <v>54.86101802950283</v>
      </c>
      <c r="P224" s="36">
        <v>7.0999999999999994E-2</v>
      </c>
    </row>
    <row r="225" spans="1:16" ht="15" thickBot="1" x14ac:dyDescent="0.35">
      <c r="A225" s="13" t="s">
        <v>37</v>
      </c>
      <c r="B225" s="33">
        <v>100</v>
      </c>
      <c r="C225" s="25">
        <v>50</v>
      </c>
      <c r="D225" s="25">
        <v>50</v>
      </c>
      <c r="E225" s="25">
        <f t="shared" si="140"/>
        <v>50</v>
      </c>
      <c r="F225" s="37" t="s">
        <v>38</v>
      </c>
      <c r="G225" s="33">
        <v>100</v>
      </c>
      <c r="H225" s="25">
        <v>50</v>
      </c>
      <c r="I225" s="25">
        <v>50</v>
      </c>
      <c r="J225" s="25">
        <f t="shared" si="141"/>
        <v>50</v>
      </c>
      <c r="K225" s="37" t="s">
        <v>38</v>
      </c>
      <c r="L225" s="33">
        <v>100</v>
      </c>
      <c r="M225" s="25">
        <v>50</v>
      </c>
      <c r="N225" s="25">
        <v>50</v>
      </c>
      <c r="O225" s="25">
        <f t="shared" si="142"/>
        <v>50</v>
      </c>
      <c r="P225" s="37" t="s">
        <v>38</v>
      </c>
    </row>
  </sheetData>
  <sheetProtection sheet="1" objects="1" scenarios="1"/>
  <mergeCells count="74">
    <mergeCell ref="A8:A9"/>
    <mergeCell ref="B8:F8"/>
    <mergeCell ref="G8:K8"/>
    <mergeCell ref="L8:P8"/>
    <mergeCell ref="A22:A23"/>
    <mergeCell ref="B22:F22"/>
    <mergeCell ref="G22:K22"/>
    <mergeCell ref="L22:P22"/>
    <mergeCell ref="A36:A37"/>
    <mergeCell ref="B36:F36"/>
    <mergeCell ref="G36:K36"/>
    <mergeCell ref="L36:P36"/>
    <mergeCell ref="A50:A51"/>
    <mergeCell ref="B50:F50"/>
    <mergeCell ref="G50:K50"/>
    <mergeCell ref="L50:P50"/>
    <mergeCell ref="A64:A65"/>
    <mergeCell ref="B64:F64"/>
    <mergeCell ref="G64:K64"/>
    <mergeCell ref="L64:P64"/>
    <mergeCell ref="A78:A79"/>
    <mergeCell ref="B78:F78"/>
    <mergeCell ref="G78:K78"/>
    <mergeCell ref="L78:P78"/>
    <mergeCell ref="A92:A93"/>
    <mergeCell ref="B92:F92"/>
    <mergeCell ref="G92:K92"/>
    <mergeCell ref="L92:P92"/>
    <mergeCell ref="A106:A107"/>
    <mergeCell ref="B106:F106"/>
    <mergeCell ref="G106:K106"/>
    <mergeCell ref="L106:P106"/>
    <mergeCell ref="A120:A121"/>
    <mergeCell ref="B120:F120"/>
    <mergeCell ref="G120:K120"/>
    <mergeCell ref="L120:P120"/>
    <mergeCell ref="A134:A135"/>
    <mergeCell ref="B134:F134"/>
    <mergeCell ref="G134:K134"/>
    <mergeCell ref="L134:P134"/>
    <mergeCell ref="A148:A149"/>
    <mergeCell ref="B148:F148"/>
    <mergeCell ref="G148:K148"/>
    <mergeCell ref="L148:P148"/>
    <mergeCell ref="A163:A164"/>
    <mergeCell ref="B163:F163"/>
    <mergeCell ref="G163:K163"/>
    <mergeCell ref="L163:P163"/>
    <mergeCell ref="A177:A178"/>
    <mergeCell ref="B177:F177"/>
    <mergeCell ref="G177:K177"/>
    <mergeCell ref="L177:P177"/>
    <mergeCell ref="A186:B186"/>
    <mergeCell ref="H186:I186"/>
    <mergeCell ref="O186:P186"/>
    <mergeCell ref="A187:A189"/>
    <mergeCell ref="H187:H191"/>
    <mergeCell ref="O187:O191"/>
    <mergeCell ref="A190:A192"/>
    <mergeCell ref="H192:H196"/>
    <mergeCell ref="O192:O196"/>
    <mergeCell ref="A193:A195"/>
    <mergeCell ref="A196:A198"/>
    <mergeCell ref="H197:H201"/>
    <mergeCell ref="O197:O201"/>
    <mergeCell ref="A199:A201"/>
    <mergeCell ref="O202:O206"/>
    <mergeCell ref="H207:H211"/>
    <mergeCell ref="O207:O211"/>
    <mergeCell ref="A220:A221"/>
    <mergeCell ref="B220:F220"/>
    <mergeCell ref="G220:K220"/>
    <mergeCell ref="L220:P220"/>
    <mergeCell ref="H202:H20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5"/>
  <sheetViews>
    <sheetView workbookViewId="0">
      <selection activeCell="P222" activeCellId="27" sqref="K10:K13 P10:P13 P24:P27 K24:K27 K38:K41 P38:P41 P52:P55 K52:K55 K66:K69 P66:P69 P80:P83 K80:K83 K94:K97 P94:P97 P108:P111 K108:K111 K122:K125 P122:P125 P136:P139 K136:K139 K150:K153 P150:P153 P165:P168 K165:K168 K179:K182 P179:P182 K222:K225 P222:P225"/>
    </sheetView>
  </sheetViews>
  <sheetFormatPr defaultRowHeight="14.4" x14ac:dyDescent="0.3"/>
  <cols>
    <col min="1" max="20" width="7.6640625" customWidth="1"/>
  </cols>
  <sheetData>
    <row r="1" spans="1:16" s="14" customFormat="1" x14ac:dyDescent="0.3"/>
    <row r="2" spans="1:16" x14ac:dyDescent="0.3">
      <c r="A2" t="s">
        <v>14</v>
      </c>
      <c r="B2" t="s">
        <v>1</v>
      </c>
      <c r="C2" t="s">
        <v>2</v>
      </c>
    </row>
    <row r="3" spans="1:16" x14ac:dyDescent="0.3">
      <c r="A3" t="s">
        <v>34</v>
      </c>
      <c r="B3">
        <v>20139</v>
      </c>
      <c r="C3">
        <v>2981</v>
      </c>
      <c r="D3">
        <f>B3+C3</f>
        <v>23120</v>
      </c>
      <c r="E3" s="16">
        <f>(B3/D3)</f>
        <v>0.87106401384083043</v>
      </c>
      <c r="F3" s="16">
        <f>C3/D3</f>
        <v>0.12893598615916954</v>
      </c>
    </row>
    <row r="4" spans="1:16" x14ac:dyDescent="0.3">
      <c r="A4" t="s">
        <v>35</v>
      </c>
      <c r="B4">
        <f>6946+5970</f>
        <v>12916</v>
      </c>
      <c r="C4">
        <f>5104+5100</f>
        <v>10204</v>
      </c>
      <c r="D4">
        <f t="shared" ref="D4:D6" si="0">B4+C4</f>
        <v>23120</v>
      </c>
      <c r="E4" s="16">
        <f>(B4/D4)</f>
        <v>0.55865051903114182</v>
      </c>
      <c r="F4" s="16">
        <f t="shared" ref="F4:F6" si="1">C4/D4</f>
        <v>0.44134948096885812</v>
      </c>
    </row>
    <row r="5" spans="1:16" x14ac:dyDescent="0.3">
      <c r="A5" t="s">
        <v>36</v>
      </c>
      <c r="B5">
        <f>7688+4965</f>
        <v>12653</v>
      </c>
      <c r="C5">
        <f>2764+7703</f>
        <v>10467</v>
      </c>
      <c r="D5">
        <f t="shared" si="0"/>
        <v>23120</v>
      </c>
      <c r="E5" s="16">
        <f t="shared" ref="E5:E6" si="2">(B5/D5)</f>
        <v>0.5472750865051903</v>
      </c>
      <c r="F5" s="16">
        <f t="shared" si="1"/>
        <v>0.4527249134948097</v>
      </c>
    </row>
    <row r="6" spans="1:16" x14ac:dyDescent="0.3">
      <c r="A6" t="s">
        <v>37</v>
      </c>
      <c r="B6">
        <v>22925</v>
      </c>
      <c r="C6">
        <v>195</v>
      </c>
      <c r="D6">
        <f t="shared" si="0"/>
        <v>23120</v>
      </c>
      <c r="E6" s="16">
        <f t="shared" si="2"/>
        <v>0.9915657439446367</v>
      </c>
      <c r="F6" s="16">
        <f t="shared" si="1"/>
        <v>8.4342560553633227E-3</v>
      </c>
    </row>
    <row r="7" spans="1:16" ht="15" thickBot="1" x14ac:dyDescent="0.35"/>
    <row r="8" spans="1:16" ht="15" thickBot="1" x14ac:dyDescent="0.35">
      <c r="A8" s="61"/>
      <c r="B8" s="63" t="s">
        <v>12</v>
      </c>
      <c r="C8" s="64"/>
      <c r="D8" s="64"/>
      <c r="E8" s="64"/>
      <c r="F8" s="65"/>
      <c r="G8" s="63" t="s">
        <v>11</v>
      </c>
      <c r="H8" s="64"/>
      <c r="I8" s="64"/>
      <c r="J8" s="64"/>
      <c r="K8" s="65"/>
      <c r="L8" s="63" t="s">
        <v>13</v>
      </c>
      <c r="M8" s="64"/>
      <c r="N8" s="64"/>
      <c r="O8" s="64"/>
      <c r="P8" s="65"/>
    </row>
    <row r="9" spans="1:16" ht="15" thickBot="1" x14ac:dyDescent="0.35">
      <c r="A9" s="62"/>
      <c r="B9" s="9" t="s">
        <v>6</v>
      </c>
      <c r="C9" s="10" t="s">
        <v>7</v>
      </c>
      <c r="D9" s="7" t="s">
        <v>8</v>
      </c>
      <c r="E9" s="7" t="s">
        <v>9</v>
      </c>
      <c r="F9" s="8" t="s">
        <v>10</v>
      </c>
      <c r="G9" s="9" t="s">
        <v>6</v>
      </c>
      <c r="H9" s="10" t="s">
        <v>7</v>
      </c>
      <c r="I9" s="7" t="s">
        <v>8</v>
      </c>
      <c r="J9" s="7" t="s">
        <v>9</v>
      </c>
      <c r="K9" s="8" t="s">
        <v>10</v>
      </c>
      <c r="L9" s="9" t="s">
        <v>6</v>
      </c>
      <c r="M9" s="10" t="s">
        <v>7</v>
      </c>
      <c r="N9" s="7" t="s">
        <v>8</v>
      </c>
      <c r="O9" s="7" t="s">
        <v>9</v>
      </c>
      <c r="P9" s="8" t="s">
        <v>10</v>
      </c>
    </row>
    <row r="10" spans="1:16" x14ac:dyDescent="0.3">
      <c r="A10" s="11" t="s">
        <v>34</v>
      </c>
      <c r="B10" s="1"/>
      <c r="C10" s="2"/>
      <c r="D10" s="3"/>
      <c r="E10" s="24" t="e">
        <f>2*((C10*D10)/(C10+D10))</f>
        <v>#DIV/0!</v>
      </c>
      <c r="F10" s="4"/>
      <c r="G10" s="29">
        <v>87.11</v>
      </c>
      <c r="H10" s="30">
        <v>43.55</v>
      </c>
      <c r="I10" s="24">
        <v>50</v>
      </c>
      <c r="J10" s="24">
        <f>2*((H10*I10)/(H10+I10))</f>
        <v>46.552645644040624</v>
      </c>
      <c r="K10" s="36">
        <v>0</v>
      </c>
      <c r="L10" s="31">
        <v>87.09</v>
      </c>
      <c r="M10" s="24">
        <v>43.55</v>
      </c>
      <c r="N10" s="24">
        <v>49.99</v>
      </c>
      <c r="O10" s="24">
        <f>2*((M10*N10)/(M10+N10))</f>
        <v>46.548310883044692</v>
      </c>
      <c r="P10" s="36">
        <v>0</v>
      </c>
    </row>
    <row r="11" spans="1:16" x14ac:dyDescent="0.3">
      <c r="A11" s="12" t="s">
        <v>35</v>
      </c>
      <c r="B11" s="5"/>
      <c r="C11" s="3"/>
      <c r="D11" s="3"/>
      <c r="E11" s="24" t="e">
        <f t="shared" ref="E11:E13" si="3">2*((C11*D11)/(C11+D11))</f>
        <v>#DIV/0!</v>
      </c>
      <c r="F11" s="4"/>
      <c r="G11" s="29">
        <v>52.1</v>
      </c>
      <c r="H11" s="30">
        <v>51.86</v>
      </c>
      <c r="I11" s="24">
        <v>51.88</v>
      </c>
      <c r="J11" s="24">
        <f t="shared" ref="J11:J13" si="4">2*((H11*I11)/(H11+I11))</f>
        <v>51.869998072103328</v>
      </c>
      <c r="K11" s="36">
        <v>3.6999999999999998E-2</v>
      </c>
      <c r="L11" s="31">
        <v>48.77</v>
      </c>
      <c r="M11" s="24">
        <v>47.63</v>
      </c>
      <c r="N11" s="24">
        <v>47.67</v>
      </c>
      <c r="O11" s="24">
        <f t="shared" ref="O11:O13" si="5">2*((M11*N11)/(M11+N11))</f>
        <v>47.649991605456449</v>
      </c>
      <c r="P11" s="36">
        <v>-4.7E-2</v>
      </c>
    </row>
    <row r="12" spans="1:16" x14ac:dyDescent="0.3">
      <c r="A12" s="12" t="s">
        <v>36</v>
      </c>
      <c r="B12" s="5"/>
      <c r="C12" s="3"/>
      <c r="D12" s="3"/>
      <c r="E12" s="24" t="e">
        <f t="shared" si="3"/>
        <v>#DIV/0!</v>
      </c>
      <c r="F12" s="4"/>
      <c r="G12" s="31">
        <v>66.569999999999993</v>
      </c>
      <c r="H12" s="24">
        <v>67.180000000000007</v>
      </c>
      <c r="I12" s="24">
        <v>67.180000000000007</v>
      </c>
      <c r="J12" s="24">
        <f t="shared" si="4"/>
        <v>67.180000000000007</v>
      </c>
      <c r="K12" s="36">
        <v>0.33700000000000002</v>
      </c>
      <c r="L12" s="31">
        <v>49.4</v>
      </c>
      <c r="M12" s="24">
        <v>51.94</v>
      </c>
      <c r="N12" s="24">
        <v>51.56</v>
      </c>
      <c r="O12" s="24">
        <f t="shared" si="5"/>
        <v>51.749302415458942</v>
      </c>
      <c r="P12" s="36">
        <v>0.03</v>
      </c>
    </row>
    <row r="13" spans="1:16" ht="15" thickBot="1" x14ac:dyDescent="0.35">
      <c r="A13" s="13" t="s">
        <v>37</v>
      </c>
      <c r="B13" s="6"/>
      <c r="C13" s="7"/>
      <c r="D13" s="7"/>
      <c r="E13" s="25" t="e">
        <f t="shared" si="3"/>
        <v>#DIV/0!</v>
      </c>
      <c r="F13" s="8"/>
      <c r="G13" s="33">
        <v>99.16</v>
      </c>
      <c r="H13" s="25">
        <v>49.58</v>
      </c>
      <c r="I13" s="25">
        <v>50</v>
      </c>
      <c r="J13" s="25">
        <f t="shared" si="4"/>
        <v>49.789114279975898</v>
      </c>
      <c r="K13" s="37">
        <v>0</v>
      </c>
      <c r="L13" s="33">
        <v>99.16</v>
      </c>
      <c r="M13" s="25">
        <v>49.58</v>
      </c>
      <c r="N13" s="25">
        <v>50</v>
      </c>
      <c r="O13" s="25">
        <f t="shared" si="5"/>
        <v>49.789114279975898</v>
      </c>
      <c r="P13" s="37">
        <v>0</v>
      </c>
    </row>
    <row r="15" spans="1:16" s="14" customFormat="1" x14ac:dyDescent="0.3"/>
    <row r="16" spans="1:16" x14ac:dyDescent="0.3">
      <c r="A16" t="s">
        <v>15</v>
      </c>
      <c r="B16" t="s">
        <v>1</v>
      </c>
      <c r="C16" t="s">
        <v>2</v>
      </c>
    </row>
    <row r="17" spans="1:16" x14ac:dyDescent="0.3">
      <c r="A17" t="s">
        <v>34</v>
      </c>
      <c r="B17">
        <f>17536</f>
        <v>17536</v>
      </c>
      <c r="C17">
        <f>4307</f>
        <v>4307</v>
      </c>
      <c r="D17">
        <f>B17+C17</f>
        <v>21843</v>
      </c>
      <c r="E17" s="16">
        <f>(B17/D17)</f>
        <v>0.80282012544064463</v>
      </c>
      <c r="F17" s="16">
        <f>C17/D17</f>
        <v>0.1971798745593554</v>
      </c>
    </row>
    <row r="18" spans="1:16" x14ac:dyDescent="0.3">
      <c r="A18" t="s">
        <v>35</v>
      </c>
      <c r="B18">
        <f>13506+1289</f>
        <v>14795</v>
      </c>
      <c r="C18">
        <f>5638+1410</f>
        <v>7048</v>
      </c>
      <c r="D18">
        <f t="shared" ref="D18:D20" si="6">B18+C18</f>
        <v>21843</v>
      </c>
      <c r="E18" s="16">
        <f t="shared" ref="E18:E20" si="7">(B18/D18)</f>
        <v>0.67733369958339051</v>
      </c>
      <c r="F18" s="16">
        <f t="shared" ref="F18:F20" si="8">C18/D18</f>
        <v>0.32266630041660943</v>
      </c>
    </row>
    <row r="19" spans="1:16" x14ac:dyDescent="0.3">
      <c r="A19" t="s">
        <v>36</v>
      </c>
      <c r="B19">
        <f>1744+6559</f>
        <v>8303</v>
      </c>
      <c r="C19">
        <f>4750+8790</f>
        <v>13540</v>
      </c>
      <c r="D19">
        <f t="shared" si="6"/>
        <v>21843</v>
      </c>
      <c r="E19" s="16">
        <f t="shared" si="7"/>
        <v>0.38012177814402781</v>
      </c>
      <c r="F19" s="16">
        <f t="shared" si="8"/>
        <v>0.61987822185597219</v>
      </c>
    </row>
    <row r="20" spans="1:16" x14ac:dyDescent="0.3">
      <c r="A20" t="s">
        <v>37</v>
      </c>
      <c r="B20">
        <f>21083</f>
        <v>21083</v>
      </c>
      <c r="C20">
        <f>760</f>
        <v>760</v>
      </c>
      <c r="D20">
        <f t="shared" si="6"/>
        <v>21843</v>
      </c>
      <c r="E20" s="16">
        <f t="shared" si="7"/>
        <v>0.9652062445634757</v>
      </c>
      <c r="F20" s="16">
        <f t="shared" si="8"/>
        <v>3.4793755436524285E-2</v>
      </c>
    </row>
    <row r="21" spans="1:16" ht="15" thickBot="1" x14ac:dyDescent="0.35"/>
    <row r="22" spans="1:16" ht="15" thickBot="1" x14ac:dyDescent="0.35">
      <c r="A22" s="61"/>
      <c r="B22" s="63" t="s">
        <v>12</v>
      </c>
      <c r="C22" s="64"/>
      <c r="D22" s="64"/>
      <c r="E22" s="64"/>
      <c r="F22" s="65"/>
      <c r="G22" s="63" t="s">
        <v>11</v>
      </c>
      <c r="H22" s="64"/>
      <c r="I22" s="64"/>
      <c r="J22" s="64"/>
      <c r="K22" s="65"/>
      <c r="L22" s="63" t="s">
        <v>13</v>
      </c>
      <c r="M22" s="64"/>
      <c r="N22" s="64"/>
      <c r="O22" s="64"/>
      <c r="P22" s="65"/>
    </row>
    <row r="23" spans="1:16" ht="15" thickBot="1" x14ac:dyDescent="0.35">
      <c r="A23" s="62"/>
      <c r="B23" s="9" t="s">
        <v>6</v>
      </c>
      <c r="C23" s="10" t="s">
        <v>7</v>
      </c>
      <c r="D23" s="7" t="s">
        <v>8</v>
      </c>
      <c r="E23" s="7" t="s">
        <v>9</v>
      </c>
      <c r="F23" s="8" t="s">
        <v>10</v>
      </c>
      <c r="G23" s="9" t="s">
        <v>6</v>
      </c>
      <c r="H23" s="10" t="s">
        <v>7</v>
      </c>
      <c r="I23" s="7" t="s">
        <v>8</v>
      </c>
      <c r="J23" s="7" t="s">
        <v>9</v>
      </c>
      <c r="K23" s="8" t="s">
        <v>10</v>
      </c>
      <c r="L23" s="9" t="s">
        <v>6</v>
      </c>
      <c r="M23" s="10" t="s">
        <v>7</v>
      </c>
      <c r="N23" s="7" t="s">
        <v>8</v>
      </c>
      <c r="O23" s="7" t="s">
        <v>9</v>
      </c>
      <c r="P23" s="8" t="s">
        <v>10</v>
      </c>
    </row>
    <row r="24" spans="1:16" x14ac:dyDescent="0.3">
      <c r="A24" s="11" t="s">
        <v>34</v>
      </c>
      <c r="B24" s="1"/>
      <c r="C24" s="2"/>
      <c r="D24" s="3"/>
      <c r="E24" s="24" t="e">
        <f>2*((C24*D24)/(C24+D24))</f>
        <v>#DIV/0!</v>
      </c>
      <c r="F24" s="4"/>
      <c r="G24" s="31">
        <v>80.28</v>
      </c>
      <c r="H24" s="24">
        <v>40.14</v>
      </c>
      <c r="I24" s="24">
        <v>50</v>
      </c>
      <c r="J24" s="24">
        <f>2*((H24*I24)/(H24+I24))</f>
        <v>44.530729975593523</v>
      </c>
      <c r="K24" s="36">
        <v>0</v>
      </c>
      <c r="L24" s="31">
        <v>71.95</v>
      </c>
      <c r="M24" s="24">
        <v>43.51</v>
      </c>
      <c r="N24" s="24">
        <v>46.34</v>
      </c>
      <c r="O24" s="24">
        <f>2*((M24*N24)/(M24+N24))</f>
        <v>44.880431830829167</v>
      </c>
      <c r="P24" s="36">
        <v>-0.09</v>
      </c>
    </row>
    <row r="25" spans="1:16" x14ac:dyDescent="0.3">
      <c r="A25" s="12" t="s">
        <v>35</v>
      </c>
      <c r="B25" s="5"/>
      <c r="C25" s="3"/>
      <c r="D25" s="3"/>
      <c r="E25" s="24" t="e">
        <f t="shared" ref="E25:E27" si="9">2*((C25*D25)/(C25+D25))</f>
        <v>#DIV/0!</v>
      </c>
      <c r="F25" s="4"/>
      <c r="G25" s="31">
        <v>68.290000000000006</v>
      </c>
      <c r="H25" s="24">
        <v>61.4</v>
      </c>
      <c r="I25" s="24">
        <v>55.65</v>
      </c>
      <c r="J25" s="24">
        <f t="shared" ref="J25:J27" si="10">2*((H25*I25)/(H25+I25))</f>
        <v>58.383767620674924</v>
      </c>
      <c r="K25" s="36">
        <v>0.13500000000000001</v>
      </c>
      <c r="L25" s="31">
        <v>54.51</v>
      </c>
      <c r="M25" s="24">
        <v>50.1</v>
      </c>
      <c r="N25" s="24">
        <v>50.11</v>
      </c>
      <c r="O25" s="24">
        <f t="shared" ref="O25:O27" si="11">2*((M25*N25)/(M25+N25))</f>
        <v>50.104999501047793</v>
      </c>
      <c r="P25" s="36">
        <v>2E-3</v>
      </c>
    </row>
    <row r="26" spans="1:16" x14ac:dyDescent="0.3">
      <c r="A26" s="12" t="s">
        <v>36</v>
      </c>
      <c r="B26" s="5"/>
      <c r="C26" s="3"/>
      <c r="D26" s="3"/>
      <c r="E26" s="24" t="e">
        <f t="shared" si="9"/>
        <v>#DIV/0!</v>
      </c>
      <c r="F26" s="4"/>
      <c r="G26" s="31">
        <v>48.23</v>
      </c>
      <c r="H26" s="24">
        <v>42.06</v>
      </c>
      <c r="I26" s="24">
        <v>42.96</v>
      </c>
      <c r="J26" s="24">
        <f t="shared" si="10"/>
        <v>42.505236414961189</v>
      </c>
      <c r="K26" s="36">
        <v>-0.14699999999999999</v>
      </c>
      <c r="L26" s="31">
        <v>54.16</v>
      </c>
      <c r="M26" s="24">
        <v>44.46</v>
      </c>
      <c r="N26" s="24">
        <v>46.44</v>
      </c>
      <c r="O26" s="24">
        <f t="shared" si="11"/>
        <v>45.428435643564356</v>
      </c>
      <c r="P26" s="36">
        <v>-7.9000000000000001E-2</v>
      </c>
    </row>
    <row r="27" spans="1:16" ht="15" thickBot="1" x14ac:dyDescent="0.35">
      <c r="A27" s="13" t="s">
        <v>37</v>
      </c>
      <c r="B27" s="6"/>
      <c r="C27" s="7"/>
      <c r="D27" s="7"/>
      <c r="E27" s="25" t="e">
        <f t="shared" si="9"/>
        <v>#DIV/0!</v>
      </c>
      <c r="F27" s="8"/>
      <c r="G27" s="33">
        <v>96.52</v>
      </c>
      <c r="H27" s="25">
        <v>48.26</v>
      </c>
      <c r="I27" s="25">
        <v>50</v>
      </c>
      <c r="J27" s="25">
        <f t="shared" si="10"/>
        <v>49.114593934459599</v>
      </c>
      <c r="K27" s="37">
        <v>0</v>
      </c>
      <c r="L27" s="33">
        <v>96.52</v>
      </c>
      <c r="M27" s="25">
        <v>48.26</v>
      </c>
      <c r="N27" s="25">
        <v>50</v>
      </c>
      <c r="O27" s="25">
        <f t="shared" si="11"/>
        <v>49.114593934459599</v>
      </c>
      <c r="P27" s="37">
        <v>0</v>
      </c>
    </row>
    <row r="29" spans="1:16" s="14" customFormat="1" x14ac:dyDescent="0.3"/>
    <row r="30" spans="1:16" x14ac:dyDescent="0.3">
      <c r="A30" t="s">
        <v>16</v>
      </c>
      <c r="B30" t="s">
        <v>1</v>
      </c>
      <c r="C30" t="s">
        <v>2</v>
      </c>
    </row>
    <row r="31" spans="1:16" x14ac:dyDescent="0.3">
      <c r="A31" t="s">
        <v>34</v>
      </c>
      <c r="B31">
        <f>7780</f>
        <v>7780</v>
      </c>
      <c r="C31">
        <f>775</f>
        <v>775</v>
      </c>
      <c r="D31">
        <f>B31+C31</f>
        <v>8555</v>
      </c>
      <c r="E31" s="16">
        <f>(B31/D31)</f>
        <v>0.90940970192869663</v>
      </c>
      <c r="F31" s="16">
        <f>C31/D31</f>
        <v>9.0590298071303338E-2</v>
      </c>
    </row>
    <row r="32" spans="1:16" x14ac:dyDescent="0.3">
      <c r="A32" t="s">
        <v>35</v>
      </c>
      <c r="B32">
        <f>342+4624</f>
        <v>4966</v>
      </c>
      <c r="C32">
        <f>2298+1291</f>
        <v>3589</v>
      </c>
      <c r="D32">
        <f t="shared" ref="D32:D34" si="12">B32+C32</f>
        <v>8555</v>
      </c>
      <c r="E32" s="16">
        <f t="shared" ref="E32:E34" si="13">(B32/D32)</f>
        <v>0.58047925189947402</v>
      </c>
      <c r="F32" s="16">
        <f>C32/D32</f>
        <v>0.41952074810052603</v>
      </c>
    </row>
    <row r="33" spans="1:16" x14ac:dyDescent="0.3">
      <c r="A33" t="s">
        <v>36</v>
      </c>
      <c r="B33">
        <f>4267+55</f>
        <v>4322</v>
      </c>
      <c r="C33">
        <f>4227+6</f>
        <v>4233</v>
      </c>
      <c r="D33">
        <f t="shared" si="12"/>
        <v>8555</v>
      </c>
      <c r="E33" s="16">
        <f t="shared" si="13"/>
        <v>0.50520163646990068</v>
      </c>
      <c r="F33" s="16">
        <f t="shared" ref="F33:F34" si="14">C33/D33</f>
        <v>0.49479836353009937</v>
      </c>
    </row>
    <row r="34" spans="1:16" x14ac:dyDescent="0.3">
      <c r="A34" t="s">
        <v>37</v>
      </c>
      <c r="B34">
        <f>7555</f>
        <v>7555</v>
      </c>
      <c r="C34">
        <f>1000</f>
        <v>1000</v>
      </c>
      <c r="D34">
        <f t="shared" si="12"/>
        <v>8555</v>
      </c>
      <c r="E34" s="16">
        <f t="shared" si="13"/>
        <v>0.88310929281122152</v>
      </c>
      <c r="F34" s="16">
        <f t="shared" si="14"/>
        <v>0.11689070718877849</v>
      </c>
    </row>
    <row r="35" spans="1:16" ht="15" thickBot="1" x14ac:dyDescent="0.35"/>
    <row r="36" spans="1:16" ht="15" thickBot="1" x14ac:dyDescent="0.35">
      <c r="A36" s="61"/>
      <c r="B36" s="63" t="s">
        <v>12</v>
      </c>
      <c r="C36" s="64"/>
      <c r="D36" s="64"/>
      <c r="E36" s="64"/>
      <c r="F36" s="65"/>
      <c r="G36" s="63" t="s">
        <v>11</v>
      </c>
      <c r="H36" s="64"/>
      <c r="I36" s="64"/>
      <c r="J36" s="64"/>
      <c r="K36" s="65"/>
      <c r="L36" s="63" t="s">
        <v>13</v>
      </c>
      <c r="M36" s="64"/>
      <c r="N36" s="64"/>
      <c r="O36" s="64"/>
      <c r="P36" s="65"/>
    </row>
    <row r="37" spans="1:16" ht="15" thickBot="1" x14ac:dyDescent="0.35">
      <c r="A37" s="62"/>
      <c r="B37" s="9" t="s">
        <v>6</v>
      </c>
      <c r="C37" s="10" t="s">
        <v>7</v>
      </c>
      <c r="D37" s="7" t="s">
        <v>8</v>
      </c>
      <c r="E37" s="7" t="s">
        <v>9</v>
      </c>
      <c r="F37" s="8" t="s">
        <v>10</v>
      </c>
      <c r="G37" s="9" t="s">
        <v>6</v>
      </c>
      <c r="H37" s="10" t="s">
        <v>7</v>
      </c>
      <c r="I37" s="7" t="s">
        <v>8</v>
      </c>
      <c r="J37" s="7" t="s">
        <v>9</v>
      </c>
      <c r="K37" s="8" t="s">
        <v>10</v>
      </c>
      <c r="L37" s="9" t="s">
        <v>6</v>
      </c>
      <c r="M37" s="10" t="s">
        <v>7</v>
      </c>
      <c r="N37" s="7" t="s">
        <v>8</v>
      </c>
      <c r="O37" s="7" t="s">
        <v>9</v>
      </c>
      <c r="P37" s="8" t="s">
        <v>10</v>
      </c>
    </row>
    <row r="38" spans="1:16" x14ac:dyDescent="0.3">
      <c r="A38" s="11" t="s">
        <v>34</v>
      </c>
      <c r="B38" s="1"/>
      <c r="C38" s="2"/>
      <c r="D38" s="3"/>
      <c r="E38" s="24" t="e">
        <f>2*((C38*D38)/(C38+D38))</f>
        <v>#DIV/0!</v>
      </c>
      <c r="F38" s="4"/>
      <c r="G38" s="31">
        <v>90.94</v>
      </c>
      <c r="H38" s="24">
        <v>45.47</v>
      </c>
      <c r="I38" s="24">
        <v>50</v>
      </c>
      <c r="J38" s="24">
        <f>2*((H38*I38)/(H38+I38))</f>
        <v>47.627526971823613</v>
      </c>
      <c r="K38" s="36">
        <v>0</v>
      </c>
      <c r="L38" s="31">
        <v>90.94</v>
      </c>
      <c r="M38" s="24">
        <v>45.47</v>
      </c>
      <c r="N38" s="24">
        <v>50</v>
      </c>
      <c r="O38" s="24">
        <f>2*((M38*N38)/(M38+N38))</f>
        <v>47.627526971823613</v>
      </c>
      <c r="P38" s="36">
        <v>0</v>
      </c>
    </row>
    <row r="39" spans="1:16" x14ac:dyDescent="0.3">
      <c r="A39" s="12" t="s">
        <v>35</v>
      </c>
      <c r="B39" s="5"/>
      <c r="C39" s="3"/>
      <c r="D39" s="3"/>
      <c r="E39" s="24" t="e">
        <f t="shared" ref="E39:E41" si="15">2*((C39*D39)/(C39+D39))</f>
        <v>#DIV/0!</v>
      </c>
      <c r="F39" s="4"/>
      <c r="G39" s="31">
        <v>19.09</v>
      </c>
      <c r="H39" s="24">
        <v>17.39</v>
      </c>
      <c r="I39" s="24">
        <v>21.43</v>
      </c>
      <c r="J39" s="24">
        <f t="shared" ref="J39:J41" si="16">2*((H39*I39)/(H39+I39))</f>
        <v>19.199778464708913</v>
      </c>
      <c r="K39" s="36">
        <v>-0.52400000000000002</v>
      </c>
      <c r="L39" s="31">
        <v>19.32</v>
      </c>
      <c r="M39" s="24">
        <v>17.75</v>
      </c>
      <c r="N39" s="24">
        <v>21.63</v>
      </c>
      <c r="O39" s="24">
        <f t="shared" ref="O39:O41" si="17">2*((M39*N39)/(M39+N39))</f>
        <v>19.498857287963435</v>
      </c>
      <c r="P39" s="36">
        <v>-0.52100000000000002</v>
      </c>
    </row>
    <row r="40" spans="1:16" x14ac:dyDescent="0.3">
      <c r="A40" s="12" t="s">
        <v>36</v>
      </c>
      <c r="B40" s="5"/>
      <c r="C40" s="3"/>
      <c r="D40" s="3"/>
      <c r="E40" s="24" t="e">
        <f t="shared" si="15"/>
        <v>#DIV/0!</v>
      </c>
      <c r="F40" s="4"/>
      <c r="G40" s="31">
        <v>49.95</v>
      </c>
      <c r="H40" s="24">
        <v>30.04</v>
      </c>
      <c r="I40" s="24">
        <v>49.43</v>
      </c>
      <c r="J40" s="24">
        <f t="shared" si="16"/>
        <v>37.369502957090724</v>
      </c>
      <c r="K40" s="36">
        <v>-1.0999999999999999E-2</v>
      </c>
      <c r="L40" s="31">
        <v>28.93</v>
      </c>
      <c r="M40" s="24">
        <v>23.87</v>
      </c>
      <c r="N40" s="24">
        <v>28.7</v>
      </c>
      <c r="O40" s="24">
        <f t="shared" si="17"/>
        <v>26.063115845539279</v>
      </c>
      <c r="P40" s="36">
        <v>-0.42799999999999999</v>
      </c>
    </row>
    <row r="41" spans="1:16" ht="15" thickBot="1" x14ac:dyDescent="0.35">
      <c r="A41" s="13" t="s">
        <v>37</v>
      </c>
      <c r="B41" s="6"/>
      <c r="C41" s="7"/>
      <c r="D41" s="7"/>
      <c r="E41" s="25" t="e">
        <f t="shared" si="15"/>
        <v>#DIV/0!</v>
      </c>
      <c r="F41" s="8"/>
      <c r="G41" s="33">
        <v>88.31</v>
      </c>
      <c r="H41" s="25">
        <v>44.16</v>
      </c>
      <c r="I41" s="25">
        <v>50</v>
      </c>
      <c r="J41" s="25">
        <f t="shared" si="16"/>
        <v>46.898895497026338</v>
      </c>
      <c r="K41" s="37">
        <v>0</v>
      </c>
      <c r="L41" s="33">
        <v>88.31</v>
      </c>
      <c r="M41" s="25">
        <v>44.16</v>
      </c>
      <c r="N41" s="25">
        <v>50</v>
      </c>
      <c r="O41" s="25">
        <f t="shared" si="17"/>
        <v>46.898895497026338</v>
      </c>
      <c r="P41" s="37">
        <v>0</v>
      </c>
    </row>
    <row r="43" spans="1:16" s="14" customFormat="1" x14ac:dyDescent="0.3"/>
    <row r="44" spans="1:16" x14ac:dyDescent="0.3">
      <c r="A44" t="s">
        <v>17</v>
      </c>
      <c r="B44" t="s">
        <v>1</v>
      </c>
      <c r="C44" t="s">
        <v>2</v>
      </c>
    </row>
    <row r="45" spans="1:16" x14ac:dyDescent="0.3">
      <c r="A45" t="s">
        <v>34</v>
      </c>
      <c r="B45">
        <f>7305</f>
        <v>7305</v>
      </c>
      <c r="C45">
        <f>1109</f>
        <v>1109</v>
      </c>
      <c r="D45">
        <f>B45+C45</f>
        <v>8414</v>
      </c>
      <c r="E45" s="16">
        <f>(B45/D45)</f>
        <v>0.86819586403613025</v>
      </c>
      <c r="F45" s="16">
        <f>C45/D45</f>
        <v>0.13180413596386975</v>
      </c>
    </row>
    <row r="46" spans="1:16" x14ac:dyDescent="0.3">
      <c r="A46" t="s">
        <v>35</v>
      </c>
      <c r="B46">
        <f>1135+4261</f>
        <v>5396</v>
      </c>
      <c r="C46">
        <f>1337+1681</f>
        <v>3018</v>
      </c>
      <c r="D46">
        <f t="shared" ref="D46:D48" si="18">B46+C46</f>
        <v>8414</v>
      </c>
      <c r="E46" s="16">
        <f t="shared" ref="E46:E48" si="19">(B46/D46)</f>
        <v>0.64131209888281437</v>
      </c>
      <c r="F46" s="16">
        <f t="shared" ref="F46:F48" si="20">C46/D46</f>
        <v>0.35868790111718563</v>
      </c>
    </row>
    <row r="47" spans="1:16" x14ac:dyDescent="0.3">
      <c r="A47" t="s">
        <v>36</v>
      </c>
      <c r="B47">
        <f>1840+1690</f>
        <v>3530</v>
      </c>
      <c r="C47">
        <f>4102+782</f>
        <v>4884</v>
      </c>
      <c r="D47">
        <f t="shared" si="18"/>
        <v>8414</v>
      </c>
      <c r="E47" s="16">
        <f t="shared" si="19"/>
        <v>0.41953886379843119</v>
      </c>
      <c r="F47" s="16">
        <f t="shared" si="20"/>
        <v>0.58046113620156881</v>
      </c>
    </row>
    <row r="48" spans="1:16" x14ac:dyDescent="0.3">
      <c r="A48" t="s">
        <v>37</v>
      </c>
      <c r="B48">
        <f>8377</f>
        <v>8377</v>
      </c>
      <c r="C48">
        <f>37</f>
        <v>37</v>
      </c>
      <c r="D48">
        <f t="shared" si="18"/>
        <v>8414</v>
      </c>
      <c r="E48" s="16">
        <f t="shared" si="19"/>
        <v>0.99560256714998807</v>
      </c>
      <c r="F48" s="16">
        <f t="shared" si="20"/>
        <v>4.3974328500118853E-3</v>
      </c>
    </row>
    <row r="49" spans="1:16" ht="15" thickBot="1" x14ac:dyDescent="0.35"/>
    <row r="50" spans="1:16" ht="15" thickBot="1" x14ac:dyDescent="0.35">
      <c r="A50" s="61"/>
      <c r="B50" s="63" t="s">
        <v>12</v>
      </c>
      <c r="C50" s="64"/>
      <c r="D50" s="64"/>
      <c r="E50" s="64"/>
      <c r="F50" s="65"/>
      <c r="G50" s="63" t="s">
        <v>11</v>
      </c>
      <c r="H50" s="64"/>
      <c r="I50" s="64"/>
      <c r="J50" s="64"/>
      <c r="K50" s="65"/>
      <c r="L50" s="63" t="s">
        <v>13</v>
      </c>
      <c r="M50" s="64"/>
      <c r="N50" s="64"/>
      <c r="O50" s="64"/>
      <c r="P50" s="65"/>
    </row>
    <row r="51" spans="1:16" ht="15" thickBot="1" x14ac:dyDescent="0.35">
      <c r="A51" s="62"/>
      <c r="B51" s="9" t="s">
        <v>6</v>
      </c>
      <c r="C51" s="10" t="s">
        <v>7</v>
      </c>
      <c r="D51" s="7" t="s">
        <v>8</v>
      </c>
      <c r="E51" s="7" t="s">
        <v>9</v>
      </c>
      <c r="F51" s="8" t="s">
        <v>10</v>
      </c>
      <c r="G51" s="9" t="s">
        <v>6</v>
      </c>
      <c r="H51" s="10" t="s">
        <v>7</v>
      </c>
      <c r="I51" s="7" t="s">
        <v>8</v>
      </c>
      <c r="J51" s="7" t="s">
        <v>9</v>
      </c>
      <c r="K51" s="8" t="s">
        <v>10</v>
      </c>
      <c r="L51" s="9" t="s">
        <v>6</v>
      </c>
      <c r="M51" s="10" t="s">
        <v>7</v>
      </c>
      <c r="N51" s="7" t="s">
        <v>8</v>
      </c>
      <c r="O51" s="7" t="s">
        <v>9</v>
      </c>
      <c r="P51" s="8" t="s">
        <v>10</v>
      </c>
    </row>
    <row r="52" spans="1:16" x14ac:dyDescent="0.3">
      <c r="A52" s="11" t="s">
        <v>34</v>
      </c>
      <c r="B52" s="1"/>
      <c r="C52" s="2"/>
      <c r="D52" s="3"/>
      <c r="E52" s="24" t="e">
        <f>2*((C52*D52)/(C52+D52))</f>
        <v>#DIV/0!</v>
      </c>
      <c r="F52" s="4"/>
      <c r="G52" s="31">
        <v>86.82</v>
      </c>
      <c r="H52" s="24">
        <v>43.41</v>
      </c>
      <c r="I52" s="24">
        <v>50</v>
      </c>
      <c r="J52" s="24">
        <f t="shared" ref="J52:J55" si="21">2*((H52*I52)/(H52+I52))</f>
        <v>46.472540413231989</v>
      </c>
      <c r="K52" s="36">
        <v>0</v>
      </c>
      <c r="L52" s="31">
        <v>86.82</v>
      </c>
      <c r="M52" s="24">
        <v>43.41</v>
      </c>
      <c r="N52" s="24">
        <v>50</v>
      </c>
      <c r="O52" s="24">
        <f>2*((M52*N52)/(M52+N52))</f>
        <v>46.472540413231989</v>
      </c>
      <c r="P52" s="36">
        <v>0</v>
      </c>
    </row>
    <row r="53" spans="1:16" x14ac:dyDescent="0.3">
      <c r="A53" s="12" t="s">
        <v>35</v>
      </c>
      <c r="B53" s="5"/>
      <c r="C53" s="3"/>
      <c r="D53" s="3"/>
      <c r="E53" s="24" t="e">
        <f t="shared" ref="E53:E55" si="22">2*((C53*D53)/(C53+D53))</f>
        <v>#DIV/0!</v>
      </c>
      <c r="F53" s="4"/>
      <c r="G53" s="31">
        <v>33.47</v>
      </c>
      <c r="H53" s="24">
        <v>37.1</v>
      </c>
      <c r="I53" s="24">
        <v>38.369999999999997</v>
      </c>
      <c r="J53" s="24">
        <f t="shared" si="21"/>
        <v>37.724314297071686</v>
      </c>
      <c r="K53" s="36">
        <v>-0.192</v>
      </c>
      <c r="L53" s="31">
        <v>63.89</v>
      </c>
      <c r="M53" s="24">
        <v>47.05</v>
      </c>
      <c r="N53" s="24">
        <v>49.92</v>
      </c>
      <c r="O53" s="24">
        <f t="shared" ref="O53:O55" si="23">2*((M53*N53)/(M53+N53))</f>
        <v>48.44252861709807</v>
      </c>
      <c r="P53" s="36">
        <v>-2E-3</v>
      </c>
    </row>
    <row r="54" spans="1:16" x14ac:dyDescent="0.3">
      <c r="A54" s="12" t="s">
        <v>36</v>
      </c>
      <c r="B54" s="5"/>
      <c r="C54" s="3"/>
      <c r="D54" s="3"/>
      <c r="E54" s="24" t="e">
        <f t="shared" si="22"/>
        <v>#DIV/0!</v>
      </c>
      <c r="F54" s="4"/>
      <c r="G54" s="31">
        <v>31.16</v>
      </c>
      <c r="H54" s="24">
        <v>31.3</v>
      </c>
      <c r="I54" s="24">
        <v>34.07</v>
      </c>
      <c r="J54" s="24">
        <f t="shared" si="21"/>
        <v>32.626311763806029</v>
      </c>
      <c r="K54" s="36">
        <v>-0.29099999999999998</v>
      </c>
      <c r="L54" s="31">
        <v>39.770000000000003</v>
      </c>
      <c r="M54" s="24">
        <v>38.54</v>
      </c>
      <c r="N54" s="24">
        <v>38.43</v>
      </c>
      <c r="O54" s="24">
        <f t="shared" si="23"/>
        <v>38.484921397947254</v>
      </c>
      <c r="P54" s="36">
        <v>-0.23</v>
      </c>
    </row>
    <row r="55" spans="1:16" ht="15" thickBot="1" x14ac:dyDescent="0.35">
      <c r="A55" s="13" t="s">
        <v>37</v>
      </c>
      <c r="B55" s="6"/>
      <c r="C55" s="7"/>
      <c r="D55" s="7"/>
      <c r="E55" s="25" t="e">
        <f t="shared" si="22"/>
        <v>#DIV/0!</v>
      </c>
      <c r="F55" s="8"/>
      <c r="G55" s="33">
        <v>99.56</v>
      </c>
      <c r="H55" s="25">
        <v>49.78</v>
      </c>
      <c r="I55" s="25">
        <v>50</v>
      </c>
      <c r="J55" s="25">
        <f t="shared" si="21"/>
        <v>49.88975746642614</v>
      </c>
      <c r="K55" s="37">
        <v>0</v>
      </c>
      <c r="L55" s="33">
        <v>99.56</v>
      </c>
      <c r="M55" s="25">
        <v>49.78</v>
      </c>
      <c r="N55" s="25">
        <v>50</v>
      </c>
      <c r="O55" s="25">
        <f t="shared" si="23"/>
        <v>49.88975746642614</v>
      </c>
      <c r="P55" s="37">
        <v>0</v>
      </c>
    </row>
    <row r="57" spans="1:16" s="14" customFormat="1" x14ac:dyDescent="0.3"/>
    <row r="58" spans="1:16" x14ac:dyDescent="0.3">
      <c r="A58" t="s">
        <v>18</v>
      </c>
      <c r="B58" t="s">
        <v>1</v>
      </c>
      <c r="C58" t="s">
        <v>2</v>
      </c>
    </row>
    <row r="59" spans="1:16" x14ac:dyDescent="0.3">
      <c r="A59" t="s">
        <v>34</v>
      </c>
      <c r="B59">
        <f>7491</f>
        <v>7491</v>
      </c>
      <c r="C59">
        <f>1512</f>
        <v>1512</v>
      </c>
      <c r="D59">
        <f>B59+C59</f>
        <v>9003</v>
      </c>
      <c r="E59" s="16">
        <f>(B59/D59)</f>
        <v>0.8320559813395535</v>
      </c>
      <c r="F59" s="16">
        <f>C59/D59</f>
        <v>0.16794401866044653</v>
      </c>
    </row>
    <row r="60" spans="1:16" x14ac:dyDescent="0.3">
      <c r="A60" t="s">
        <v>35</v>
      </c>
      <c r="B60">
        <f>1290+2199</f>
        <v>3489</v>
      </c>
      <c r="C60">
        <f>4134+1380</f>
        <v>5514</v>
      </c>
      <c r="D60">
        <f t="shared" ref="D60:D62" si="24">B60+C60</f>
        <v>9003</v>
      </c>
      <c r="E60" s="16">
        <f t="shared" ref="E60:E62" si="25">(B60/D60)</f>
        <v>0.38753748750416528</v>
      </c>
      <c r="F60" s="16">
        <f t="shared" ref="F60:F62" si="26">C60/D60</f>
        <v>0.61246251249583472</v>
      </c>
    </row>
    <row r="61" spans="1:16" x14ac:dyDescent="0.3">
      <c r="A61" t="s">
        <v>36</v>
      </c>
      <c r="B61">
        <f>1956+2149</f>
        <v>4105</v>
      </c>
      <c r="C61">
        <f>3468+1430</f>
        <v>4898</v>
      </c>
      <c r="D61">
        <f t="shared" si="24"/>
        <v>9003</v>
      </c>
      <c r="E61" s="16">
        <f t="shared" si="25"/>
        <v>0.45595912473619904</v>
      </c>
      <c r="F61" s="16">
        <f t="shared" si="26"/>
        <v>0.54404087526380096</v>
      </c>
    </row>
    <row r="62" spans="1:16" x14ac:dyDescent="0.3">
      <c r="A62" t="s">
        <v>37</v>
      </c>
      <c r="B62">
        <f>8938</f>
        <v>8938</v>
      </c>
      <c r="C62">
        <f>65</f>
        <v>65</v>
      </c>
      <c r="D62">
        <f t="shared" si="24"/>
        <v>9003</v>
      </c>
      <c r="E62" s="16">
        <f t="shared" si="25"/>
        <v>0.99278018438298343</v>
      </c>
      <c r="F62" s="16">
        <f t="shared" si="26"/>
        <v>7.2198156170165499E-3</v>
      </c>
    </row>
    <row r="63" spans="1:16" ht="15" thickBot="1" x14ac:dyDescent="0.35"/>
    <row r="64" spans="1:16" ht="15" thickBot="1" x14ac:dyDescent="0.35">
      <c r="A64" s="61"/>
      <c r="B64" s="63" t="s">
        <v>12</v>
      </c>
      <c r="C64" s="64"/>
      <c r="D64" s="64"/>
      <c r="E64" s="64"/>
      <c r="F64" s="65"/>
      <c r="G64" s="63" t="s">
        <v>11</v>
      </c>
      <c r="H64" s="64"/>
      <c r="I64" s="64"/>
      <c r="J64" s="64"/>
      <c r="K64" s="65"/>
      <c r="L64" s="63" t="s">
        <v>13</v>
      </c>
      <c r="M64" s="64"/>
      <c r="N64" s="64"/>
      <c r="O64" s="64"/>
      <c r="P64" s="65"/>
    </row>
    <row r="65" spans="1:16" ht="15" thickBot="1" x14ac:dyDescent="0.35">
      <c r="A65" s="62"/>
      <c r="B65" s="9" t="s">
        <v>6</v>
      </c>
      <c r="C65" s="10" t="s">
        <v>7</v>
      </c>
      <c r="D65" s="7" t="s">
        <v>8</v>
      </c>
      <c r="E65" s="7" t="s">
        <v>9</v>
      </c>
      <c r="F65" s="8" t="s">
        <v>10</v>
      </c>
      <c r="G65" s="9" t="s">
        <v>6</v>
      </c>
      <c r="H65" s="10" t="s">
        <v>7</v>
      </c>
      <c r="I65" s="7" t="s">
        <v>8</v>
      </c>
      <c r="J65" s="7" t="s">
        <v>9</v>
      </c>
      <c r="K65" s="8" t="s">
        <v>10</v>
      </c>
      <c r="L65" s="9" t="s">
        <v>6</v>
      </c>
      <c r="M65" s="10" t="s">
        <v>7</v>
      </c>
      <c r="N65" s="7" t="s">
        <v>8</v>
      </c>
      <c r="O65" s="7" t="s">
        <v>9</v>
      </c>
      <c r="P65" s="8" t="s">
        <v>10</v>
      </c>
    </row>
    <row r="66" spans="1:16" x14ac:dyDescent="0.3">
      <c r="A66" s="11" t="s">
        <v>34</v>
      </c>
      <c r="B66" s="1"/>
      <c r="C66" s="2"/>
      <c r="D66" s="3"/>
      <c r="E66" s="24" t="e">
        <f>2*((C66*D66)/(C66+D66))</f>
        <v>#DIV/0!</v>
      </c>
      <c r="F66" s="4"/>
      <c r="G66" s="31">
        <v>83.21</v>
      </c>
      <c r="H66" s="24">
        <v>41.6</v>
      </c>
      <c r="I66" s="32">
        <v>50</v>
      </c>
      <c r="J66" s="24">
        <f>2*((H66*I66)/(H66+I66))</f>
        <v>45.414847161572055</v>
      </c>
      <c r="K66" s="36">
        <v>0</v>
      </c>
      <c r="L66" s="31">
        <v>83.21</v>
      </c>
      <c r="M66" s="24">
        <v>41.6</v>
      </c>
      <c r="N66" s="24">
        <v>50</v>
      </c>
      <c r="O66" s="24">
        <f>2*((M66*N66)/(M66+N66))</f>
        <v>45.414847161572055</v>
      </c>
      <c r="P66" s="36">
        <v>0</v>
      </c>
    </row>
    <row r="67" spans="1:16" x14ac:dyDescent="0.3">
      <c r="A67" s="12" t="s">
        <v>35</v>
      </c>
      <c r="B67" s="5"/>
      <c r="C67" s="3"/>
      <c r="D67" s="3"/>
      <c r="E67" s="24" t="e">
        <f t="shared" ref="E67:E69" si="27">2*((C67*D67)/(C67+D67))</f>
        <v>#DIV/0!</v>
      </c>
      <c r="F67" s="4"/>
      <c r="G67" s="31">
        <v>29.66</v>
      </c>
      <c r="H67" s="24">
        <v>31.17</v>
      </c>
      <c r="I67" s="32">
        <v>31</v>
      </c>
      <c r="J67" s="24">
        <f t="shared" ref="J67:J69" si="28">2*((H67*I67)/(H67+I67))</f>
        <v>31.084767572784305</v>
      </c>
      <c r="K67" s="36">
        <v>-0.34499999999999997</v>
      </c>
      <c r="L67" s="31">
        <v>31.72</v>
      </c>
      <c r="M67" s="24">
        <v>32.14</v>
      </c>
      <c r="N67" s="32">
        <v>31.22</v>
      </c>
      <c r="O67" s="24">
        <f t="shared" ref="O67:O69" si="29">2*((M67*N67)/(M67+N67))</f>
        <v>31.673320707070708</v>
      </c>
      <c r="P67" s="36">
        <v>-0.35299999999999998</v>
      </c>
    </row>
    <row r="68" spans="1:16" x14ac:dyDescent="0.3">
      <c r="A68" s="12" t="s">
        <v>36</v>
      </c>
      <c r="B68" s="5"/>
      <c r="C68" s="3"/>
      <c r="D68" s="3"/>
      <c r="E68" s="24" t="e">
        <f t="shared" si="27"/>
        <v>#DIV/0!</v>
      </c>
      <c r="F68" s="4"/>
      <c r="G68" s="31">
        <v>37.61</v>
      </c>
      <c r="H68" s="32">
        <v>38.01</v>
      </c>
      <c r="I68" s="32">
        <v>38.42</v>
      </c>
      <c r="J68" s="24">
        <f t="shared" si="28"/>
        <v>38.213900300928948</v>
      </c>
      <c r="K68" s="36">
        <v>-0.22600000000000001</v>
      </c>
      <c r="L68" s="31">
        <v>38.01</v>
      </c>
      <c r="M68" s="24">
        <v>38.409999999999997</v>
      </c>
      <c r="N68" s="24">
        <v>38.93</v>
      </c>
      <c r="O68" s="24">
        <f t="shared" si="29"/>
        <v>38.668251874838369</v>
      </c>
      <c r="P68" s="36">
        <v>-0.215</v>
      </c>
    </row>
    <row r="69" spans="1:16" ht="15" thickBot="1" x14ac:dyDescent="0.35">
      <c r="A69" s="13" t="s">
        <v>37</v>
      </c>
      <c r="B69" s="6"/>
      <c r="C69" s="7"/>
      <c r="D69" s="7"/>
      <c r="E69" s="25" t="e">
        <f t="shared" si="27"/>
        <v>#DIV/0!</v>
      </c>
      <c r="F69" s="8"/>
      <c r="G69" s="33">
        <v>99.28</v>
      </c>
      <c r="H69" s="25">
        <v>49.64</v>
      </c>
      <c r="I69" s="25">
        <v>50</v>
      </c>
      <c r="J69" s="25">
        <f t="shared" si="28"/>
        <v>49.819349658771579</v>
      </c>
      <c r="K69" s="37">
        <v>0</v>
      </c>
      <c r="L69" s="33">
        <v>99.28</v>
      </c>
      <c r="M69" s="25">
        <v>49.64</v>
      </c>
      <c r="N69" s="25">
        <v>50</v>
      </c>
      <c r="O69" s="25">
        <f t="shared" si="29"/>
        <v>49.819349658771579</v>
      </c>
      <c r="P69" s="37">
        <v>0</v>
      </c>
    </row>
    <row r="71" spans="1:16" s="14" customFormat="1" x14ac:dyDescent="0.3"/>
    <row r="72" spans="1:16" x14ac:dyDescent="0.3">
      <c r="A72" t="s">
        <v>19</v>
      </c>
      <c r="B72" t="s">
        <v>1</v>
      </c>
      <c r="C72" t="s">
        <v>2</v>
      </c>
    </row>
    <row r="73" spans="1:16" x14ac:dyDescent="0.3">
      <c r="A73" t="s">
        <v>34</v>
      </c>
      <c r="B73">
        <f>3566+2557</f>
        <v>6123</v>
      </c>
      <c r="C73">
        <f>1149+289</f>
        <v>1438</v>
      </c>
      <c r="D73">
        <f>B73+C73</f>
        <v>7561</v>
      </c>
      <c r="E73" s="16">
        <f>(B73/D73)</f>
        <v>0.80981351673059121</v>
      </c>
      <c r="F73" s="16">
        <f>C73/D73</f>
        <v>0.19018648326940882</v>
      </c>
    </row>
    <row r="74" spans="1:16" x14ac:dyDescent="0.3">
      <c r="A74" t="s">
        <v>35</v>
      </c>
      <c r="B74">
        <f>2567+1463</f>
        <v>4030</v>
      </c>
      <c r="C74">
        <f>2786+745</f>
        <v>3531</v>
      </c>
      <c r="D74">
        <f>B74+C74</f>
        <v>7561</v>
      </c>
      <c r="E74" s="16">
        <f t="shared" ref="E74:E76" si="30">(B74/D74)</f>
        <v>0.53299828065070753</v>
      </c>
      <c r="F74" s="16">
        <f t="shared" ref="F74:F76" si="31">C74/D74</f>
        <v>0.46700171934929241</v>
      </c>
    </row>
    <row r="75" spans="1:16" x14ac:dyDescent="0.3">
      <c r="A75" t="s">
        <v>36</v>
      </c>
      <c r="B75">
        <f>5302+5</f>
        <v>5307</v>
      </c>
      <c r="C75">
        <f>2254</f>
        <v>2254</v>
      </c>
      <c r="D75">
        <f t="shared" ref="D75:D76" si="32">B75+C75</f>
        <v>7561</v>
      </c>
      <c r="E75" s="16">
        <f t="shared" si="30"/>
        <v>0.7018912842216638</v>
      </c>
      <c r="F75" s="16">
        <f t="shared" si="31"/>
        <v>0.2981087157783362</v>
      </c>
    </row>
    <row r="76" spans="1:16" x14ac:dyDescent="0.3">
      <c r="A76" t="s">
        <v>37</v>
      </c>
      <c r="B76">
        <f>6905</f>
        <v>6905</v>
      </c>
      <c r="C76">
        <f>656</f>
        <v>656</v>
      </c>
      <c r="D76">
        <f t="shared" si="32"/>
        <v>7561</v>
      </c>
      <c r="E76" s="16">
        <f t="shared" si="30"/>
        <v>0.91323898955164662</v>
      </c>
      <c r="F76" s="16">
        <f t="shared" si="31"/>
        <v>8.6761010448353396E-2</v>
      </c>
    </row>
    <row r="77" spans="1:16" ht="15" thickBot="1" x14ac:dyDescent="0.35"/>
    <row r="78" spans="1:16" ht="15" thickBot="1" x14ac:dyDescent="0.35">
      <c r="A78" s="61"/>
      <c r="B78" s="63" t="s">
        <v>12</v>
      </c>
      <c r="C78" s="64"/>
      <c r="D78" s="64"/>
      <c r="E78" s="64"/>
      <c r="F78" s="65"/>
      <c r="G78" s="63" t="s">
        <v>11</v>
      </c>
      <c r="H78" s="64"/>
      <c r="I78" s="64"/>
      <c r="J78" s="64"/>
      <c r="K78" s="65"/>
      <c r="L78" s="63" t="s">
        <v>13</v>
      </c>
      <c r="M78" s="64"/>
      <c r="N78" s="64"/>
      <c r="O78" s="64"/>
      <c r="P78" s="65"/>
    </row>
    <row r="79" spans="1:16" ht="15" thickBot="1" x14ac:dyDescent="0.35">
      <c r="A79" s="62"/>
      <c r="B79" s="9" t="s">
        <v>6</v>
      </c>
      <c r="C79" s="10" t="s">
        <v>7</v>
      </c>
      <c r="D79" s="7" t="s">
        <v>8</v>
      </c>
      <c r="E79" s="7" t="s">
        <v>9</v>
      </c>
      <c r="F79" s="8" t="s">
        <v>10</v>
      </c>
      <c r="G79" s="9" t="s">
        <v>6</v>
      </c>
      <c r="H79" s="10" t="s">
        <v>7</v>
      </c>
      <c r="I79" s="7" t="s">
        <v>8</v>
      </c>
      <c r="J79" s="7" t="s">
        <v>9</v>
      </c>
      <c r="K79" s="8" t="s">
        <v>10</v>
      </c>
      <c r="L79" s="9" t="s">
        <v>6</v>
      </c>
      <c r="M79" s="10" t="s">
        <v>7</v>
      </c>
      <c r="N79" s="7" t="s">
        <v>8</v>
      </c>
      <c r="O79" s="7" t="s">
        <v>9</v>
      </c>
      <c r="P79" s="8" t="s">
        <v>10</v>
      </c>
    </row>
    <row r="80" spans="1:16" x14ac:dyDescent="0.3">
      <c r="A80" s="11" t="s">
        <v>34</v>
      </c>
      <c r="B80" s="1"/>
      <c r="C80" s="2"/>
      <c r="D80" s="3"/>
      <c r="E80" s="24" t="e">
        <f>2*((C80*D80)/(C80+D80))</f>
        <v>#DIV/0!</v>
      </c>
      <c r="F80" s="4"/>
      <c r="G80" s="34">
        <v>50.99</v>
      </c>
      <c r="H80" s="24">
        <v>42.89</v>
      </c>
      <c r="I80" s="24">
        <v>39.17</v>
      </c>
      <c r="J80" s="24">
        <f>2*((H80*I80)/(H80+I80))</f>
        <v>40.945681208871562</v>
      </c>
      <c r="K80" s="36">
        <v>-0.158</v>
      </c>
      <c r="L80" s="31">
        <v>17.3</v>
      </c>
      <c r="M80" s="24">
        <v>27.06</v>
      </c>
      <c r="N80" s="32">
        <v>22.09</v>
      </c>
      <c r="O80" s="24">
        <f>2*((M80*N80)/(M80+N80))</f>
        <v>24.323719226856564</v>
      </c>
      <c r="P80" s="36">
        <v>-0.26200000000000001</v>
      </c>
    </row>
    <row r="81" spans="1:16" x14ac:dyDescent="0.3">
      <c r="A81" s="12" t="s">
        <v>35</v>
      </c>
      <c r="B81" s="5"/>
      <c r="C81" s="3"/>
      <c r="D81" s="3"/>
      <c r="E81" s="24" t="e">
        <f t="shared" ref="E81:E83" si="33">2*((C81*D81)/(C81+D81))</f>
        <v>#DIV/0!</v>
      </c>
      <c r="F81" s="4"/>
      <c r="G81" s="31">
        <v>43.8</v>
      </c>
      <c r="H81" s="24">
        <v>40.85</v>
      </c>
      <c r="I81" s="24">
        <v>42.4</v>
      </c>
      <c r="J81" s="24">
        <f t="shared" ref="J81:J83" si="34">2*((H81*I81)/(H81+I81))</f>
        <v>41.610570570570573</v>
      </c>
      <c r="K81" s="36">
        <v>-0.156</v>
      </c>
      <c r="L81" s="31">
        <v>52.47</v>
      </c>
      <c r="M81" s="24">
        <v>43.15</v>
      </c>
      <c r="N81" s="24">
        <v>49.33</v>
      </c>
      <c r="O81" s="24">
        <f t="shared" ref="O81:O82" si="35">2*((M81*N81)/(M81+N81))</f>
        <v>46.033509948096892</v>
      </c>
      <c r="P81" s="36">
        <v>-1.4E-2</v>
      </c>
    </row>
    <row r="82" spans="1:16" x14ac:dyDescent="0.3">
      <c r="A82" s="12" t="s">
        <v>36</v>
      </c>
      <c r="B82" s="5"/>
      <c r="C82" s="3"/>
      <c r="D82" s="3"/>
      <c r="E82" s="24" t="e">
        <f t="shared" si="33"/>
        <v>#DIV/0!</v>
      </c>
      <c r="F82" s="4"/>
      <c r="G82" s="31">
        <v>70.12</v>
      </c>
      <c r="H82" s="24">
        <v>35.08</v>
      </c>
      <c r="I82" s="24">
        <v>49.95</v>
      </c>
      <c r="J82" s="24">
        <f t="shared" si="34"/>
        <v>41.214771257203338</v>
      </c>
      <c r="K82" s="36">
        <v>-1E-3</v>
      </c>
      <c r="L82" s="31">
        <v>68.989999999999995</v>
      </c>
      <c r="M82" s="24">
        <v>48.01</v>
      </c>
      <c r="N82" s="32">
        <v>49.77</v>
      </c>
      <c r="O82" s="24">
        <f t="shared" si="35"/>
        <v>48.874160359991819</v>
      </c>
      <c r="P82" s="36">
        <v>-6.0000000000000001E-3</v>
      </c>
    </row>
    <row r="83" spans="1:16" ht="15" thickBot="1" x14ac:dyDescent="0.35">
      <c r="A83" s="13" t="s">
        <v>37</v>
      </c>
      <c r="B83" s="6"/>
      <c r="C83" s="7"/>
      <c r="D83" s="7"/>
      <c r="E83" s="25" t="e">
        <f t="shared" si="33"/>
        <v>#DIV/0!</v>
      </c>
      <c r="F83" s="8"/>
      <c r="G83" s="33">
        <v>91.32</v>
      </c>
      <c r="H83" s="25">
        <v>45.66</v>
      </c>
      <c r="I83" s="25">
        <v>50</v>
      </c>
      <c r="J83" s="25">
        <f t="shared" si="34"/>
        <v>47.731549236880618</v>
      </c>
      <c r="K83" s="37">
        <v>0</v>
      </c>
      <c r="L83" s="33">
        <v>91.32</v>
      </c>
      <c r="M83" s="25">
        <v>45.66</v>
      </c>
      <c r="N83" s="25">
        <v>50</v>
      </c>
      <c r="O83" s="25">
        <f>2*((M83*N83)/(M83+N83))</f>
        <v>47.731549236880618</v>
      </c>
      <c r="P83" s="37">
        <v>0</v>
      </c>
    </row>
    <row r="85" spans="1:16" s="14" customFormat="1" x14ac:dyDescent="0.3"/>
    <row r="86" spans="1:16" x14ac:dyDescent="0.3">
      <c r="A86" t="s">
        <v>20</v>
      </c>
      <c r="B86" t="s">
        <v>1</v>
      </c>
      <c r="C86" t="s">
        <v>2</v>
      </c>
    </row>
    <row r="87" spans="1:16" x14ac:dyDescent="0.3">
      <c r="A87" t="s">
        <v>34</v>
      </c>
      <c r="B87">
        <f>3062</f>
        <v>3062</v>
      </c>
      <c r="C87">
        <f>425</f>
        <v>425</v>
      </c>
      <c r="D87">
        <f>B87+C87</f>
        <v>3487</v>
      </c>
      <c r="E87" s="16">
        <f>(B87/D87)</f>
        <v>0.87811872669916835</v>
      </c>
      <c r="F87" s="16">
        <f>C87/D87</f>
        <v>0.12188127330083166</v>
      </c>
    </row>
    <row r="88" spans="1:16" x14ac:dyDescent="0.3">
      <c r="A88" t="s">
        <v>35</v>
      </c>
      <c r="B88">
        <f>262+1169</f>
        <v>1431</v>
      </c>
      <c r="C88">
        <f>947+1109</f>
        <v>2056</v>
      </c>
      <c r="D88">
        <f t="shared" ref="D88:D90" si="36">B88+C88</f>
        <v>3487</v>
      </c>
      <c r="E88" s="16">
        <f t="shared" ref="E88:E90" si="37">(B88/D88)</f>
        <v>0.41038141669056494</v>
      </c>
      <c r="F88" s="16">
        <f t="shared" ref="F88:F90" si="38">C88/D88</f>
        <v>0.58961858330943506</v>
      </c>
    </row>
    <row r="89" spans="1:16" x14ac:dyDescent="0.3">
      <c r="A89" t="s">
        <v>36</v>
      </c>
      <c r="B89">
        <f>964</f>
        <v>964</v>
      </c>
      <c r="C89">
        <f>2523</f>
        <v>2523</v>
      </c>
      <c r="D89">
        <f t="shared" si="36"/>
        <v>3487</v>
      </c>
      <c r="E89" s="16">
        <f t="shared" si="37"/>
        <v>0.27645540579294525</v>
      </c>
      <c r="F89" s="16">
        <f t="shared" si="38"/>
        <v>0.72354459420705475</v>
      </c>
    </row>
    <row r="90" spans="1:16" x14ac:dyDescent="0.3">
      <c r="A90" t="s">
        <v>37</v>
      </c>
      <c r="B90">
        <f>3471</f>
        <v>3471</v>
      </c>
      <c r="C90">
        <f>16</f>
        <v>16</v>
      </c>
      <c r="D90">
        <f t="shared" si="36"/>
        <v>3487</v>
      </c>
      <c r="E90" s="16">
        <f t="shared" si="37"/>
        <v>0.99541152853455694</v>
      </c>
      <c r="F90" s="16">
        <f t="shared" si="38"/>
        <v>4.5884714654430741E-3</v>
      </c>
    </row>
    <row r="91" spans="1:16" ht="15" thickBot="1" x14ac:dyDescent="0.35"/>
    <row r="92" spans="1:16" ht="15" thickBot="1" x14ac:dyDescent="0.35">
      <c r="A92" s="61"/>
      <c r="B92" s="63" t="s">
        <v>12</v>
      </c>
      <c r="C92" s="64"/>
      <c r="D92" s="64"/>
      <c r="E92" s="64"/>
      <c r="F92" s="65"/>
      <c r="G92" s="63" t="s">
        <v>11</v>
      </c>
      <c r="H92" s="64"/>
      <c r="I92" s="64"/>
      <c r="J92" s="64"/>
      <c r="K92" s="65"/>
      <c r="L92" s="63" t="s">
        <v>13</v>
      </c>
      <c r="M92" s="64"/>
      <c r="N92" s="64"/>
      <c r="O92" s="64"/>
      <c r="P92" s="65"/>
    </row>
    <row r="93" spans="1:16" ht="15" thickBot="1" x14ac:dyDescent="0.35">
      <c r="A93" s="62"/>
      <c r="B93" s="9" t="s">
        <v>6</v>
      </c>
      <c r="C93" s="10" t="s">
        <v>7</v>
      </c>
      <c r="D93" s="7" t="s">
        <v>8</v>
      </c>
      <c r="E93" s="7" t="s">
        <v>9</v>
      </c>
      <c r="F93" s="8" t="s">
        <v>10</v>
      </c>
      <c r="G93" s="9" t="s">
        <v>6</v>
      </c>
      <c r="H93" s="10" t="s">
        <v>7</v>
      </c>
      <c r="I93" s="7" t="s">
        <v>8</v>
      </c>
      <c r="J93" s="7" t="s">
        <v>9</v>
      </c>
      <c r="K93" s="8" t="s">
        <v>10</v>
      </c>
      <c r="L93" s="9" t="s">
        <v>6</v>
      </c>
      <c r="M93" s="10" t="s">
        <v>7</v>
      </c>
      <c r="N93" s="7" t="s">
        <v>8</v>
      </c>
      <c r="O93" s="7" t="s">
        <v>9</v>
      </c>
      <c r="P93" s="8" t="s">
        <v>10</v>
      </c>
    </row>
    <row r="94" spans="1:16" x14ac:dyDescent="0.3">
      <c r="A94" s="11" t="s">
        <v>34</v>
      </c>
      <c r="B94" s="1"/>
      <c r="C94" s="2"/>
      <c r="D94" s="3"/>
      <c r="E94" s="24" t="e">
        <f>2*((C94*D94)/(C94+D94))</f>
        <v>#DIV/0!</v>
      </c>
      <c r="F94" s="4"/>
      <c r="G94" s="31">
        <v>87.81</v>
      </c>
      <c r="H94" s="24">
        <v>43.91</v>
      </c>
      <c r="I94" s="24">
        <v>50</v>
      </c>
      <c r="J94" s="24">
        <f>2*((H94*I94)/(H94+I94))</f>
        <v>46.757533808966031</v>
      </c>
      <c r="K94" s="36">
        <v>0</v>
      </c>
      <c r="L94" s="31">
        <v>87.81</v>
      </c>
      <c r="M94" s="24">
        <v>43.91</v>
      </c>
      <c r="N94" s="24">
        <v>50</v>
      </c>
      <c r="O94" s="24">
        <f>2*((M94*N94)/(M94+N94))</f>
        <v>46.757533808966031</v>
      </c>
      <c r="P94" s="36">
        <v>0</v>
      </c>
    </row>
    <row r="95" spans="1:16" x14ac:dyDescent="0.3">
      <c r="A95" s="12" t="s">
        <v>35</v>
      </c>
      <c r="B95" s="5"/>
      <c r="C95" s="3"/>
      <c r="D95" s="3"/>
      <c r="E95" s="24" t="e">
        <f t="shared" ref="E95:E97" si="39">2*((C95*D95)/(C95+D95))</f>
        <v>#DIV/0!</v>
      </c>
      <c r="F95" s="4"/>
      <c r="G95" s="31">
        <v>39.32</v>
      </c>
      <c r="H95" s="24">
        <v>35.18</v>
      </c>
      <c r="I95" s="32">
        <v>36.119999999999997</v>
      </c>
      <c r="J95" s="24">
        <f t="shared" ref="J95:J97" si="40">2*((H95*I95)/(H95+I95))</f>
        <v>35.643803646563811</v>
      </c>
      <c r="K95" s="36">
        <v>-0.28399999999999997</v>
      </c>
      <c r="L95" s="31">
        <v>39.32</v>
      </c>
      <c r="M95" s="24">
        <v>35.18</v>
      </c>
      <c r="N95" s="32">
        <v>36.119999999999997</v>
      </c>
      <c r="O95" s="24">
        <f t="shared" ref="O95:O97" si="41">2*((M95*N95)/(M95+N95))</f>
        <v>35.643803646563811</v>
      </c>
      <c r="P95" s="36">
        <v>-0.28399999999999997</v>
      </c>
    </row>
    <row r="96" spans="1:16" x14ac:dyDescent="0.3">
      <c r="A96" s="12" t="s">
        <v>36</v>
      </c>
      <c r="B96" s="5"/>
      <c r="C96" s="3"/>
      <c r="D96" s="3"/>
      <c r="E96" s="24" t="e">
        <f t="shared" si="39"/>
        <v>#DIV/0!</v>
      </c>
      <c r="F96" s="4"/>
      <c r="G96" s="31">
        <v>72.349999999999994</v>
      </c>
      <c r="H96" s="24">
        <v>36.18</v>
      </c>
      <c r="I96" s="24">
        <v>50</v>
      </c>
      <c r="J96" s="24">
        <f t="shared" si="40"/>
        <v>41.98189835228591</v>
      </c>
      <c r="K96" s="36">
        <v>0</v>
      </c>
      <c r="L96" s="31">
        <v>51.59</v>
      </c>
      <c r="M96" s="24">
        <v>59.32</v>
      </c>
      <c r="N96" s="32">
        <v>60.55</v>
      </c>
      <c r="O96" s="24">
        <f t="shared" si="41"/>
        <v>59.928689413531323</v>
      </c>
      <c r="P96" s="36">
        <v>0.14899999999999999</v>
      </c>
    </row>
    <row r="97" spans="1:16" ht="15" thickBot="1" x14ac:dyDescent="0.35">
      <c r="A97" s="13" t="s">
        <v>37</v>
      </c>
      <c r="B97" s="6"/>
      <c r="C97" s="7"/>
      <c r="D97" s="7"/>
      <c r="E97" s="25" t="e">
        <f t="shared" si="39"/>
        <v>#DIV/0!</v>
      </c>
      <c r="F97" s="8"/>
      <c r="G97" s="33">
        <v>99.54</v>
      </c>
      <c r="H97" s="25">
        <v>49.77</v>
      </c>
      <c r="I97" s="25">
        <v>50</v>
      </c>
      <c r="J97" s="25">
        <f t="shared" si="40"/>
        <v>49.884734890247564</v>
      </c>
      <c r="K97" s="37">
        <v>0</v>
      </c>
      <c r="L97" s="33">
        <v>99.54</v>
      </c>
      <c r="M97" s="25">
        <v>49.77</v>
      </c>
      <c r="N97" s="25">
        <v>50</v>
      </c>
      <c r="O97" s="25">
        <f t="shared" si="41"/>
        <v>49.884734890247564</v>
      </c>
      <c r="P97" s="37">
        <v>0</v>
      </c>
    </row>
    <row r="99" spans="1:16" s="14" customFormat="1" x14ac:dyDescent="0.3"/>
    <row r="100" spans="1:16" x14ac:dyDescent="0.3">
      <c r="A100" t="s">
        <v>21</v>
      </c>
      <c r="B100" t="s">
        <v>1</v>
      </c>
      <c r="C100" t="s">
        <v>2</v>
      </c>
    </row>
    <row r="101" spans="1:16" x14ac:dyDescent="0.3">
      <c r="A101" t="s">
        <v>34</v>
      </c>
      <c r="B101">
        <f>2738</f>
        <v>2738</v>
      </c>
      <c r="C101">
        <f>779</f>
        <v>779</v>
      </c>
      <c r="D101">
        <f>B101+C101</f>
        <v>3517</v>
      </c>
      <c r="E101" s="16">
        <f>(B101/D101)</f>
        <v>0.77850440716519764</v>
      </c>
      <c r="F101" s="16">
        <f>C101/D101</f>
        <v>0.22149559283480239</v>
      </c>
    </row>
    <row r="102" spans="1:16" x14ac:dyDescent="0.3">
      <c r="A102" t="s">
        <v>35</v>
      </c>
      <c r="B102">
        <f>1160</f>
        <v>1160</v>
      </c>
      <c r="C102">
        <v>2357</v>
      </c>
      <c r="D102">
        <f t="shared" ref="D102:D104" si="42">B102+C102</f>
        <v>3517</v>
      </c>
      <c r="E102" s="16">
        <f t="shared" ref="E102:E104" si="43">(B102/D102)</f>
        <v>0.32982655672448108</v>
      </c>
      <c r="F102" s="16">
        <f t="shared" ref="F102:F104" si="44">C102/D102</f>
        <v>0.67017344327551887</v>
      </c>
    </row>
    <row r="103" spans="1:16" x14ac:dyDescent="0.3">
      <c r="A103" t="s">
        <v>36</v>
      </c>
      <c r="B103">
        <f>518+1914</f>
        <v>2432</v>
      </c>
      <c r="C103">
        <f>856+229</f>
        <v>1085</v>
      </c>
      <c r="D103">
        <f t="shared" si="42"/>
        <v>3517</v>
      </c>
      <c r="E103" s="16">
        <f t="shared" si="43"/>
        <v>0.69149843616718798</v>
      </c>
      <c r="F103" s="16">
        <f>C103/D103</f>
        <v>0.30850156383281208</v>
      </c>
    </row>
    <row r="104" spans="1:16" x14ac:dyDescent="0.3">
      <c r="A104" t="s">
        <v>37</v>
      </c>
      <c r="B104">
        <f>3432</f>
        <v>3432</v>
      </c>
      <c r="C104">
        <f>85</f>
        <v>85</v>
      </c>
      <c r="D104">
        <f t="shared" si="42"/>
        <v>3517</v>
      </c>
      <c r="E104" s="16">
        <f t="shared" si="43"/>
        <v>0.9758316747227751</v>
      </c>
      <c r="F104" s="16">
        <f t="shared" si="44"/>
        <v>2.4168325277224907E-2</v>
      </c>
    </row>
    <row r="105" spans="1:16" ht="15" thickBot="1" x14ac:dyDescent="0.35"/>
    <row r="106" spans="1:16" ht="15" thickBot="1" x14ac:dyDescent="0.35">
      <c r="A106" s="61"/>
      <c r="B106" s="63" t="s">
        <v>12</v>
      </c>
      <c r="C106" s="64"/>
      <c r="D106" s="64"/>
      <c r="E106" s="64"/>
      <c r="F106" s="65"/>
      <c r="G106" s="63" t="s">
        <v>11</v>
      </c>
      <c r="H106" s="64"/>
      <c r="I106" s="64"/>
      <c r="J106" s="64"/>
      <c r="K106" s="65"/>
      <c r="L106" s="63" t="s">
        <v>13</v>
      </c>
      <c r="M106" s="64"/>
      <c r="N106" s="64"/>
      <c r="O106" s="64"/>
      <c r="P106" s="65"/>
    </row>
    <row r="107" spans="1:16" ht="15" thickBot="1" x14ac:dyDescent="0.35">
      <c r="A107" s="62"/>
      <c r="B107" s="9" t="s">
        <v>6</v>
      </c>
      <c r="C107" s="10" t="s">
        <v>7</v>
      </c>
      <c r="D107" s="7" t="s">
        <v>8</v>
      </c>
      <c r="E107" s="7" t="s">
        <v>9</v>
      </c>
      <c r="F107" s="8" t="s">
        <v>10</v>
      </c>
      <c r="G107" s="9" t="s">
        <v>6</v>
      </c>
      <c r="H107" s="10" t="s">
        <v>7</v>
      </c>
      <c r="I107" s="7" t="s">
        <v>8</v>
      </c>
      <c r="J107" s="7" t="s">
        <v>9</v>
      </c>
      <c r="K107" s="8" t="s">
        <v>10</v>
      </c>
      <c r="L107" s="9" t="s">
        <v>6</v>
      </c>
      <c r="M107" s="10" t="s">
        <v>7</v>
      </c>
      <c r="N107" s="7" t="s">
        <v>8</v>
      </c>
      <c r="O107" s="7" t="s">
        <v>9</v>
      </c>
      <c r="P107" s="8" t="s">
        <v>10</v>
      </c>
    </row>
    <row r="108" spans="1:16" x14ac:dyDescent="0.3">
      <c r="A108" s="11" t="s">
        <v>34</v>
      </c>
      <c r="B108" s="1"/>
      <c r="C108" s="2"/>
      <c r="D108" s="3"/>
      <c r="E108" s="24" t="e">
        <f>2*((C108*D108)/(C108+D108))</f>
        <v>#DIV/0!</v>
      </c>
      <c r="F108" s="4"/>
      <c r="G108" s="31">
        <v>77.849999999999994</v>
      </c>
      <c r="H108" s="24">
        <v>38.93</v>
      </c>
      <c r="I108" s="24">
        <v>50</v>
      </c>
      <c r="J108" s="24">
        <f>2*((H108*I108)/(H108+I108))</f>
        <v>43.77600359833577</v>
      </c>
      <c r="K108" s="36">
        <v>0</v>
      </c>
      <c r="L108" s="31">
        <v>77.849999999999994</v>
      </c>
      <c r="M108" s="24">
        <v>38.93</v>
      </c>
      <c r="N108" s="32">
        <v>50</v>
      </c>
      <c r="O108" s="24">
        <f>2*((M108*N108)/(M108+N108))</f>
        <v>43.77600359833577</v>
      </c>
      <c r="P108" s="36">
        <v>0</v>
      </c>
    </row>
    <row r="109" spans="1:16" x14ac:dyDescent="0.3">
      <c r="A109" s="12" t="s">
        <v>35</v>
      </c>
      <c r="B109" s="5"/>
      <c r="C109" s="3"/>
      <c r="D109" s="3"/>
      <c r="E109" s="24" t="e">
        <f t="shared" ref="E109:E111" si="45">2*((C109*D109)/(C109+D109))</f>
        <v>#DIV/0!</v>
      </c>
      <c r="F109" s="4"/>
      <c r="G109" s="31">
        <v>67.02</v>
      </c>
      <c r="H109" s="24">
        <v>33.51</v>
      </c>
      <c r="I109" s="32">
        <v>50</v>
      </c>
      <c r="J109" s="24">
        <f t="shared" ref="J109:J111" si="46">2*((H109*I109)/(H109+I109))</f>
        <v>40.126930906478272</v>
      </c>
      <c r="K109" s="36">
        <v>0</v>
      </c>
      <c r="L109" s="31">
        <v>67.02</v>
      </c>
      <c r="M109" s="24">
        <v>33.51</v>
      </c>
      <c r="N109" s="32">
        <v>50</v>
      </c>
      <c r="O109" s="24">
        <f t="shared" ref="O109:O111" si="47">2*((M109*N109)/(M109+N109))</f>
        <v>40.126930906478272</v>
      </c>
      <c r="P109" s="36">
        <v>0</v>
      </c>
    </row>
    <row r="110" spans="1:16" x14ac:dyDescent="0.3">
      <c r="A110" s="12" t="s">
        <v>36</v>
      </c>
      <c r="B110" s="5"/>
      <c r="C110" s="3"/>
      <c r="D110" s="3"/>
      <c r="E110" s="24" t="e">
        <f t="shared" si="45"/>
        <v>#DIV/0!</v>
      </c>
      <c r="F110" s="4"/>
      <c r="G110" s="31">
        <v>21.24</v>
      </c>
      <c r="H110" s="24">
        <v>24.19</v>
      </c>
      <c r="I110" s="24">
        <v>21.2</v>
      </c>
      <c r="J110" s="24">
        <f t="shared" si="46"/>
        <v>22.596519057061027</v>
      </c>
      <c r="K110" s="36">
        <v>-0.45300000000000001</v>
      </c>
      <c r="L110" s="31">
        <v>21.3</v>
      </c>
      <c r="M110" s="24">
        <v>24.31</v>
      </c>
      <c r="N110" s="24">
        <v>21.42</v>
      </c>
      <c r="O110" s="24">
        <f t="shared" si="47"/>
        <v>22.773680297397767</v>
      </c>
      <c r="P110" s="36">
        <v>-0.44900000000000001</v>
      </c>
    </row>
    <row r="111" spans="1:16" ht="15" thickBot="1" x14ac:dyDescent="0.35">
      <c r="A111" s="13" t="s">
        <v>37</v>
      </c>
      <c r="B111" s="6"/>
      <c r="C111" s="7"/>
      <c r="D111" s="7"/>
      <c r="E111" s="25" t="e">
        <f t="shared" si="45"/>
        <v>#DIV/0!</v>
      </c>
      <c r="F111" s="8"/>
      <c r="G111" s="33">
        <v>97.58</v>
      </c>
      <c r="H111" s="25">
        <v>48.79</v>
      </c>
      <c r="I111" s="25">
        <v>50</v>
      </c>
      <c r="J111" s="25">
        <f t="shared" si="46"/>
        <v>49.387589837028045</v>
      </c>
      <c r="K111" s="37">
        <v>0</v>
      </c>
      <c r="L111" s="33">
        <v>97.58</v>
      </c>
      <c r="M111" s="25">
        <v>48.79</v>
      </c>
      <c r="N111" s="25">
        <v>50</v>
      </c>
      <c r="O111" s="25">
        <f t="shared" si="47"/>
        <v>49.387589837028045</v>
      </c>
      <c r="P111" s="37">
        <v>0</v>
      </c>
    </row>
    <row r="113" spans="1:16" s="14" customFormat="1" x14ac:dyDescent="0.3"/>
    <row r="114" spans="1:16" x14ac:dyDescent="0.3">
      <c r="A114" t="s">
        <v>22</v>
      </c>
      <c r="B114" t="s">
        <v>1</v>
      </c>
      <c r="C114" t="s">
        <v>2</v>
      </c>
    </row>
    <row r="115" spans="1:16" x14ac:dyDescent="0.3">
      <c r="A115" t="s">
        <v>34</v>
      </c>
      <c r="B115">
        <f>5577</f>
        <v>5577</v>
      </c>
      <c r="C115">
        <v>442</v>
      </c>
      <c r="D115">
        <f>B115+C115</f>
        <v>6019</v>
      </c>
      <c r="E115" s="16">
        <f>(B115/D115)</f>
        <v>0.92656587473002161</v>
      </c>
      <c r="F115" s="16">
        <f>C115/D115</f>
        <v>7.3434125269978404E-2</v>
      </c>
    </row>
    <row r="116" spans="1:16" x14ac:dyDescent="0.3">
      <c r="A116" t="s">
        <v>35</v>
      </c>
      <c r="B116">
        <v>1866</v>
      </c>
      <c r="C116">
        <v>4153</v>
      </c>
      <c r="D116">
        <f t="shared" ref="D116:D118" si="48">B116+C116</f>
        <v>6019</v>
      </c>
      <c r="E116" s="16">
        <f t="shared" ref="E116:E118" si="49">(B116/D116)</f>
        <v>0.31001827546104005</v>
      </c>
      <c r="F116" s="16">
        <f t="shared" ref="F116:F118" si="50">C116/D116</f>
        <v>0.68998172453896001</v>
      </c>
    </row>
    <row r="117" spans="1:16" x14ac:dyDescent="0.3">
      <c r="A117" t="s">
        <v>36</v>
      </c>
      <c r="B117">
        <f>5230</f>
        <v>5230</v>
      </c>
      <c r="C117">
        <v>789</v>
      </c>
      <c r="D117">
        <f t="shared" si="48"/>
        <v>6019</v>
      </c>
      <c r="E117" s="16">
        <f t="shared" si="49"/>
        <v>0.8689151021764413</v>
      </c>
      <c r="F117" s="16">
        <f t="shared" si="50"/>
        <v>0.13108489782355873</v>
      </c>
    </row>
    <row r="118" spans="1:16" x14ac:dyDescent="0.3">
      <c r="A118" t="s">
        <v>37</v>
      </c>
      <c r="B118">
        <v>5980</v>
      </c>
      <c r="C118">
        <v>39</v>
      </c>
      <c r="D118">
        <f t="shared" si="48"/>
        <v>6019</v>
      </c>
      <c r="E118" s="16">
        <f t="shared" si="49"/>
        <v>0.99352051835853128</v>
      </c>
      <c r="F118" s="16">
        <f t="shared" si="50"/>
        <v>6.4794816414686825E-3</v>
      </c>
    </row>
    <row r="119" spans="1:16" ht="15" thickBot="1" x14ac:dyDescent="0.35"/>
    <row r="120" spans="1:16" ht="15" thickBot="1" x14ac:dyDescent="0.35">
      <c r="A120" s="61"/>
      <c r="B120" s="63" t="s">
        <v>12</v>
      </c>
      <c r="C120" s="64"/>
      <c r="D120" s="64"/>
      <c r="E120" s="64"/>
      <c r="F120" s="65"/>
      <c r="G120" s="63" t="s">
        <v>11</v>
      </c>
      <c r="H120" s="64"/>
      <c r="I120" s="64"/>
      <c r="J120" s="64"/>
      <c r="K120" s="65"/>
      <c r="L120" s="63" t="s">
        <v>13</v>
      </c>
      <c r="M120" s="64"/>
      <c r="N120" s="64"/>
      <c r="O120" s="64"/>
      <c r="P120" s="65"/>
    </row>
    <row r="121" spans="1:16" ht="15" thickBot="1" x14ac:dyDescent="0.35">
      <c r="A121" s="62"/>
      <c r="B121" s="9" t="s">
        <v>6</v>
      </c>
      <c r="C121" s="10" t="s">
        <v>7</v>
      </c>
      <c r="D121" s="7" t="s">
        <v>8</v>
      </c>
      <c r="E121" s="7" t="s">
        <v>9</v>
      </c>
      <c r="F121" s="8" t="s">
        <v>10</v>
      </c>
      <c r="G121" s="9" t="s">
        <v>6</v>
      </c>
      <c r="H121" s="10" t="s">
        <v>7</v>
      </c>
      <c r="I121" s="7" t="s">
        <v>8</v>
      </c>
      <c r="J121" s="7" t="s">
        <v>9</v>
      </c>
      <c r="K121" s="8" t="s">
        <v>10</v>
      </c>
      <c r="L121" s="9" t="s">
        <v>6</v>
      </c>
      <c r="M121" s="10" t="s">
        <v>7</v>
      </c>
      <c r="N121" s="7" t="s">
        <v>8</v>
      </c>
      <c r="O121" s="7" t="s">
        <v>9</v>
      </c>
      <c r="P121" s="8" t="s">
        <v>10</v>
      </c>
    </row>
    <row r="122" spans="1:16" x14ac:dyDescent="0.3">
      <c r="A122" s="11" t="s">
        <v>34</v>
      </c>
      <c r="B122" s="1"/>
      <c r="C122" s="2"/>
      <c r="D122" s="3"/>
      <c r="E122" s="24" t="e">
        <f>2*((C122*D122)/(C122+D122))</f>
        <v>#DIV/0!</v>
      </c>
      <c r="F122" s="4"/>
      <c r="G122" s="29">
        <v>92.66</v>
      </c>
      <c r="H122" s="30">
        <v>46.33</v>
      </c>
      <c r="I122" s="24">
        <v>50</v>
      </c>
      <c r="J122" s="24">
        <f>2*((H122*I122)/(H122+I122))</f>
        <v>48.095089795494651</v>
      </c>
      <c r="K122" s="36">
        <v>0</v>
      </c>
      <c r="L122" s="29">
        <v>92.66</v>
      </c>
      <c r="M122" s="30">
        <v>46.33</v>
      </c>
      <c r="N122" s="24">
        <v>50</v>
      </c>
      <c r="O122" s="24">
        <f>2*((M122*N122)/(M122+N122))</f>
        <v>48.095089795494651</v>
      </c>
      <c r="P122" s="36">
        <v>0</v>
      </c>
    </row>
    <row r="123" spans="1:16" x14ac:dyDescent="0.3">
      <c r="A123" s="12" t="s">
        <v>35</v>
      </c>
      <c r="B123" s="5"/>
      <c r="C123" s="3"/>
      <c r="D123" s="3"/>
      <c r="E123" s="24" t="e">
        <f t="shared" ref="E123:E125" si="51">2*((C123*D123)/(C123+D123))</f>
        <v>#DIV/0!</v>
      </c>
      <c r="F123" s="4"/>
      <c r="G123" s="31">
        <v>69</v>
      </c>
      <c r="H123" s="24">
        <v>34.5</v>
      </c>
      <c r="I123" s="24">
        <v>50</v>
      </c>
      <c r="J123" s="24">
        <f t="shared" ref="J123:J125" si="52">2*((H123*I123)/(H123+I123))</f>
        <v>40.828402366863905</v>
      </c>
      <c r="K123" s="36">
        <v>0</v>
      </c>
      <c r="L123" s="31">
        <v>68.92</v>
      </c>
      <c r="M123" s="24">
        <v>51.17</v>
      </c>
      <c r="N123" s="24">
        <v>50.01</v>
      </c>
      <c r="O123" s="24">
        <f>2*((M123*N123)/(M123+N123))</f>
        <v>50.583350464518674</v>
      </c>
      <c r="P123" s="36">
        <v>0</v>
      </c>
    </row>
    <row r="124" spans="1:16" x14ac:dyDescent="0.3">
      <c r="A124" s="12" t="s">
        <v>36</v>
      </c>
      <c r="B124" s="5"/>
      <c r="C124" s="3"/>
      <c r="D124" s="3"/>
      <c r="E124" s="24" t="e">
        <f t="shared" si="51"/>
        <v>#DIV/0!</v>
      </c>
      <c r="F124" s="4"/>
      <c r="G124" s="31">
        <v>86.89</v>
      </c>
      <c r="H124" s="24">
        <v>43.45</v>
      </c>
      <c r="I124" s="32">
        <v>50</v>
      </c>
      <c r="J124" s="24">
        <f t="shared" si="52"/>
        <v>46.495452113429643</v>
      </c>
      <c r="K124" s="36">
        <v>0</v>
      </c>
      <c r="L124" s="31">
        <v>86.89</v>
      </c>
      <c r="M124" s="24">
        <v>43.45</v>
      </c>
      <c r="N124" s="32">
        <v>50</v>
      </c>
      <c r="O124" s="24">
        <f t="shared" ref="O124:O125" si="53">2*((M124*N124)/(M124+N124))</f>
        <v>46.495452113429643</v>
      </c>
      <c r="P124" s="36">
        <v>0</v>
      </c>
    </row>
    <row r="125" spans="1:16" ht="15" thickBot="1" x14ac:dyDescent="0.35">
      <c r="A125" s="13" t="s">
        <v>37</v>
      </c>
      <c r="B125" s="6"/>
      <c r="C125" s="7"/>
      <c r="D125" s="7"/>
      <c r="E125" s="25" t="e">
        <f t="shared" si="51"/>
        <v>#DIV/0!</v>
      </c>
      <c r="F125" s="8"/>
      <c r="G125" s="33">
        <v>99.35</v>
      </c>
      <c r="H125" s="25">
        <v>49.68</v>
      </c>
      <c r="I125" s="25">
        <v>50</v>
      </c>
      <c r="J125" s="25">
        <f t="shared" si="52"/>
        <v>49.839486356340288</v>
      </c>
      <c r="K125" s="37">
        <v>0</v>
      </c>
      <c r="L125" s="33">
        <v>99.35</v>
      </c>
      <c r="M125" s="25">
        <v>49.68</v>
      </c>
      <c r="N125" s="25">
        <v>50</v>
      </c>
      <c r="O125" s="25">
        <f t="shared" si="53"/>
        <v>49.839486356340288</v>
      </c>
      <c r="P125" s="37">
        <v>0</v>
      </c>
    </row>
    <row r="127" spans="1:16" s="14" customFormat="1" x14ac:dyDescent="0.3"/>
    <row r="128" spans="1:16" x14ac:dyDescent="0.3">
      <c r="A128" t="s">
        <v>23</v>
      </c>
      <c r="B128" t="s">
        <v>1</v>
      </c>
      <c r="C128" t="s">
        <v>2</v>
      </c>
    </row>
    <row r="129" spans="1:16" x14ac:dyDescent="0.3">
      <c r="A129" t="s">
        <v>34</v>
      </c>
      <c r="B129">
        <v>4988</v>
      </c>
      <c r="C129">
        <v>865</v>
      </c>
      <c r="D129">
        <f>B129+C129</f>
        <v>5853</v>
      </c>
      <c r="E129" s="16">
        <f>(B129/D129)</f>
        <v>0.85221254057748164</v>
      </c>
      <c r="F129" s="16">
        <f>C129/D129</f>
        <v>0.14778745942251836</v>
      </c>
    </row>
    <row r="130" spans="1:16" x14ac:dyDescent="0.3">
      <c r="A130" t="s">
        <v>35</v>
      </c>
      <c r="B130">
        <v>2474</v>
      </c>
      <c r="C130">
        <v>3379</v>
      </c>
      <c r="D130">
        <f t="shared" ref="D130:D132" si="54">B130+C130</f>
        <v>5853</v>
      </c>
      <c r="E130" s="16">
        <f t="shared" ref="E130:E132" si="55">(B130/D130)</f>
        <v>0.42268921920382707</v>
      </c>
      <c r="F130" s="16">
        <f t="shared" ref="F130:F132" si="56">C130/D130</f>
        <v>0.57731078079617293</v>
      </c>
    </row>
    <row r="131" spans="1:16" x14ac:dyDescent="0.3">
      <c r="A131" t="s">
        <v>36</v>
      </c>
      <c r="B131">
        <f>1198+2222</f>
        <v>3420</v>
      </c>
      <c r="C131">
        <f>1504+929</f>
        <v>2433</v>
      </c>
      <c r="D131">
        <f t="shared" si="54"/>
        <v>5853</v>
      </c>
      <c r="E131" s="16">
        <f t="shared" si="55"/>
        <v>0.58431573552024607</v>
      </c>
      <c r="F131" s="16">
        <f t="shared" si="56"/>
        <v>0.41568426447975398</v>
      </c>
    </row>
    <row r="132" spans="1:16" x14ac:dyDescent="0.3">
      <c r="A132" t="s">
        <v>37</v>
      </c>
      <c r="B132">
        <v>5788</v>
      </c>
      <c r="C132">
        <v>65</v>
      </c>
      <c r="D132">
        <f t="shared" si="54"/>
        <v>5853</v>
      </c>
      <c r="E132" s="16">
        <f t="shared" si="55"/>
        <v>0.98889458397403041</v>
      </c>
      <c r="F132" s="16">
        <f t="shared" si="56"/>
        <v>1.1105416025969587E-2</v>
      </c>
    </row>
    <row r="133" spans="1:16" ht="15" thickBot="1" x14ac:dyDescent="0.35"/>
    <row r="134" spans="1:16" ht="15" thickBot="1" x14ac:dyDescent="0.35">
      <c r="A134" s="61"/>
      <c r="B134" s="63" t="s">
        <v>12</v>
      </c>
      <c r="C134" s="64"/>
      <c r="D134" s="64"/>
      <c r="E134" s="64"/>
      <c r="F134" s="65"/>
      <c r="G134" s="63" t="s">
        <v>11</v>
      </c>
      <c r="H134" s="64"/>
      <c r="I134" s="64"/>
      <c r="J134" s="64"/>
      <c r="K134" s="65"/>
      <c r="L134" s="63" t="s">
        <v>13</v>
      </c>
      <c r="M134" s="64"/>
      <c r="N134" s="64"/>
      <c r="O134" s="64"/>
      <c r="P134" s="65"/>
    </row>
    <row r="135" spans="1:16" ht="15" thickBot="1" x14ac:dyDescent="0.35">
      <c r="A135" s="62"/>
      <c r="B135" s="9" t="s">
        <v>6</v>
      </c>
      <c r="C135" s="10" t="s">
        <v>7</v>
      </c>
      <c r="D135" s="7" t="s">
        <v>8</v>
      </c>
      <c r="E135" s="7" t="s">
        <v>9</v>
      </c>
      <c r="F135" s="8" t="s">
        <v>10</v>
      </c>
      <c r="G135" s="9" t="s">
        <v>6</v>
      </c>
      <c r="H135" s="10" t="s">
        <v>7</v>
      </c>
      <c r="I135" s="7" t="s">
        <v>8</v>
      </c>
      <c r="J135" s="7" t="s">
        <v>9</v>
      </c>
      <c r="K135" s="8" t="s">
        <v>10</v>
      </c>
      <c r="L135" s="9" t="s">
        <v>6</v>
      </c>
      <c r="M135" s="10" t="s">
        <v>7</v>
      </c>
      <c r="N135" s="7" t="s">
        <v>8</v>
      </c>
      <c r="O135" s="7" t="s">
        <v>9</v>
      </c>
      <c r="P135" s="8" t="s">
        <v>10</v>
      </c>
    </row>
    <row r="136" spans="1:16" x14ac:dyDescent="0.3">
      <c r="A136" s="11" t="s">
        <v>34</v>
      </c>
      <c r="B136" s="1"/>
      <c r="C136" s="2"/>
      <c r="D136" s="3"/>
      <c r="E136" s="24" t="e">
        <f>2*((C136*D136)/(C136+D136))</f>
        <v>#DIV/0!</v>
      </c>
      <c r="F136" s="4"/>
      <c r="G136" s="31">
        <v>85.22</v>
      </c>
      <c r="H136" s="24">
        <v>42.61</v>
      </c>
      <c r="I136" s="24">
        <v>50</v>
      </c>
      <c r="J136" s="24">
        <f>2*((H136*I136)/(H136+I136))</f>
        <v>46.010150091782748</v>
      </c>
      <c r="K136" s="36">
        <v>0</v>
      </c>
      <c r="L136" s="31">
        <v>85.22</v>
      </c>
      <c r="M136" s="24">
        <v>42.61</v>
      </c>
      <c r="N136" s="32">
        <v>50</v>
      </c>
      <c r="O136" s="24">
        <f>2*((M136*N136)/(M136+N136))</f>
        <v>46.010150091782748</v>
      </c>
      <c r="P136" s="36">
        <v>0</v>
      </c>
    </row>
    <row r="137" spans="1:16" x14ac:dyDescent="0.3">
      <c r="A137" s="12" t="s">
        <v>35</v>
      </c>
      <c r="B137" s="5"/>
      <c r="C137" s="3"/>
      <c r="D137" s="3"/>
      <c r="E137" s="24" t="e">
        <f t="shared" ref="E137:E139" si="57">2*((C137*D137)/(C137+D137))</f>
        <v>#DIV/0!</v>
      </c>
      <c r="F137" s="4"/>
      <c r="G137" s="31">
        <v>57.73</v>
      </c>
      <c r="H137" s="24">
        <v>28.87</v>
      </c>
      <c r="I137" s="24">
        <v>50</v>
      </c>
      <c r="J137" s="24">
        <f t="shared" ref="J137:J139" si="58">2*((H137*I137)/(H137+I137))</f>
        <v>36.604539114999362</v>
      </c>
      <c r="K137" s="36">
        <v>0</v>
      </c>
      <c r="L137" s="31">
        <v>57.73</v>
      </c>
      <c r="M137" s="24">
        <v>53.88</v>
      </c>
      <c r="N137" s="24">
        <v>50.06</v>
      </c>
      <c r="O137" s="24">
        <f t="shared" ref="O137:O139" si="59">2*((M137*N137)/(M137+N137))</f>
        <v>51.899803732922848</v>
      </c>
      <c r="P137" s="36">
        <v>1E-3</v>
      </c>
    </row>
    <row r="138" spans="1:16" x14ac:dyDescent="0.3">
      <c r="A138" s="12" t="s">
        <v>36</v>
      </c>
      <c r="B138" s="5"/>
      <c r="C138" s="3"/>
      <c r="D138" s="3"/>
      <c r="E138" s="24" t="e">
        <f t="shared" si="57"/>
        <v>#DIV/0!</v>
      </c>
      <c r="F138" s="4"/>
      <c r="G138" s="31">
        <v>36.340000000000003</v>
      </c>
      <c r="H138" s="24">
        <v>36.909999999999997</v>
      </c>
      <c r="I138" s="24">
        <v>36.61</v>
      </c>
      <c r="J138" s="24">
        <f t="shared" si="58"/>
        <v>36.759387921653968</v>
      </c>
      <c r="K138" s="36">
        <v>-0.25700000000000001</v>
      </c>
      <c r="L138" s="31">
        <v>55.94</v>
      </c>
      <c r="M138" s="24">
        <v>42.81</v>
      </c>
      <c r="N138" s="32">
        <v>48.42</v>
      </c>
      <c r="O138" s="24">
        <f t="shared" si="59"/>
        <v>45.442512331469914</v>
      </c>
      <c r="P138" s="36">
        <v>-3.5999999999999997E-2</v>
      </c>
    </row>
    <row r="139" spans="1:16" ht="15" thickBot="1" x14ac:dyDescent="0.35">
      <c r="A139" s="13" t="s">
        <v>37</v>
      </c>
      <c r="B139" s="6"/>
      <c r="C139" s="7"/>
      <c r="D139" s="7"/>
      <c r="E139" s="25" t="e">
        <f t="shared" si="57"/>
        <v>#DIV/0!</v>
      </c>
      <c r="F139" s="8"/>
      <c r="G139" s="33">
        <v>98.89</v>
      </c>
      <c r="H139" s="25">
        <v>49.44</v>
      </c>
      <c r="I139" s="25">
        <v>50</v>
      </c>
      <c r="J139" s="25">
        <f t="shared" si="58"/>
        <v>49.718423169750608</v>
      </c>
      <c r="K139" s="37">
        <v>0</v>
      </c>
      <c r="L139" s="33">
        <v>98.89</v>
      </c>
      <c r="M139" s="25">
        <v>49.44</v>
      </c>
      <c r="N139" s="25">
        <v>50</v>
      </c>
      <c r="O139" s="25">
        <f t="shared" si="59"/>
        <v>49.718423169750608</v>
      </c>
      <c r="P139" s="37">
        <v>0</v>
      </c>
    </row>
    <row r="141" spans="1:16" s="17" customFormat="1" x14ac:dyDescent="0.3"/>
    <row r="142" spans="1:16" x14ac:dyDescent="0.3">
      <c r="A142" t="s">
        <v>24</v>
      </c>
      <c r="B142" t="s">
        <v>1</v>
      </c>
      <c r="C142" t="s">
        <v>2</v>
      </c>
      <c r="G142" t="s">
        <v>27</v>
      </c>
    </row>
    <row r="143" spans="1:16" x14ac:dyDescent="0.3">
      <c r="A143" t="s">
        <v>34</v>
      </c>
      <c r="B143">
        <v>37675</v>
      </c>
      <c r="C143">
        <v>7288</v>
      </c>
      <c r="D143">
        <f>B143+C143</f>
        <v>44963</v>
      </c>
      <c r="E143" s="16">
        <f>(B143/D143)</f>
        <v>0.83791117140760185</v>
      </c>
      <c r="F143" s="16">
        <f>C143/D143</f>
        <v>0.1620888285923982</v>
      </c>
      <c r="G143">
        <f>B3+B17</f>
        <v>37675</v>
      </c>
      <c r="H143">
        <f>C3+C17</f>
        <v>7288</v>
      </c>
    </row>
    <row r="144" spans="1:16" x14ac:dyDescent="0.3">
      <c r="A144" t="s">
        <v>35</v>
      </c>
      <c r="B144">
        <f>22503+5208</f>
        <v>27711</v>
      </c>
      <c r="C144">
        <f>14835+2417</f>
        <v>17252</v>
      </c>
      <c r="D144">
        <f t="shared" ref="D144:D146" si="60">B144+C144</f>
        <v>44963</v>
      </c>
      <c r="E144" s="16">
        <f t="shared" ref="E144:E146" si="61">(B144/D144)</f>
        <v>0.61630674109823635</v>
      </c>
      <c r="F144" s="16">
        <f t="shared" ref="F144:F146" si="62">C144/D144</f>
        <v>0.38369325890176365</v>
      </c>
      <c r="G144">
        <f t="shared" ref="G144:H146" si="63">B4+B18</f>
        <v>27711</v>
      </c>
      <c r="H144">
        <f t="shared" si="63"/>
        <v>17252</v>
      </c>
    </row>
    <row r="145" spans="1:16" x14ac:dyDescent="0.3">
      <c r="A145" t="s">
        <v>36</v>
      </c>
      <c r="B145">
        <f>5250+15706</f>
        <v>20956</v>
      </c>
      <c r="C145">
        <f>12057+11950</f>
        <v>24007</v>
      </c>
      <c r="D145">
        <f>B145+C145</f>
        <v>44963</v>
      </c>
      <c r="E145" s="16">
        <f t="shared" si="61"/>
        <v>0.46607210372973334</v>
      </c>
      <c r="F145" s="16">
        <f t="shared" si="62"/>
        <v>0.53392789627026671</v>
      </c>
      <c r="G145">
        <f t="shared" si="63"/>
        <v>20956</v>
      </c>
      <c r="H145">
        <f t="shared" si="63"/>
        <v>24007</v>
      </c>
    </row>
    <row r="146" spans="1:16" x14ac:dyDescent="0.3">
      <c r="A146" t="s">
        <v>37</v>
      </c>
      <c r="B146">
        <v>44008</v>
      </c>
      <c r="C146">
        <v>955</v>
      </c>
      <c r="D146">
        <f t="shared" si="60"/>
        <v>44963</v>
      </c>
      <c r="E146" s="16">
        <f t="shared" si="61"/>
        <v>0.97876031403598518</v>
      </c>
      <c r="F146" s="16">
        <f t="shared" si="62"/>
        <v>2.1239685964014855E-2</v>
      </c>
      <c r="G146">
        <f t="shared" si="63"/>
        <v>44008</v>
      </c>
      <c r="H146">
        <f t="shared" si="63"/>
        <v>955</v>
      </c>
    </row>
    <row r="147" spans="1:16" ht="15" thickBot="1" x14ac:dyDescent="0.35"/>
    <row r="148" spans="1:16" ht="15" thickBot="1" x14ac:dyDescent="0.35">
      <c r="A148" s="61"/>
      <c r="B148" s="63" t="s">
        <v>12</v>
      </c>
      <c r="C148" s="64"/>
      <c r="D148" s="64"/>
      <c r="E148" s="64"/>
      <c r="F148" s="65"/>
      <c r="G148" s="63" t="s">
        <v>11</v>
      </c>
      <c r="H148" s="64"/>
      <c r="I148" s="64"/>
      <c r="J148" s="64"/>
      <c r="K148" s="65"/>
      <c r="L148" s="63" t="s">
        <v>13</v>
      </c>
      <c r="M148" s="64"/>
      <c r="N148" s="64"/>
      <c r="O148" s="64"/>
      <c r="P148" s="65"/>
    </row>
    <row r="149" spans="1:16" ht="15" thickBot="1" x14ac:dyDescent="0.35">
      <c r="A149" s="62"/>
      <c r="B149" s="9" t="s">
        <v>6</v>
      </c>
      <c r="C149" s="10" t="s">
        <v>7</v>
      </c>
      <c r="D149" s="7" t="s">
        <v>8</v>
      </c>
      <c r="E149" s="7" t="s">
        <v>9</v>
      </c>
      <c r="F149" s="8" t="s">
        <v>10</v>
      </c>
      <c r="G149" s="9" t="s">
        <v>6</v>
      </c>
      <c r="H149" s="10" t="s">
        <v>7</v>
      </c>
      <c r="I149" s="7" t="s">
        <v>8</v>
      </c>
      <c r="J149" s="7" t="s">
        <v>9</v>
      </c>
      <c r="K149" s="8" t="s">
        <v>10</v>
      </c>
      <c r="L149" s="9" t="s">
        <v>6</v>
      </c>
      <c r="M149" s="10" t="s">
        <v>7</v>
      </c>
      <c r="N149" s="7" t="s">
        <v>8</v>
      </c>
      <c r="O149" s="7" t="s">
        <v>9</v>
      </c>
      <c r="P149" s="8" t="s">
        <v>10</v>
      </c>
    </row>
    <row r="150" spans="1:16" x14ac:dyDescent="0.3">
      <c r="A150" s="11" t="s">
        <v>34</v>
      </c>
      <c r="B150" s="1"/>
      <c r="C150" s="2"/>
      <c r="D150" s="3"/>
      <c r="E150" s="24" t="e">
        <f>2*((C150*D150)/(C150+D150))</f>
        <v>#DIV/0!</v>
      </c>
      <c r="F150" s="4"/>
      <c r="G150" s="31">
        <v>83.79</v>
      </c>
      <c r="H150" s="24">
        <v>41.9</v>
      </c>
      <c r="I150" s="24">
        <v>50</v>
      </c>
      <c r="J150" s="24">
        <f>2*((H150*I150)/(H150+I150))</f>
        <v>45.593035908596299</v>
      </c>
      <c r="K150" s="36">
        <v>0</v>
      </c>
      <c r="L150" s="31">
        <v>74.05</v>
      </c>
      <c r="M150" s="24">
        <v>45.63</v>
      </c>
      <c r="N150" s="32">
        <v>46.67</v>
      </c>
      <c r="O150" s="24">
        <f>2*((M150*N150)/(M150+N150))</f>
        <v>46.144140845070424</v>
      </c>
      <c r="P150" s="36">
        <v>-7.4999999999999997E-2</v>
      </c>
    </row>
    <row r="151" spans="1:16" x14ac:dyDescent="0.3">
      <c r="A151" s="12" t="s">
        <v>35</v>
      </c>
      <c r="B151" s="5"/>
      <c r="C151" s="3"/>
      <c r="D151" s="3"/>
      <c r="E151" s="24" t="e">
        <f t="shared" ref="E151:E153" si="64">2*((C151*D151)/(C151+D151))</f>
        <v>#DIV/0!</v>
      </c>
      <c r="F151" s="4"/>
      <c r="G151" s="31">
        <v>55.42</v>
      </c>
      <c r="H151" s="24">
        <v>45.98</v>
      </c>
      <c r="I151" s="24">
        <v>47.61</v>
      </c>
      <c r="J151" s="24">
        <f t="shared" ref="J151:J153" si="65">2*((H151*I151)/(H151+I151))</f>
        <v>46.780805641628369</v>
      </c>
      <c r="K151" s="36">
        <v>-5.2999999999999999E-2</v>
      </c>
      <c r="L151" s="31">
        <v>53.94</v>
      </c>
      <c r="M151" s="24">
        <v>49.12</v>
      </c>
      <c r="N151" s="24">
        <v>49.22</v>
      </c>
      <c r="O151" s="24">
        <f t="shared" ref="O151:O153" si="66">2*((M151*N151)/(M151+N151))</f>
        <v>49.169949155989414</v>
      </c>
      <c r="P151" s="36">
        <v>-1.6E-2</v>
      </c>
    </row>
    <row r="152" spans="1:16" x14ac:dyDescent="0.3">
      <c r="A152" s="12" t="s">
        <v>36</v>
      </c>
      <c r="B152" s="5"/>
      <c r="C152" s="3"/>
      <c r="D152" s="3"/>
      <c r="E152" s="24" t="e">
        <f t="shared" si="64"/>
        <v>#DIV/0!</v>
      </c>
      <c r="F152" s="4"/>
      <c r="G152" s="31">
        <v>38.25</v>
      </c>
      <c r="H152" s="24">
        <v>36.770000000000003</v>
      </c>
      <c r="I152" s="24">
        <v>37.409999999999997</v>
      </c>
      <c r="J152" s="24">
        <f t="shared" si="65"/>
        <v>37.087239148018327</v>
      </c>
      <c r="K152" s="36">
        <v>-0.255</v>
      </c>
      <c r="L152" s="31">
        <v>54.13</v>
      </c>
      <c r="M152" s="24">
        <v>53.56</v>
      </c>
      <c r="N152" s="32">
        <v>53.41</v>
      </c>
      <c r="O152" s="24">
        <f t="shared" si="66"/>
        <v>53.484894830326262</v>
      </c>
      <c r="P152" s="36">
        <v>6.9000000000000006E-2</v>
      </c>
    </row>
    <row r="153" spans="1:16" ht="15" thickBot="1" x14ac:dyDescent="0.35">
      <c r="A153" s="13" t="s">
        <v>37</v>
      </c>
      <c r="B153" s="6"/>
      <c r="C153" s="7"/>
      <c r="D153" s="7"/>
      <c r="E153" s="25" t="e">
        <f t="shared" si="64"/>
        <v>#DIV/0!</v>
      </c>
      <c r="F153" s="8"/>
      <c r="G153" s="33">
        <v>97.88</v>
      </c>
      <c r="H153" s="25">
        <v>48.94</v>
      </c>
      <c r="I153" s="25">
        <v>50</v>
      </c>
      <c r="J153" s="25">
        <f t="shared" si="65"/>
        <v>49.464321811198708</v>
      </c>
      <c r="K153" s="37">
        <v>0</v>
      </c>
      <c r="L153" s="33">
        <v>97.87</v>
      </c>
      <c r="M153" s="25">
        <v>48.94</v>
      </c>
      <c r="N153" s="25">
        <v>50</v>
      </c>
      <c r="O153" s="25">
        <f t="shared" si="66"/>
        <v>49.464321811198708</v>
      </c>
      <c r="P153" s="37">
        <v>0</v>
      </c>
    </row>
    <row r="154" spans="1:16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6" spans="1:16" s="17" customFormat="1" x14ac:dyDescent="0.3"/>
    <row r="157" spans="1:16" x14ac:dyDescent="0.3">
      <c r="A157" t="s">
        <v>25</v>
      </c>
      <c r="B157" t="s">
        <v>1</v>
      </c>
      <c r="C157" t="s">
        <v>2</v>
      </c>
      <c r="G157" t="s">
        <v>27</v>
      </c>
    </row>
    <row r="158" spans="1:16" x14ac:dyDescent="0.3">
      <c r="A158" t="s">
        <v>34</v>
      </c>
      <c r="B158">
        <v>28699</v>
      </c>
      <c r="C158">
        <v>4834</v>
      </c>
      <c r="D158">
        <f>B158+C158</f>
        <v>33533</v>
      </c>
      <c r="E158" s="16">
        <f>(B158/D158)</f>
        <v>0.85584349745027288</v>
      </c>
      <c r="F158" s="16">
        <f>C158/D158</f>
        <v>0.14415650254972714</v>
      </c>
      <c r="G158">
        <f>B31+B45+B59+B73</f>
        <v>28699</v>
      </c>
      <c r="H158">
        <f>C31+C45+C59+C73</f>
        <v>4834</v>
      </c>
    </row>
    <row r="159" spans="1:16" x14ac:dyDescent="0.3">
      <c r="A159" t="s">
        <v>35</v>
      </c>
      <c r="B159">
        <f>13702+4179</f>
        <v>17881</v>
      </c>
      <c r="C159">
        <f>8341+7311</f>
        <v>15652</v>
      </c>
      <c r="D159">
        <f t="shared" ref="D159:D161" si="67">B159+C159</f>
        <v>33533</v>
      </c>
      <c r="E159" s="16">
        <f t="shared" ref="E159:E161" si="68">(B159/D159)</f>
        <v>0.53323591685802041</v>
      </c>
      <c r="F159" s="16">
        <f t="shared" ref="F159:F161" si="69">C159/D159</f>
        <v>0.46676408314197954</v>
      </c>
      <c r="G159">
        <f t="shared" ref="G159:H161" si="70">B32+B46+B60+B74</f>
        <v>17881</v>
      </c>
      <c r="H159">
        <f t="shared" si="70"/>
        <v>15652</v>
      </c>
    </row>
    <row r="160" spans="1:16" x14ac:dyDescent="0.3">
      <c r="A160" t="s">
        <v>36</v>
      </c>
      <c r="B160">
        <f>9717+7547</f>
        <v>17264</v>
      </c>
      <c r="C160">
        <f>11546+4723</f>
        <v>16269</v>
      </c>
      <c r="D160">
        <f t="shared" si="67"/>
        <v>33533</v>
      </c>
      <c r="E160" s="16">
        <f t="shared" si="68"/>
        <v>0.51483613157188446</v>
      </c>
      <c r="F160" s="16">
        <f t="shared" si="69"/>
        <v>0.4851638684281156</v>
      </c>
      <c r="G160">
        <f t="shared" si="70"/>
        <v>17264</v>
      </c>
      <c r="H160">
        <f t="shared" si="70"/>
        <v>16269</v>
      </c>
    </row>
    <row r="161" spans="1:16" x14ac:dyDescent="0.3">
      <c r="A161" t="s">
        <v>37</v>
      </c>
      <c r="B161">
        <v>31775</v>
      </c>
      <c r="C161">
        <v>1758</v>
      </c>
      <c r="D161">
        <f t="shared" si="67"/>
        <v>33533</v>
      </c>
      <c r="E161" s="16">
        <f t="shared" si="68"/>
        <v>0.9475740315510095</v>
      </c>
      <c r="F161" s="16">
        <f t="shared" si="69"/>
        <v>5.2425968448990549E-2</v>
      </c>
      <c r="G161">
        <f t="shared" si="70"/>
        <v>31775</v>
      </c>
      <c r="H161">
        <f t="shared" si="70"/>
        <v>1758</v>
      </c>
    </row>
    <row r="162" spans="1:16" ht="15" thickBot="1" x14ac:dyDescent="0.35">
      <c r="E162" s="16"/>
      <c r="F162" s="16"/>
    </row>
    <row r="163" spans="1:16" ht="15" thickBot="1" x14ac:dyDescent="0.35">
      <c r="A163" s="61"/>
      <c r="B163" s="63" t="s">
        <v>12</v>
      </c>
      <c r="C163" s="64"/>
      <c r="D163" s="64"/>
      <c r="E163" s="64"/>
      <c r="F163" s="65"/>
      <c r="G163" s="63" t="s">
        <v>11</v>
      </c>
      <c r="H163" s="64"/>
      <c r="I163" s="64"/>
      <c r="J163" s="64"/>
      <c r="K163" s="65"/>
      <c r="L163" s="63" t="s">
        <v>13</v>
      </c>
      <c r="M163" s="64"/>
      <c r="N163" s="64"/>
      <c r="O163" s="64"/>
      <c r="P163" s="65"/>
    </row>
    <row r="164" spans="1:16" ht="15" thickBot="1" x14ac:dyDescent="0.35">
      <c r="A164" s="62"/>
      <c r="B164" s="9" t="s">
        <v>6</v>
      </c>
      <c r="C164" s="10" t="s">
        <v>7</v>
      </c>
      <c r="D164" s="7" t="s">
        <v>8</v>
      </c>
      <c r="E164" s="7" t="s">
        <v>9</v>
      </c>
      <c r="F164" s="8" t="s">
        <v>10</v>
      </c>
      <c r="G164" s="9" t="s">
        <v>6</v>
      </c>
      <c r="H164" s="10" t="s">
        <v>7</v>
      </c>
      <c r="I164" s="7" t="s">
        <v>8</v>
      </c>
      <c r="J164" s="7" t="s">
        <v>9</v>
      </c>
      <c r="K164" s="8" t="s">
        <v>10</v>
      </c>
      <c r="L164" s="9" t="s">
        <v>6</v>
      </c>
      <c r="M164" s="10" t="s">
        <v>7</v>
      </c>
      <c r="N164" s="7" t="s">
        <v>8</v>
      </c>
      <c r="O164" s="7" t="s">
        <v>9</v>
      </c>
      <c r="P164" s="8" t="s">
        <v>10</v>
      </c>
    </row>
    <row r="165" spans="1:16" x14ac:dyDescent="0.3">
      <c r="A165" s="11" t="s">
        <v>34</v>
      </c>
      <c r="B165" s="1"/>
      <c r="C165" s="2"/>
      <c r="D165" s="3"/>
      <c r="E165" s="24" t="e">
        <f>2*((C165*D165)/(C165+D165))</f>
        <v>#DIV/0!</v>
      </c>
      <c r="F165" s="4"/>
      <c r="G165" s="31">
        <v>85.58</v>
      </c>
      <c r="H165" s="24">
        <v>42.79</v>
      </c>
      <c r="I165" s="24">
        <v>50</v>
      </c>
      <c r="J165" s="24">
        <f>2*((H165*I165)/(H165+I165))</f>
        <v>46.114883069296262</v>
      </c>
      <c r="K165" s="36">
        <v>0</v>
      </c>
      <c r="L165" s="31">
        <v>79.239999999999995</v>
      </c>
      <c r="M165" s="24">
        <v>47.76</v>
      </c>
      <c r="N165" s="32">
        <v>48.66</v>
      </c>
      <c r="O165" s="24">
        <f>2*((M165*N165)/(M165+N165))</f>
        <v>48.205799626633478</v>
      </c>
      <c r="P165" s="36">
        <v>-3.3000000000000002E-2</v>
      </c>
    </row>
    <row r="166" spans="1:16" x14ac:dyDescent="0.3">
      <c r="A166" s="12" t="s">
        <v>35</v>
      </c>
      <c r="B166" s="5"/>
      <c r="C166" s="3"/>
      <c r="D166" s="3"/>
      <c r="E166" s="24" t="e">
        <f t="shared" ref="E166:E168" si="71">2*((C166*D166)/(C166+D166))</f>
        <v>#DIV/0!</v>
      </c>
      <c r="F166" s="4"/>
      <c r="G166" s="31">
        <v>62.66</v>
      </c>
      <c r="H166" s="24">
        <v>62.89</v>
      </c>
      <c r="I166" s="24">
        <v>61.67</v>
      </c>
      <c r="J166" s="24">
        <f t="shared" ref="J166:J168" si="72">2*((H166*I166)/(H166+I166))</f>
        <v>62.274025369299935</v>
      </c>
      <c r="K166" s="36">
        <v>0.23699999999999999</v>
      </c>
      <c r="L166" s="31">
        <v>62.06</v>
      </c>
      <c r="M166" s="24">
        <v>64.010000000000005</v>
      </c>
      <c r="N166" s="24">
        <v>60.41</v>
      </c>
      <c r="O166" s="24">
        <f t="shared" ref="O166:O168" si="73">2*((M166*N166)/(M166+N166))</f>
        <v>62.157918341102722</v>
      </c>
      <c r="P166" s="36">
        <v>0.215</v>
      </c>
    </row>
    <row r="167" spans="1:16" x14ac:dyDescent="0.3">
      <c r="A167" s="12" t="s">
        <v>36</v>
      </c>
      <c r="B167" s="5"/>
      <c r="C167" s="3"/>
      <c r="D167" s="3"/>
      <c r="E167" s="24" t="e">
        <f t="shared" si="71"/>
        <v>#DIV/0!</v>
      </c>
      <c r="F167" s="4"/>
      <c r="G167" s="31">
        <v>43.06</v>
      </c>
      <c r="H167" s="24">
        <v>42.1</v>
      </c>
      <c r="I167" s="24">
        <v>42.66</v>
      </c>
      <c r="J167" s="24">
        <f t="shared" si="72"/>
        <v>42.378150070788109</v>
      </c>
      <c r="K167" s="36">
        <v>-0.14799999999999999</v>
      </c>
      <c r="L167" s="31">
        <v>39.619999999999997</v>
      </c>
      <c r="M167" s="24">
        <v>38.840000000000003</v>
      </c>
      <c r="N167" s="32">
        <v>40.119999999999997</v>
      </c>
      <c r="O167" s="24">
        <f t="shared" si="73"/>
        <v>39.469625126646399</v>
      </c>
      <c r="P167" s="36">
        <v>-0.19500000000000001</v>
      </c>
    </row>
    <row r="168" spans="1:16" ht="15" thickBot="1" x14ac:dyDescent="0.35">
      <c r="A168" s="13" t="s">
        <v>37</v>
      </c>
      <c r="B168" s="6"/>
      <c r="C168" s="7"/>
      <c r="D168" s="7"/>
      <c r="E168" s="25" t="e">
        <f t="shared" si="71"/>
        <v>#DIV/0!</v>
      </c>
      <c r="F168" s="8"/>
      <c r="G168" s="33">
        <v>94.76</v>
      </c>
      <c r="H168" s="25">
        <v>47.38</v>
      </c>
      <c r="I168" s="25">
        <v>50</v>
      </c>
      <c r="J168" s="25">
        <f t="shared" si="72"/>
        <v>48.654754569726848</v>
      </c>
      <c r="K168" s="37">
        <v>0</v>
      </c>
      <c r="L168" s="33">
        <v>93.22</v>
      </c>
      <c r="M168" s="25">
        <v>47.34</v>
      </c>
      <c r="N168" s="25">
        <v>49.19</v>
      </c>
      <c r="O168" s="25">
        <f t="shared" si="73"/>
        <v>48.247272350564586</v>
      </c>
      <c r="P168" s="37">
        <v>-2.4E-2</v>
      </c>
    </row>
    <row r="170" spans="1:16" s="17" customFormat="1" x14ac:dyDescent="0.3"/>
    <row r="171" spans="1:16" x14ac:dyDescent="0.3">
      <c r="A171" t="s">
        <v>26</v>
      </c>
      <c r="B171" t="s">
        <v>1</v>
      </c>
      <c r="C171" t="s">
        <v>2</v>
      </c>
      <c r="G171" t="s">
        <v>27</v>
      </c>
    </row>
    <row r="172" spans="1:16" x14ac:dyDescent="0.3">
      <c r="A172" t="s">
        <v>34</v>
      </c>
      <c r="B172">
        <v>16365</v>
      </c>
      <c r="C172">
        <v>2511</v>
      </c>
      <c r="D172">
        <f>B172+C172</f>
        <v>18876</v>
      </c>
      <c r="E172" s="16">
        <f>(B172/D172)</f>
        <v>0.86697393515575338</v>
      </c>
      <c r="F172" s="16">
        <f>C172/D172</f>
        <v>0.13302606484424667</v>
      </c>
      <c r="G172">
        <f>B87+B101+B115+B129</f>
        <v>16365</v>
      </c>
      <c r="H172">
        <f>C87+C101+C115+C129</f>
        <v>2511</v>
      </c>
    </row>
    <row r="173" spans="1:16" x14ac:dyDescent="0.3">
      <c r="A173" t="s">
        <v>35</v>
      </c>
      <c r="B173">
        <v>6931</v>
      </c>
      <c r="C173">
        <v>11945</v>
      </c>
      <c r="D173">
        <f t="shared" ref="D173:D175" si="74">B173+C173</f>
        <v>18876</v>
      </c>
      <c r="E173" s="16">
        <f t="shared" ref="E173:E175" si="75">(B173/D173)</f>
        <v>0.36718584445857172</v>
      </c>
      <c r="F173" s="16">
        <f t="shared" ref="F173:F175" si="76">C173/D173</f>
        <v>0.63281415554142828</v>
      </c>
      <c r="G173">
        <f t="shared" ref="G173:H175" si="77">B88+B102+B116+B130</f>
        <v>6931</v>
      </c>
      <c r="H173">
        <f t="shared" si="77"/>
        <v>11945</v>
      </c>
    </row>
    <row r="174" spans="1:16" x14ac:dyDescent="0.3">
      <c r="A174" t="s">
        <v>36</v>
      </c>
      <c r="B174">
        <f>3532+8514</f>
        <v>12046</v>
      </c>
      <c r="C174">
        <f>3329+3501</f>
        <v>6830</v>
      </c>
      <c r="D174">
        <f t="shared" si="74"/>
        <v>18876</v>
      </c>
      <c r="E174" s="16">
        <f t="shared" si="75"/>
        <v>0.63816486543759277</v>
      </c>
      <c r="F174" s="16">
        <f t="shared" si="76"/>
        <v>0.36183513456240729</v>
      </c>
      <c r="G174">
        <f t="shared" si="77"/>
        <v>12046</v>
      </c>
      <c r="H174">
        <f t="shared" si="77"/>
        <v>6830</v>
      </c>
    </row>
    <row r="175" spans="1:16" x14ac:dyDescent="0.3">
      <c r="A175" t="s">
        <v>37</v>
      </c>
      <c r="B175">
        <v>18671</v>
      </c>
      <c r="C175">
        <v>205</v>
      </c>
      <c r="D175">
        <f t="shared" si="74"/>
        <v>18876</v>
      </c>
      <c r="E175" s="16">
        <f t="shared" si="75"/>
        <v>0.98913964823055733</v>
      </c>
      <c r="F175" s="16">
        <f t="shared" si="76"/>
        <v>1.0860351769442679E-2</v>
      </c>
      <c r="G175">
        <f t="shared" si="77"/>
        <v>18671</v>
      </c>
      <c r="H175">
        <f t="shared" si="77"/>
        <v>205</v>
      </c>
    </row>
    <row r="176" spans="1:16" ht="15" thickBot="1" x14ac:dyDescent="0.35"/>
    <row r="177" spans="1:20" ht="15" thickBot="1" x14ac:dyDescent="0.35">
      <c r="A177" s="61"/>
      <c r="B177" s="63" t="s">
        <v>12</v>
      </c>
      <c r="C177" s="64"/>
      <c r="D177" s="64"/>
      <c r="E177" s="64"/>
      <c r="F177" s="65"/>
      <c r="G177" s="63" t="s">
        <v>11</v>
      </c>
      <c r="H177" s="64"/>
      <c r="I177" s="64"/>
      <c r="J177" s="64"/>
      <c r="K177" s="65"/>
      <c r="L177" s="63" t="s">
        <v>13</v>
      </c>
      <c r="M177" s="64"/>
      <c r="N177" s="64"/>
      <c r="O177" s="64"/>
      <c r="P177" s="65"/>
    </row>
    <row r="178" spans="1:20" ht="15" thickBot="1" x14ac:dyDescent="0.35">
      <c r="A178" s="62"/>
      <c r="B178" s="9" t="s">
        <v>6</v>
      </c>
      <c r="C178" s="10" t="s">
        <v>7</v>
      </c>
      <c r="D178" s="7" t="s">
        <v>8</v>
      </c>
      <c r="E178" s="7" t="s">
        <v>9</v>
      </c>
      <c r="F178" s="8" t="s">
        <v>10</v>
      </c>
      <c r="G178" s="9" t="s">
        <v>6</v>
      </c>
      <c r="H178" s="10" t="s">
        <v>7</v>
      </c>
      <c r="I178" s="7" t="s">
        <v>8</v>
      </c>
      <c r="J178" s="7" t="s">
        <v>9</v>
      </c>
      <c r="K178" s="8" t="s">
        <v>10</v>
      </c>
      <c r="L178" s="9" t="s">
        <v>6</v>
      </c>
      <c r="M178" s="10" t="s">
        <v>7</v>
      </c>
      <c r="N178" s="7" t="s">
        <v>8</v>
      </c>
      <c r="O178" s="7" t="s">
        <v>9</v>
      </c>
      <c r="P178" s="8" t="s">
        <v>10</v>
      </c>
    </row>
    <row r="179" spans="1:20" x14ac:dyDescent="0.3">
      <c r="A179" s="11" t="s">
        <v>34</v>
      </c>
      <c r="B179" s="1"/>
      <c r="C179" s="2"/>
      <c r="D179" s="3"/>
      <c r="E179" s="24" t="e">
        <f>2*((C179*D179)/(C179+D179))</f>
        <v>#DIV/0!</v>
      </c>
      <c r="F179" s="4"/>
      <c r="G179" s="31">
        <v>86.7</v>
      </c>
      <c r="H179" s="24">
        <v>43.35</v>
      </c>
      <c r="I179" s="24">
        <v>50</v>
      </c>
      <c r="J179" s="24">
        <f>2*((H179*I179)/(H179+I179))</f>
        <v>46.438136047134442</v>
      </c>
      <c r="K179" s="36">
        <v>0</v>
      </c>
      <c r="L179" s="31">
        <v>86.68</v>
      </c>
      <c r="M179" s="24">
        <v>43.35</v>
      </c>
      <c r="N179" s="32">
        <v>49.99</v>
      </c>
      <c r="O179" s="24">
        <f>2*((M179*N179)/(M179+N179))</f>
        <v>46.433822584101144</v>
      </c>
      <c r="P179" s="36">
        <v>0</v>
      </c>
    </row>
    <row r="180" spans="1:20" x14ac:dyDescent="0.3">
      <c r="A180" s="12" t="s">
        <v>35</v>
      </c>
      <c r="B180" s="5"/>
      <c r="C180" s="3"/>
      <c r="D180" s="3"/>
      <c r="E180" s="24" t="e">
        <f t="shared" ref="E180:E182" si="78">2*((C180*D180)/(C180+D180))</f>
        <v>#DIV/0!</v>
      </c>
      <c r="F180" s="4"/>
      <c r="G180" s="31">
        <v>63.28</v>
      </c>
      <c r="H180" s="24">
        <v>31.64</v>
      </c>
      <c r="I180" s="24">
        <v>50</v>
      </c>
      <c r="J180" s="24">
        <f t="shared" ref="J180:J182" si="79">2*((H180*I180)/(H180+I180))</f>
        <v>38.755512003919648</v>
      </c>
      <c r="K180" s="36">
        <v>0</v>
      </c>
      <c r="L180" s="31">
        <v>62.41</v>
      </c>
      <c r="M180" s="24">
        <v>54.22</v>
      </c>
      <c r="N180" s="24">
        <v>51.33</v>
      </c>
      <c r="O180" s="24">
        <f t="shared" ref="O180:O182" si="80">2*((M180*N180)/(M180+N180))</f>
        <v>52.73543533870204</v>
      </c>
      <c r="P180" s="36">
        <v>3.2000000000000001E-2</v>
      </c>
    </row>
    <row r="181" spans="1:20" x14ac:dyDescent="0.3">
      <c r="A181" s="12" t="s">
        <v>36</v>
      </c>
      <c r="B181" s="5"/>
      <c r="C181" s="3"/>
      <c r="D181" s="3"/>
      <c r="E181" s="24" t="e">
        <f t="shared" si="78"/>
        <v>#DIV/0!</v>
      </c>
      <c r="F181" s="4"/>
      <c r="G181" s="31">
        <v>37.26</v>
      </c>
      <c r="H181" s="24">
        <v>40.31</v>
      </c>
      <c r="I181" s="24">
        <v>40.29</v>
      </c>
      <c r="J181" s="24">
        <f t="shared" si="79"/>
        <v>40.299997518610432</v>
      </c>
      <c r="K181" s="36">
        <v>-0.16700000000000001</v>
      </c>
      <c r="L181" s="31">
        <v>54.99</v>
      </c>
      <c r="M181" s="24">
        <v>58.82</v>
      </c>
      <c r="N181" s="32">
        <v>58.99</v>
      </c>
      <c r="O181" s="24">
        <f t="shared" si="80"/>
        <v>58.904877344877342</v>
      </c>
      <c r="P181" s="36">
        <v>0.156</v>
      </c>
    </row>
    <row r="182" spans="1:20" ht="15" thickBot="1" x14ac:dyDescent="0.35">
      <c r="A182" s="13" t="s">
        <v>37</v>
      </c>
      <c r="B182" s="6"/>
      <c r="C182" s="7"/>
      <c r="D182" s="7"/>
      <c r="E182" s="25" t="e">
        <f t="shared" si="78"/>
        <v>#DIV/0!</v>
      </c>
      <c r="F182" s="8"/>
      <c r="G182" s="33">
        <v>98.91</v>
      </c>
      <c r="H182" s="25">
        <v>49.46</v>
      </c>
      <c r="I182" s="25">
        <v>50</v>
      </c>
      <c r="J182" s="25">
        <f t="shared" si="79"/>
        <v>49.728534084053884</v>
      </c>
      <c r="K182" s="37">
        <v>0</v>
      </c>
      <c r="L182" s="33">
        <v>98.91</v>
      </c>
      <c r="M182" s="25">
        <v>49.46</v>
      </c>
      <c r="N182" s="25">
        <v>50</v>
      </c>
      <c r="O182" s="25">
        <f t="shared" si="80"/>
        <v>49.728534084053884</v>
      </c>
      <c r="P182" s="40">
        <v>0</v>
      </c>
    </row>
    <row r="184" spans="1:20" s="18" customFormat="1" x14ac:dyDescent="0.3"/>
    <row r="185" spans="1:20" ht="15" thickBot="1" x14ac:dyDescent="0.35">
      <c r="A185" t="s">
        <v>31</v>
      </c>
      <c r="H185" t="s">
        <v>32</v>
      </c>
      <c r="O185" t="s">
        <v>33</v>
      </c>
    </row>
    <row r="186" spans="1:20" ht="15" thickBot="1" x14ac:dyDescent="0.35">
      <c r="A186" s="67"/>
      <c r="B186" s="61"/>
      <c r="C186" s="20" t="s">
        <v>6</v>
      </c>
      <c r="D186" s="21" t="s">
        <v>7</v>
      </c>
      <c r="E186" s="22" t="s">
        <v>8</v>
      </c>
      <c r="F186" s="23" t="s">
        <v>9</v>
      </c>
      <c r="H186" s="63"/>
      <c r="I186" s="65"/>
      <c r="J186" s="21" t="s">
        <v>6</v>
      </c>
      <c r="K186" s="21" t="s">
        <v>7</v>
      </c>
      <c r="L186" s="22" t="s">
        <v>8</v>
      </c>
      <c r="M186" s="23" t="s">
        <v>9</v>
      </c>
      <c r="O186" s="63"/>
      <c r="P186" s="65"/>
      <c r="Q186" s="21" t="s">
        <v>6</v>
      </c>
      <c r="R186" s="21" t="s">
        <v>7</v>
      </c>
      <c r="S186" s="22" t="s">
        <v>8</v>
      </c>
      <c r="T186" s="23" t="s">
        <v>9</v>
      </c>
    </row>
    <row r="187" spans="1:20" x14ac:dyDescent="0.3">
      <c r="A187" s="66" t="s">
        <v>34</v>
      </c>
      <c r="B187" s="19" t="s">
        <v>29</v>
      </c>
      <c r="C187" s="3">
        <f>B150</f>
        <v>0</v>
      </c>
      <c r="D187" s="3">
        <f t="shared" ref="D187:E187" si="81">C150</f>
        <v>0</v>
      </c>
      <c r="E187" s="3">
        <f t="shared" si="81"/>
        <v>0</v>
      </c>
      <c r="F187" s="26" t="e">
        <f>E150</f>
        <v>#DIV/0!</v>
      </c>
      <c r="H187" s="59" t="s">
        <v>3</v>
      </c>
      <c r="I187" s="4" t="s">
        <v>29</v>
      </c>
      <c r="J187" s="3">
        <f>B165</f>
        <v>0</v>
      </c>
      <c r="K187" s="3">
        <f t="shared" ref="K187:M187" si="82">C165</f>
        <v>0</v>
      </c>
      <c r="L187" s="3">
        <f t="shared" si="82"/>
        <v>0</v>
      </c>
      <c r="M187" s="26" t="e">
        <f t="shared" si="82"/>
        <v>#DIV/0!</v>
      </c>
      <c r="O187" s="59" t="s">
        <v>3</v>
      </c>
      <c r="P187" s="4" t="s">
        <v>29</v>
      </c>
      <c r="Q187" s="3">
        <f>B179</f>
        <v>0</v>
      </c>
      <c r="R187" s="3">
        <f t="shared" ref="R187:S187" si="83">C179</f>
        <v>0</v>
      </c>
      <c r="S187" s="3">
        <f t="shared" si="83"/>
        <v>0</v>
      </c>
      <c r="T187" s="26" t="e">
        <f>E179</f>
        <v>#DIV/0!</v>
      </c>
    </row>
    <row r="188" spans="1:20" x14ac:dyDescent="0.3">
      <c r="A188" s="59"/>
      <c r="B188" s="4" t="s">
        <v>14</v>
      </c>
      <c r="C188" s="3">
        <f>B10</f>
        <v>0</v>
      </c>
      <c r="D188" s="3">
        <f t="shared" ref="D188:F188" si="84">C10</f>
        <v>0</v>
      </c>
      <c r="E188" s="3">
        <f t="shared" si="84"/>
        <v>0</v>
      </c>
      <c r="F188" s="26" t="e">
        <f t="shared" si="84"/>
        <v>#DIV/0!</v>
      </c>
      <c r="H188" s="59"/>
      <c r="I188" s="4" t="s">
        <v>16</v>
      </c>
      <c r="J188" s="3">
        <f>B38</f>
        <v>0</v>
      </c>
      <c r="K188" s="3">
        <f t="shared" ref="K188:M188" si="85">C38</f>
        <v>0</v>
      </c>
      <c r="L188" s="3">
        <f t="shared" si="85"/>
        <v>0</v>
      </c>
      <c r="M188" s="26" t="e">
        <f t="shared" si="85"/>
        <v>#DIV/0!</v>
      </c>
      <c r="O188" s="59"/>
      <c r="P188" s="4" t="s">
        <v>20</v>
      </c>
      <c r="Q188" s="3">
        <f>B94</f>
        <v>0</v>
      </c>
      <c r="R188" s="3">
        <f t="shared" ref="R188:T188" si="86">C94</f>
        <v>0</v>
      </c>
      <c r="S188" s="3">
        <f t="shared" si="86"/>
        <v>0</v>
      </c>
      <c r="T188" s="26" t="e">
        <f t="shared" si="86"/>
        <v>#DIV/0!</v>
      </c>
    </row>
    <row r="189" spans="1:20" x14ac:dyDescent="0.3">
      <c r="A189" s="59"/>
      <c r="B189" s="4" t="s">
        <v>15</v>
      </c>
      <c r="C189" s="3">
        <f>B24</f>
        <v>0</v>
      </c>
      <c r="D189" s="3">
        <f t="shared" ref="D189:F189" si="87">C24</f>
        <v>0</v>
      </c>
      <c r="E189" s="3">
        <f t="shared" si="87"/>
        <v>0</v>
      </c>
      <c r="F189" s="26" t="e">
        <f t="shared" si="87"/>
        <v>#DIV/0!</v>
      </c>
      <c r="H189" s="59"/>
      <c r="I189" s="4" t="s">
        <v>17</v>
      </c>
      <c r="J189" s="3">
        <f>B52</f>
        <v>0</v>
      </c>
      <c r="K189" s="3">
        <f t="shared" ref="K189:M189" si="88">C52</f>
        <v>0</v>
      </c>
      <c r="L189" s="3">
        <f t="shared" si="88"/>
        <v>0</v>
      </c>
      <c r="M189" s="26" t="e">
        <f t="shared" si="88"/>
        <v>#DIV/0!</v>
      </c>
      <c r="O189" s="59"/>
      <c r="P189" s="4" t="s">
        <v>21</v>
      </c>
      <c r="Q189" s="3">
        <f>B108</f>
        <v>0</v>
      </c>
      <c r="R189" s="3">
        <f t="shared" ref="R189:T189" si="89">C108</f>
        <v>0</v>
      </c>
      <c r="S189" s="3">
        <f t="shared" si="89"/>
        <v>0</v>
      </c>
      <c r="T189" s="26" t="e">
        <f t="shared" si="89"/>
        <v>#DIV/0!</v>
      </c>
    </row>
    <row r="190" spans="1:20" x14ac:dyDescent="0.3">
      <c r="A190" s="59" t="s">
        <v>35</v>
      </c>
      <c r="B190" s="4" t="s">
        <v>29</v>
      </c>
      <c r="C190" s="3">
        <f>B151</f>
        <v>0</v>
      </c>
      <c r="D190" s="3">
        <f>C151</f>
        <v>0</v>
      </c>
      <c r="E190" s="3">
        <f>D151</f>
        <v>0</v>
      </c>
      <c r="F190" s="26" t="e">
        <f>E151</f>
        <v>#DIV/0!</v>
      </c>
      <c r="H190" s="59"/>
      <c r="I190" s="4" t="s">
        <v>18</v>
      </c>
      <c r="J190" s="3">
        <f>B66</f>
        <v>0</v>
      </c>
      <c r="K190" s="3">
        <f t="shared" ref="K190:M190" si="90">C66</f>
        <v>0</v>
      </c>
      <c r="L190" s="3">
        <f t="shared" si="90"/>
        <v>0</v>
      </c>
      <c r="M190" s="26" t="e">
        <f t="shared" si="90"/>
        <v>#DIV/0!</v>
      </c>
      <c r="O190" s="59"/>
      <c r="P190" s="4" t="s">
        <v>22</v>
      </c>
      <c r="Q190" s="3">
        <f>B122</f>
        <v>0</v>
      </c>
      <c r="R190" s="3">
        <f t="shared" ref="R190:T190" si="91">C122</f>
        <v>0</v>
      </c>
      <c r="S190" s="3">
        <f t="shared" si="91"/>
        <v>0</v>
      </c>
      <c r="T190" s="26" t="e">
        <f t="shared" si="91"/>
        <v>#DIV/0!</v>
      </c>
    </row>
    <row r="191" spans="1:20" x14ac:dyDescent="0.3">
      <c r="A191" s="59"/>
      <c r="B191" s="4" t="s">
        <v>14</v>
      </c>
      <c r="C191" s="3">
        <f>B11</f>
        <v>0</v>
      </c>
      <c r="D191" s="3">
        <f t="shared" ref="D191:F191" si="92">C11</f>
        <v>0</v>
      </c>
      <c r="E191" s="3">
        <f t="shared" si="92"/>
        <v>0</v>
      </c>
      <c r="F191" s="26" t="e">
        <f t="shared" si="92"/>
        <v>#DIV/0!</v>
      </c>
      <c r="H191" s="59"/>
      <c r="I191" s="4" t="s">
        <v>19</v>
      </c>
      <c r="J191" s="3">
        <f>B80</f>
        <v>0</v>
      </c>
      <c r="K191" s="3">
        <f t="shared" ref="K191:M191" si="93">C80</f>
        <v>0</v>
      </c>
      <c r="L191" s="3">
        <f t="shared" si="93"/>
        <v>0</v>
      </c>
      <c r="M191" s="26" t="e">
        <f t="shared" si="93"/>
        <v>#DIV/0!</v>
      </c>
      <c r="O191" s="59"/>
      <c r="P191" s="4" t="s">
        <v>23</v>
      </c>
      <c r="Q191" s="3">
        <f>B136</f>
        <v>0</v>
      </c>
      <c r="R191" s="3">
        <f t="shared" ref="R191:T191" si="94">C136</f>
        <v>0</v>
      </c>
      <c r="S191" s="3">
        <f t="shared" si="94"/>
        <v>0</v>
      </c>
      <c r="T191" s="26" t="e">
        <f t="shared" si="94"/>
        <v>#DIV/0!</v>
      </c>
    </row>
    <row r="192" spans="1:20" x14ac:dyDescent="0.3">
      <c r="A192" s="59"/>
      <c r="B192" s="4" t="s">
        <v>15</v>
      </c>
      <c r="C192" s="3">
        <f>B25</f>
        <v>0</v>
      </c>
      <c r="D192" s="3">
        <f t="shared" ref="D192:F192" si="95">C25</f>
        <v>0</v>
      </c>
      <c r="E192" s="3">
        <f t="shared" si="95"/>
        <v>0</v>
      </c>
      <c r="F192" s="26" t="e">
        <f t="shared" si="95"/>
        <v>#DIV/0!</v>
      </c>
      <c r="H192" s="59" t="s">
        <v>4</v>
      </c>
      <c r="I192" s="4" t="s">
        <v>29</v>
      </c>
      <c r="J192" s="3">
        <f>B166</f>
        <v>0</v>
      </c>
      <c r="K192" s="3">
        <f t="shared" ref="K192:M192" si="96">C166</f>
        <v>0</v>
      </c>
      <c r="L192" s="3">
        <f t="shared" si="96"/>
        <v>0</v>
      </c>
      <c r="M192" s="26" t="e">
        <f t="shared" si="96"/>
        <v>#DIV/0!</v>
      </c>
      <c r="O192" s="59" t="s">
        <v>4</v>
      </c>
      <c r="P192" s="4" t="s">
        <v>29</v>
      </c>
      <c r="Q192" s="3">
        <f>B180</f>
        <v>0</v>
      </c>
      <c r="R192" s="3">
        <f t="shared" ref="R192:T192" si="97">C180</f>
        <v>0</v>
      </c>
      <c r="S192" s="3">
        <f t="shared" si="97"/>
        <v>0</v>
      </c>
      <c r="T192" s="26" t="e">
        <f t="shared" si="97"/>
        <v>#DIV/0!</v>
      </c>
    </row>
    <row r="193" spans="1:20" x14ac:dyDescent="0.3">
      <c r="A193" s="59" t="s">
        <v>36</v>
      </c>
      <c r="B193" s="4" t="s">
        <v>29</v>
      </c>
      <c r="C193" s="3">
        <f>B152</f>
        <v>0</v>
      </c>
      <c r="D193" s="3">
        <f t="shared" ref="D193:F193" si="98">C152</f>
        <v>0</v>
      </c>
      <c r="E193" s="3">
        <f t="shared" si="98"/>
        <v>0</v>
      </c>
      <c r="F193" s="26" t="e">
        <f t="shared" si="98"/>
        <v>#DIV/0!</v>
      </c>
      <c r="H193" s="59"/>
      <c r="I193" s="4" t="s">
        <v>16</v>
      </c>
      <c r="J193" s="3">
        <f>B39</f>
        <v>0</v>
      </c>
      <c r="K193" s="3">
        <f t="shared" ref="K193:M193" si="99">C39</f>
        <v>0</v>
      </c>
      <c r="L193" s="3">
        <f t="shared" si="99"/>
        <v>0</v>
      </c>
      <c r="M193" s="26" t="e">
        <f t="shared" si="99"/>
        <v>#DIV/0!</v>
      </c>
      <c r="O193" s="59"/>
      <c r="P193" s="4" t="s">
        <v>20</v>
      </c>
      <c r="Q193" s="3">
        <f>B95</f>
        <v>0</v>
      </c>
      <c r="R193" s="3">
        <f t="shared" ref="R193:T193" si="100">C95</f>
        <v>0</v>
      </c>
      <c r="S193" s="3">
        <f t="shared" si="100"/>
        <v>0</v>
      </c>
      <c r="T193" s="26" t="e">
        <f t="shared" si="100"/>
        <v>#DIV/0!</v>
      </c>
    </row>
    <row r="194" spans="1:20" x14ac:dyDescent="0.3">
      <c r="A194" s="59"/>
      <c r="B194" s="4" t="s">
        <v>14</v>
      </c>
      <c r="C194" s="3">
        <f>B12</f>
        <v>0</v>
      </c>
      <c r="D194" s="3">
        <f t="shared" ref="D194:F194" si="101">C12</f>
        <v>0</v>
      </c>
      <c r="E194" s="3">
        <f t="shared" si="101"/>
        <v>0</v>
      </c>
      <c r="F194" s="26" t="e">
        <f t="shared" si="101"/>
        <v>#DIV/0!</v>
      </c>
      <c r="H194" s="59"/>
      <c r="I194" s="4" t="s">
        <v>17</v>
      </c>
      <c r="J194" s="3">
        <f>B53</f>
        <v>0</v>
      </c>
      <c r="K194" s="3">
        <f t="shared" ref="K194:M194" si="102">C53</f>
        <v>0</v>
      </c>
      <c r="L194" s="3">
        <f t="shared" si="102"/>
        <v>0</v>
      </c>
      <c r="M194" s="26" t="e">
        <f t="shared" si="102"/>
        <v>#DIV/0!</v>
      </c>
      <c r="O194" s="59"/>
      <c r="P194" s="4" t="s">
        <v>21</v>
      </c>
      <c r="Q194" s="3">
        <f>B109</f>
        <v>0</v>
      </c>
      <c r="R194" s="3">
        <f t="shared" ref="R194:T194" si="103">C109</f>
        <v>0</v>
      </c>
      <c r="S194" s="3">
        <f t="shared" si="103"/>
        <v>0</v>
      </c>
      <c r="T194" s="26" t="e">
        <f t="shared" si="103"/>
        <v>#DIV/0!</v>
      </c>
    </row>
    <row r="195" spans="1:20" x14ac:dyDescent="0.3">
      <c r="A195" s="59"/>
      <c r="B195" s="4" t="s">
        <v>15</v>
      </c>
      <c r="C195" s="3">
        <f>B26</f>
        <v>0</v>
      </c>
      <c r="D195" s="3">
        <f t="shared" ref="D195:F195" si="104">C26</f>
        <v>0</v>
      </c>
      <c r="E195" s="3">
        <f t="shared" si="104"/>
        <v>0</v>
      </c>
      <c r="F195" s="26" t="e">
        <f t="shared" si="104"/>
        <v>#DIV/0!</v>
      </c>
      <c r="H195" s="59"/>
      <c r="I195" s="4" t="s">
        <v>18</v>
      </c>
      <c r="J195" s="3">
        <f>B67</f>
        <v>0</v>
      </c>
      <c r="K195" s="3">
        <f t="shared" ref="K195:M195" si="105">C67</f>
        <v>0</v>
      </c>
      <c r="L195" s="3">
        <f t="shared" si="105"/>
        <v>0</v>
      </c>
      <c r="M195" s="26" t="e">
        <f t="shared" si="105"/>
        <v>#DIV/0!</v>
      </c>
      <c r="O195" s="59"/>
      <c r="P195" s="4" t="s">
        <v>22</v>
      </c>
      <c r="Q195" s="3">
        <f>B123</f>
        <v>0</v>
      </c>
      <c r="R195" s="3">
        <f t="shared" ref="R195:T195" si="106">C123</f>
        <v>0</v>
      </c>
      <c r="S195" s="3">
        <f t="shared" si="106"/>
        <v>0</v>
      </c>
      <c r="T195" s="26" t="e">
        <f t="shared" si="106"/>
        <v>#DIV/0!</v>
      </c>
    </row>
    <row r="196" spans="1:20" x14ac:dyDescent="0.3">
      <c r="A196" s="59" t="s">
        <v>37</v>
      </c>
      <c r="B196" s="4" t="s">
        <v>29</v>
      </c>
      <c r="C196" s="3">
        <f>B153</f>
        <v>0</v>
      </c>
      <c r="D196" s="3">
        <f t="shared" ref="D196:F196" si="107">C153</f>
        <v>0</v>
      </c>
      <c r="E196" s="3">
        <f t="shared" si="107"/>
        <v>0</v>
      </c>
      <c r="F196" s="26" t="e">
        <f t="shared" si="107"/>
        <v>#DIV/0!</v>
      </c>
      <c r="H196" s="59"/>
      <c r="I196" s="4" t="s">
        <v>19</v>
      </c>
      <c r="J196" s="3">
        <f>B81</f>
        <v>0</v>
      </c>
      <c r="K196" s="3">
        <f t="shared" ref="K196:M196" si="108">C81</f>
        <v>0</v>
      </c>
      <c r="L196" s="3">
        <f t="shared" si="108"/>
        <v>0</v>
      </c>
      <c r="M196" s="26" t="e">
        <f t="shared" si="108"/>
        <v>#DIV/0!</v>
      </c>
      <c r="O196" s="59"/>
      <c r="P196" s="4" t="s">
        <v>23</v>
      </c>
      <c r="Q196" s="3">
        <f>B137</f>
        <v>0</v>
      </c>
      <c r="R196" s="3">
        <f t="shared" ref="R196:T196" si="109">C137</f>
        <v>0</v>
      </c>
      <c r="S196" s="3">
        <f t="shared" si="109"/>
        <v>0</v>
      </c>
      <c r="T196" s="26" t="e">
        <f t="shared" si="109"/>
        <v>#DIV/0!</v>
      </c>
    </row>
    <row r="197" spans="1:20" x14ac:dyDescent="0.3">
      <c r="A197" s="59"/>
      <c r="B197" s="4" t="s">
        <v>14</v>
      </c>
      <c r="C197" s="3">
        <f>B13</f>
        <v>0</v>
      </c>
      <c r="D197" s="3">
        <f t="shared" ref="D197:F197" si="110">C13</f>
        <v>0</v>
      </c>
      <c r="E197" s="3">
        <f t="shared" si="110"/>
        <v>0</v>
      </c>
      <c r="F197" s="26" t="e">
        <f t="shared" si="110"/>
        <v>#DIV/0!</v>
      </c>
      <c r="H197" s="59" t="s">
        <v>0</v>
      </c>
      <c r="I197" s="4" t="s">
        <v>29</v>
      </c>
      <c r="J197" s="3">
        <f>B167</f>
        <v>0</v>
      </c>
      <c r="K197" s="3">
        <f t="shared" ref="K197:M197" si="111">C167</f>
        <v>0</v>
      </c>
      <c r="L197" s="3">
        <f t="shared" si="111"/>
        <v>0</v>
      </c>
      <c r="M197" s="26" t="e">
        <f t="shared" si="111"/>
        <v>#DIV/0!</v>
      </c>
      <c r="O197" s="59" t="s">
        <v>0</v>
      </c>
      <c r="P197" s="4" t="s">
        <v>29</v>
      </c>
      <c r="Q197" s="3">
        <f>B181</f>
        <v>0</v>
      </c>
      <c r="R197" s="3">
        <f t="shared" ref="R197:T197" si="112">C181</f>
        <v>0</v>
      </c>
      <c r="S197" s="3">
        <f t="shared" si="112"/>
        <v>0</v>
      </c>
      <c r="T197" s="26" t="e">
        <f t="shared" si="112"/>
        <v>#DIV/0!</v>
      </c>
    </row>
    <row r="198" spans="1:20" x14ac:dyDescent="0.3">
      <c r="A198" s="59"/>
      <c r="B198" s="4" t="s">
        <v>15</v>
      </c>
      <c r="C198" s="3">
        <f>B27</f>
        <v>0</v>
      </c>
      <c r="D198" s="3">
        <f t="shared" ref="D198:F198" si="113">C27</f>
        <v>0</v>
      </c>
      <c r="E198" s="3">
        <f t="shared" si="113"/>
        <v>0</v>
      </c>
      <c r="F198" s="26" t="e">
        <f t="shared" si="113"/>
        <v>#DIV/0!</v>
      </c>
      <c r="H198" s="59"/>
      <c r="I198" s="4" t="s">
        <v>16</v>
      </c>
      <c r="J198" s="3">
        <f>B40</f>
        <v>0</v>
      </c>
      <c r="K198" s="3">
        <f t="shared" ref="K198:M198" si="114">C40</f>
        <v>0</v>
      </c>
      <c r="L198" s="3">
        <f t="shared" si="114"/>
        <v>0</v>
      </c>
      <c r="M198" s="26" t="e">
        <f t="shared" si="114"/>
        <v>#DIV/0!</v>
      </c>
      <c r="O198" s="59"/>
      <c r="P198" s="4" t="s">
        <v>20</v>
      </c>
      <c r="Q198" s="3">
        <f>B96</f>
        <v>0</v>
      </c>
      <c r="R198" s="3">
        <f t="shared" ref="R198:T198" si="115">C96</f>
        <v>0</v>
      </c>
      <c r="S198" s="3">
        <f t="shared" si="115"/>
        <v>0</v>
      </c>
      <c r="T198" s="26" t="e">
        <f t="shared" si="115"/>
        <v>#DIV/0!</v>
      </c>
    </row>
    <row r="199" spans="1:20" x14ac:dyDescent="0.3">
      <c r="A199" s="59" t="s">
        <v>28</v>
      </c>
      <c r="B199" s="4" t="s">
        <v>29</v>
      </c>
      <c r="C199" s="24">
        <f>AVERAGE(C187,C190,C193,C196)</f>
        <v>0</v>
      </c>
      <c r="D199" s="24">
        <f t="shared" ref="D199:F201" si="116">AVERAGE(D187,D190,D193,D196)</f>
        <v>0</v>
      </c>
      <c r="E199" s="24">
        <f t="shared" si="116"/>
        <v>0</v>
      </c>
      <c r="F199" s="26" t="e">
        <f t="shared" si="116"/>
        <v>#DIV/0!</v>
      </c>
      <c r="H199" s="59"/>
      <c r="I199" s="4" t="s">
        <v>17</v>
      </c>
      <c r="J199" s="3">
        <f>B54</f>
        <v>0</v>
      </c>
      <c r="K199" s="3">
        <f t="shared" ref="K199:M199" si="117">C54</f>
        <v>0</v>
      </c>
      <c r="L199" s="3">
        <f t="shared" si="117"/>
        <v>0</v>
      </c>
      <c r="M199" s="26" t="e">
        <f t="shared" si="117"/>
        <v>#DIV/0!</v>
      </c>
      <c r="O199" s="59"/>
      <c r="P199" s="4" t="s">
        <v>21</v>
      </c>
      <c r="Q199" s="3">
        <f>B110</f>
        <v>0</v>
      </c>
      <c r="R199" s="3">
        <f t="shared" ref="R199:T199" si="118">C110</f>
        <v>0</v>
      </c>
      <c r="S199" s="3">
        <f t="shared" si="118"/>
        <v>0</v>
      </c>
      <c r="T199" s="26" t="e">
        <f t="shared" si="118"/>
        <v>#DIV/0!</v>
      </c>
    </row>
    <row r="200" spans="1:20" x14ac:dyDescent="0.3">
      <c r="A200" s="59"/>
      <c r="B200" s="4" t="s">
        <v>14</v>
      </c>
      <c r="C200" s="24">
        <f>AVERAGE(C188,C191,C194,C197)</f>
        <v>0</v>
      </c>
      <c r="D200" s="24">
        <f t="shared" si="116"/>
        <v>0</v>
      </c>
      <c r="E200" s="24">
        <f t="shared" si="116"/>
        <v>0</v>
      </c>
      <c r="F200" s="26" t="e">
        <f t="shared" si="116"/>
        <v>#DIV/0!</v>
      </c>
      <c r="H200" s="59"/>
      <c r="I200" s="4" t="s">
        <v>18</v>
      </c>
      <c r="J200" s="3">
        <f>B68</f>
        <v>0</v>
      </c>
      <c r="K200" s="3">
        <f t="shared" ref="K200:M200" si="119">C68</f>
        <v>0</v>
      </c>
      <c r="L200" s="3">
        <f t="shared" si="119"/>
        <v>0</v>
      </c>
      <c r="M200" s="26" t="e">
        <f t="shared" si="119"/>
        <v>#DIV/0!</v>
      </c>
      <c r="O200" s="59"/>
      <c r="P200" s="4" t="s">
        <v>22</v>
      </c>
      <c r="Q200" s="3">
        <f>B124</f>
        <v>0</v>
      </c>
      <c r="R200" s="3">
        <f t="shared" ref="R200:T200" si="120">C124</f>
        <v>0</v>
      </c>
      <c r="S200" s="3">
        <f t="shared" si="120"/>
        <v>0</v>
      </c>
      <c r="T200" s="26" t="e">
        <f t="shared" si="120"/>
        <v>#DIV/0!</v>
      </c>
    </row>
    <row r="201" spans="1:20" ht="15" thickBot="1" x14ac:dyDescent="0.35">
      <c r="A201" s="60"/>
      <c r="B201" s="8" t="s">
        <v>15</v>
      </c>
      <c r="C201" s="25">
        <f>AVERAGE(C189,C192,C195,C198)</f>
        <v>0</v>
      </c>
      <c r="D201" s="25">
        <f t="shared" si="116"/>
        <v>0</v>
      </c>
      <c r="E201" s="25">
        <f t="shared" si="116"/>
        <v>0</v>
      </c>
      <c r="F201" s="27" t="e">
        <f t="shared" si="116"/>
        <v>#DIV/0!</v>
      </c>
      <c r="H201" s="59"/>
      <c r="I201" s="4" t="s">
        <v>19</v>
      </c>
      <c r="J201" s="3">
        <f>B82</f>
        <v>0</v>
      </c>
      <c r="K201" s="3">
        <f t="shared" ref="K201:M201" si="121">C82</f>
        <v>0</v>
      </c>
      <c r="L201" s="3">
        <f t="shared" si="121"/>
        <v>0</v>
      </c>
      <c r="M201" s="26" t="e">
        <f t="shared" si="121"/>
        <v>#DIV/0!</v>
      </c>
      <c r="O201" s="59"/>
      <c r="P201" s="4" t="s">
        <v>23</v>
      </c>
      <c r="Q201" s="3">
        <f>B138</f>
        <v>0</v>
      </c>
      <c r="R201" s="3">
        <f t="shared" ref="R201:T201" si="122">C138</f>
        <v>0</v>
      </c>
      <c r="S201" s="3">
        <f t="shared" si="122"/>
        <v>0</v>
      </c>
      <c r="T201" s="26" t="e">
        <f t="shared" si="122"/>
        <v>#DIV/0!</v>
      </c>
    </row>
    <row r="202" spans="1:20" x14ac:dyDescent="0.3">
      <c r="H202" s="59" t="s">
        <v>5</v>
      </c>
      <c r="I202" s="4" t="s">
        <v>29</v>
      </c>
      <c r="J202" s="3">
        <f>B168</f>
        <v>0</v>
      </c>
      <c r="K202" s="3">
        <f t="shared" ref="K202:M202" si="123">C168</f>
        <v>0</v>
      </c>
      <c r="L202" s="3">
        <f t="shared" si="123"/>
        <v>0</v>
      </c>
      <c r="M202" s="26" t="e">
        <f t="shared" si="123"/>
        <v>#DIV/0!</v>
      </c>
      <c r="O202" s="59" t="s">
        <v>5</v>
      </c>
      <c r="P202" s="4" t="s">
        <v>29</v>
      </c>
      <c r="Q202" s="3">
        <f>B182</f>
        <v>0</v>
      </c>
      <c r="R202" s="3">
        <f t="shared" ref="R202:S202" si="124">C182</f>
        <v>0</v>
      </c>
      <c r="S202" s="3">
        <f t="shared" si="124"/>
        <v>0</v>
      </c>
      <c r="T202" s="26" t="e">
        <f>E182</f>
        <v>#DIV/0!</v>
      </c>
    </row>
    <row r="203" spans="1:20" x14ac:dyDescent="0.3">
      <c r="H203" s="59"/>
      <c r="I203" s="4" t="s">
        <v>16</v>
      </c>
      <c r="J203" s="3">
        <f>B41</f>
        <v>0</v>
      </c>
      <c r="K203" s="3">
        <f t="shared" ref="K203:M203" si="125">C41</f>
        <v>0</v>
      </c>
      <c r="L203" s="3">
        <f t="shared" si="125"/>
        <v>0</v>
      </c>
      <c r="M203" s="26" t="e">
        <f t="shared" si="125"/>
        <v>#DIV/0!</v>
      </c>
      <c r="O203" s="59"/>
      <c r="P203" s="4" t="s">
        <v>20</v>
      </c>
      <c r="Q203" s="3">
        <f>B97</f>
        <v>0</v>
      </c>
      <c r="R203" s="3">
        <f t="shared" ref="R203:T203" si="126">C97</f>
        <v>0</v>
      </c>
      <c r="S203" s="3">
        <f t="shared" si="126"/>
        <v>0</v>
      </c>
      <c r="T203" s="26" t="e">
        <f t="shared" si="126"/>
        <v>#DIV/0!</v>
      </c>
    </row>
    <row r="204" spans="1:20" x14ac:dyDescent="0.3">
      <c r="H204" s="59"/>
      <c r="I204" s="4" t="s">
        <v>17</v>
      </c>
      <c r="J204" s="3">
        <f>B55</f>
        <v>0</v>
      </c>
      <c r="K204" s="3">
        <f t="shared" ref="K204:M204" si="127">C55</f>
        <v>0</v>
      </c>
      <c r="L204" s="3">
        <f t="shared" si="127"/>
        <v>0</v>
      </c>
      <c r="M204" s="26" t="e">
        <f t="shared" si="127"/>
        <v>#DIV/0!</v>
      </c>
      <c r="O204" s="59"/>
      <c r="P204" s="4" t="s">
        <v>21</v>
      </c>
      <c r="Q204" s="3">
        <f>B111</f>
        <v>0</v>
      </c>
      <c r="R204" s="3">
        <f t="shared" ref="R204:T204" si="128">C111</f>
        <v>0</v>
      </c>
      <c r="S204" s="3">
        <f t="shared" si="128"/>
        <v>0</v>
      </c>
      <c r="T204" s="26" t="e">
        <f t="shared" si="128"/>
        <v>#DIV/0!</v>
      </c>
    </row>
    <row r="205" spans="1:20" x14ac:dyDescent="0.3">
      <c r="H205" s="59"/>
      <c r="I205" s="4" t="s">
        <v>18</v>
      </c>
      <c r="J205" s="3">
        <f>B69</f>
        <v>0</v>
      </c>
      <c r="K205" s="3">
        <f t="shared" ref="K205:M205" si="129">C69</f>
        <v>0</v>
      </c>
      <c r="L205" s="3">
        <f t="shared" si="129"/>
        <v>0</v>
      </c>
      <c r="M205" s="26" t="e">
        <f t="shared" si="129"/>
        <v>#DIV/0!</v>
      </c>
      <c r="O205" s="59"/>
      <c r="P205" s="4" t="s">
        <v>22</v>
      </c>
      <c r="Q205" s="3">
        <f>B125</f>
        <v>0</v>
      </c>
      <c r="R205" s="3">
        <f t="shared" ref="R205:T205" si="130">C125</f>
        <v>0</v>
      </c>
      <c r="S205" s="3">
        <f t="shared" si="130"/>
        <v>0</v>
      </c>
      <c r="T205" s="26" t="e">
        <f t="shared" si="130"/>
        <v>#DIV/0!</v>
      </c>
    </row>
    <row r="206" spans="1:20" x14ac:dyDescent="0.3">
      <c r="H206" s="59"/>
      <c r="I206" s="4" t="s">
        <v>19</v>
      </c>
      <c r="J206" s="3">
        <f>B83</f>
        <v>0</v>
      </c>
      <c r="K206" s="3">
        <f t="shared" ref="K206:M206" si="131">C83</f>
        <v>0</v>
      </c>
      <c r="L206" s="3">
        <f t="shared" si="131"/>
        <v>0</v>
      </c>
      <c r="M206" s="26" t="e">
        <f t="shared" si="131"/>
        <v>#DIV/0!</v>
      </c>
      <c r="O206" s="59"/>
      <c r="P206" s="4" t="s">
        <v>23</v>
      </c>
      <c r="Q206" s="3">
        <f>B139</f>
        <v>0</v>
      </c>
      <c r="R206" s="3">
        <f t="shared" ref="R206:T206" si="132">C139</f>
        <v>0</v>
      </c>
      <c r="S206" s="3">
        <f t="shared" si="132"/>
        <v>0</v>
      </c>
      <c r="T206" s="26" t="e">
        <f t="shared" si="132"/>
        <v>#DIV/0!</v>
      </c>
    </row>
    <row r="207" spans="1:20" x14ac:dyDescent="0.3">
      <c r="H207" s="59" t="s">
        <v>28</v>
      </c>
      <c r="I207" s="4" t="s">
        <v>29</v>
      </c>
      <c r="J207" s="24">
        <f>AVERAGE(J187,J192,J197,J202)</f>
        <v>0</v>
      </c>
      <c r="K207" s="24">
        <f t="shared" ref="J207:M211" si="133">AVERAGE(K187,K192,K197,K202)</f>
        <v>0</v>
      </c>
      <c r="L207" s="24">
        <f t="shared" si="133"/>
        <v>0</v>
      </c>
      <c r="M207" s="26" t="e">
        <f t="shared" si="133"/>
        <v>#DIV/0!</v>
      </c>
      <c r="O207" s="59" t="s">
        <v>28</v>
      </c>
      <c r="P207" s="4" t="s">
        <v>29</v>
      </c>
      <c r="Q207" s="24">
        <f>AVERAGE(Q187,Q192,Q197,Q202)</f>
        <v>0</v>
      </c>
      <c r="R207" s="24">
        <f t="shared" ref="R207:T207" si="134">AVERAGE(R187,R192,R197,R202)</f>
        <v>0</v>
      </c>
      <c r="S207" s="24">
        <f t="shared" si="134"/>
        <v>0</v>
      </c>
      <c r="T207" s="26" t="e">
        <f t="shared" si="134"/>
        <v>#DIV/0!</v>
      </c>
    </row>
    <row r="208" spans="1:20" x14ac:dyDescent="0.3">
      <c r="H208" s="59"/>
      <c r="I208" s="4" t="s">
        <v>16</v>
      </c>
      <c r="J208" s="24">
        <f>AVERAGE(J188,J193,J198,J203)</f>
        <v>0</v>
      </c>
      <c r="K208" s="24">
        <f t="shared" si="133"/>
        <v>0</v>
      </c>
      <c r="L208" s="24">
        <f t="shared" si="133"/>
        <v>0</v>
      </c>
      <c r="M208" s="26" t="e">
        <f t="shared" si="133"/>
        <v>#DIV/0!</v>
      </c>
      <c r="O208" s="59"/>
      <c r="P208" s="4" t="s">
        <v>20</v>
      </c>
      <c r="Q208" s="24">
        <f t="shared" ref="Q208:T211" si="135">AVERAGE(Q188,Q193,Q198,Q203)</f>
        <v>0</v>
      </c>
      <c r="R208" s="24">
        <f t="shared" si="135"/>
        <v>0</v>
      </c>
      <c r="S208" s="24">
        <f t="shared" si="135"/>
        <v>0</v>
      </c>
      <c r="T208" s="26" t="e">
        <f t="shared" si="135"/>
        <v>#DIV/0!</v>
      </c>
    </row>
    <row r="209" spans="1:20" x14ac:dyDescent="0.3">
      <c r="H209" s="59"/>
      <c r="I209" s="4" t="s">
        <v>17</v>
      </c>
      <c r="J209" s="24">
        <f t="shared" si="133"/>
        <v>0</v>
      </c>
      <c r="K209" s="24">
        <f t="shared" si="133"/>
        <v>0</v>
      </c>
      <c r="L209" s="24">
        <f t="shared" si="133"/>
        <v>0</v>
      </c>
      <c r="M209" s="26" t="e">
        <f>AVERAGE(M189,M194,M199,M204)</f>
        <v>#DIV/0!</v>
      </c>
      <c r="O209" s="59"/>
      <c r="P209" s="4" t="s">
        <v>21</v>
      </c>
      <c r="Q209" s="24">
        <f>AVERAGE(Q189,Q194,Q199,Q204)</f>
        <v>0</v>
      </c>
      <c r="R209" s="24">
        <f t="shared" si="135"/>
        <v>0</v>
      </c>
      <c r="S209" s="24">
        <f t="shared" si="135"/>
        <v>0</v>
      </c>
      <c r="T209" s="26" t="e">
        <f t="shared" si="135"/>
        <v>#DIV/0!</v>
      </c>
    </row>
    <row r="210" spans="1:20" x14ac:dyDescent="0.3">
      <c r="H210" s="59"/>
      <c r="I210" s="4" t="s">
        <v>18</v>
      </c>
      <c r="J210" s="24">
        <f t="shared" si="133"/>
        <v>0</v>
      </c>
      <c r="K210" s="24">
        <f t="shared" si="133"/>
        <v>0</v>
      </c>
      <c r="L210" s="24">
        <f t="shared" si="133"/>
        <v>0</v>
      </c>
      <c r="M210" s="26" t="e">
        <f t="shared" si="133"/>
        <v>#DIV/0!</v>
      </c>
      <c r="O210" s="59"/>
      <c r="P210" s="4" t="s">
        <v>22</v>
      </c>
      <c r="Q210" s="24">
        <f t="shared" si="135"/>
        <v>0</v>
      </c>
      <c r="R210" s="24">
        <f t="shared" si="135"/>
        <v>0</v>
      </c>
      <c r="S210" s="24">
        <f t="shared" si="135"/>
        <v>0</v>
      </c>
      <c r="T210" s="26" t="e">
        <f t="shared" si="135"/>
        <v>#DIV/0!</v>
      </c>
    </row>
    <row r="211" spans="1:20" ht="15" thickBot="1" x14ac:dyDescent="0.35">
      <c r="H211" s="60"/>
      <c r="I211" s="8" t="s">
        <v>19</v>
      </c>
      <c r="J211" s="25">
        <f>AVERAGE(J191,J196,J201,J206)</f>
        <v>0</v>
      </c>
      <c r="K211" s="25">
        <f t="shared" si="133"/>
        <v>0</v>
      </c>
      <c r="L211" s="25">
        <f t="shared" si="133"/>
        <v>0</v>
      </c>
      <c r="M211" s="27" t="e">
        <f t="shared" si="133"/>
        <v>#DIV/0!</v>
      </c>
      <c r="O211" s="60"/>
      <c r="P211" s="8" t="s">
        <v>23</v>
      </c>
      <c r="Q211" s="25">
        <f>AVERAGE(Q191,Q196,Q201,Q206)</f>
        <v>0</v>
      </c>
      <c r="R211" s="25">
        <f t="shared" si="135"/>
        <v>0</v>
      </c>
      <c r="S211" s="25">
        <f t="shared" si="135"/>
        <v>0</v>
      </c>
      <c r="T211" s="27" t="e">
        <f t="shared" si="135"/>
        <v>#DIV/0!</v>
      </c>
    </row>
    <row r="213" spans="1:20" s="28" customFormat="1" x14ac:dyDescent="0.3"/>
    <row r="214" spans="1:20" x14ac:dyDescent="0.3">
      <c r="A214" t="s">
        <v>30</v>
      </c>
      <c r="B214" t="s">
        <v>1</v>
      </c>
      <c r="C214" t="s">
        <v>2</v>
      </c>
    </row>
    <row r="215" spans="1:20" x14ac:dyDescent="0.3">
      <c r="A215" t="s">
        <v>34</v>
      </c>
      <c r="B215">
        <v>2027</v>
      </c>
      <c r="C215">
        <v>1059</v>
      </c>
      <c r="D215">
        <f>B215+C215</f>
        <v>3086</v>
      </c>
      <c r="E215" s="16">
        <f>(B215/D215)</f>
        <v>0.65683732987686327</v>
      </c>
      <c r="F215" s="16">
        <f>C215/D215</f>
        <v>0.34316267012313673</v>
      </c>
    </row>
    <row r="216" spans="1:20" x14ac:dyDescent="0.3">
      <c r="A216" t="s">
        <v>35</v>
      </c>
      <c r="B216">
        <v>2043</v>
      </c>
      <c r="C216">
        <v>1043</v>
      </c>
      <c r="D216">
        <f t="shared" ref="D216:D218" si="136">B216+C216</f>
        <v>3086</v>
      </c>
      <c r="E216" s="16">
        <f t="shared" ref="E216:E218" si="137">(B216/D216)</f>
        <v>0.6620220349967596</v>
      </c>
      <c r="F216" s="16">
        <f t="shared" ref="F216:F218" si="138">C216/D216</f>
        <v>0.33797796500324045</v>
      </c>
    </row>
    <row r="217" spans="1:20" x14ac:dyDescent="0.3">
      <c r="A217" t="s">
        <v>36</v>
      </c>
      <c r="B217">
        <f>1738+22</f>
        <v>1760</v>
      </c>
      <c r="C217">
        <f>1289+37</f>
        <v>1326</v>
      </c>
      <c r="D217">
        <f t="shared" si="136"/>
        <v>3086</v>
      </c>
      <c r="E217" s="16">
        <f t="shared" si="137"/>
        <v>0.57031756318859361</v>
      </c>
      <c r="F217" s="16">
        <f t="shared" si="138"/>
        <v>0.42968243681140633</v>
      </c>
    </row>
    <row r="218" spans="1:20" x14ac:dyDescent="0.3">
      <c r="A218" t="s">
        <v>37</v>
      </c>
      <c r="B218">
        <v>3086</v>
      </c>
      <c r="C218">
        <v>0</v>
      </c>
      <c r="D218">
        <f t="shared" si="136"/>
        <v>3086</v>
      </c>
      <c r="E218" s="16">
        <f t="shared" si="137"/>
        <v>1</v>
      </c>
      <c r="F218" s="16">
        <f t="shared" si="138"/>
        <v>0</v>
      </c>
    </row>
    <row r="219" spans="1:20" ht="15" thickBot="1" x14ac:dyDescent="0.35"/>
    <row r="220" spans="1:20" ht="15" thickBot="1" x14ac:dyDescent="0.35">
      <c r="A220" s="61"/>
      <c r="B220" s="63" t="s">
        <v>12</v>
      </c>
      <c r="C220" s="64"/>
      <c r="D220" s="64"/>
      <c r="E220" s="64"/>
      <c r="F220" s="65"/>
      <c r="G220" s="63" t="s">
        <v>11</v>
      </c>
      <c r="H220" s="64"/>
      <c r="I220" s="64"/>
      <c r="J220" s="64"/>
      <c r="K220" s="65"/>
      <c r="L220" s="63" t="s">
        <v>13</v>
      </c>
      <c r="M220" s="64"/>
      <c r="N220" s="64"/>
      <c r="O220" s="64"/>
      <c r="P220" s="65"/>
    </row>
    <row r="221" spans="1:20" ht="15" thickBot="1" x14ac:dyDescent="0.35">
      <c r="A221" s="62"/>
      <c r="B221" s="9" t="s">
        <v>6</v>
      </c>
      <c r="C221" s="10" t="s">
        <v>7</v>
      </c>
      <c r="D221" s="7" t="s">
        <v>8</v>
      </c>
      <c r="E221" s="7" t="s">
        <v>9</v>
      </c>
      <c r="F221" s="8" t="s">
        <v>10</v>
      </c>
      <c r="G221" s="9" t="s">
        <v>6</v>
      </c>
      <c r="H221" s="10" t="s">
        <v>7</v>
      </c>
      <c r="I221" s="7" t="s">
        <v>8</v>
      </c>
      <c r="J221" s="7" t="s">
        <v>9</v>
      </c>
      <c r="K221" s="8" t="s">
        <v>10</v>
      </c>
      <c r="L221" s="9" t="s">
        <v>6</v>
      </c>
      <c r="M221" s="10" t="s">
        <v>7</v>
      </c>
      <c r="N221" s="7" t="s">
        <v>8</v>
      </c>
      <c r="O221" s="7" t="s">
        <v>9</v>
      </c>
      <c r="P221" s="8" t="s">
        <v>10</v>
      </c>
    </row>
    <row r="222" spans="1:20" x14ac:dyDescent="0.3">
      <c r="A222" s="11" t="s">
        <v>34</v>
      </c>
      <c r="B222" s="1"/>
      <c r="C222" s="2"/>
      <c r="D222" s="3"/>
      <c r="E222" s="24" t="e">
        <f>2*((C222*D222)/(C222+D222))</f>
        <v>#DIV/0!</v>
      </c>
      <c r="F222" s="4"/>
      <c r="G222" s="31">
        <v>65.680000000000007</v>
      </c>
      <c r="H222" s="24">
        <v>32.840000000000003</v>
      </c>
      <c r="I222" s="32">
        <v>50</v>
      </c>
      <c r="J222" s="24">
        <f>2*((H222*I222)/(H222+I222))</f>
        <v>39.642684693384844</v>
      </c>
      <c r="K222" s="36">
        <v>0</v>
      </c>
      <c r="L222" s="31">
        <v>64.290000000000006</v>
      </c>
      <c r="M222" s="24">
        <v>55.75</v>
      </c>
      <c r="N222" s="32">
        <v>52.77</v>
      </c>
      <c r="O222" s="24">
        <f>2*((M222*N222)/(M222+N222))</f>
        <v>54.21908403980833</v>
      </c>
      <c r="P222" s="36">
        <v>6.5000000000000002E-2</v>
      </c>
    </row>
    <row r="223" spans="1:20" x14ac:dyDescent="0.3">
      <c r="A223" s="12" t="s">
        <v>35</v>
      </c>
      <c r="B223" s="5"/>
      <c r="C223" s="3"/>
      <c r="D223" s="3"/>
      <c r="E223" s="24" t="e">
        <f t="shared" ref="E223:E225" si="139">2*((C223*D223)/(C223+D223))</f>
        <v>#DIV/0!</v>
      </c>
      <c r="F223" s="4"/>
      <c r="G223" s="31">
        <v>66.2</v>
      </c>
      <c r="H223" s="24">
        <v>33.1</v>
      </c>
      <c r="I223" s="32">
        <v>50</v>
      </c>
      <c r="J223" s="24">
        <f t="shared" ref="J223:J225" si="140">2*((H223*I223)/(H223+I223))</f>
        <v>39.831528279181711</v>
      </c>
      <c r="K223" s="36">
        <v>0</v>
      </c>
      <c r="L223" s="31">
        <v>65.459999999999994</v>
      </c>
      <c r="M223" s="24">
        <v>57.81</v>
      </c>
      <c r="N223" s="24">
        <v>54.13</v>
      </c>
      <c r="O223" s="24">
        <f t="shared" ref="O223:O225" si="141">2*((M223*N223)/(M223+N223))</f>
        <v>55.909510452027881</v>
      </c>
      <c r="P223" s="36">
        <v>9.7000000000000003E-2</v>
      </c>
    </row>
    <row r="224" spans="1:20" x14ac:dyDescent="0.3">
      <c r="A224" s="12" t="s">
        <v>36</v>
      </c>
      <c r="B224" s="5"/>
      <c r="C224" s="3"/>
      <c r="D224" s="3"/>
      <c r="E224" s="24" t="e">
        <f t="shared" si="139"/>
        <v>#DIV/0!</v>
      </c>
      <c r="F224" s="4"/>
      <c r="G224" s="31">
        <v>57.52</v>
      </c>
      <c r="H224" s="24">
        <v>60.06</v>
      </c>
      <c r="I224" s="32">
        <v>50.77</v>
      </c>
      <c r="J224" s="24">
        <f t="shared" si="140"/>
        <v>55.02564648560859</v>
      </c>
      <c r="K224" s="41">
        <v>1.7000000000000001E-2</v>
      </c>
      <c r="L224" s="31">
        <v>56.35</v>
      </c>
      <c r="M224" s="24">
        <v>53.78</v>
      </c>
      <c r="N224" s="32">
        <v>52.9</v>
      </c>
      <c r="O224" s="24">
        <f t="shared" si="141"/>
        <v>53.336370453693284</v>
      </c>
      <c r="P224" s="36">
        <v>6.0999999999999999E-2</v>
      </c>
    </row>
    <row r="225" spans="1:16" ht="15" thickBot="1" x14ac:dyDescent="0.35">
      <c r="A225" s="13" t="s">
        <v>37</v>
      </c>
      <c r="B225" s="6"/>
      <c r="C225" s="7"/>
      <c r="D225" s="7"/>
      <c r="E225" s="25" t="e">
        <f t="shared" si="139"/>
        <v>#DIV/0!</v>
      </c>
      <c r="F225" s="8"/>
      <c r="G225" s="33">
        <v>100</v>
      </c>
      <c r="H225" s="25">
        <v>50</v>
      </c>
      <c r="I225" s="25">
        <v>50</v>
      </c>
      <c r="J225" s="25">
        <f t="shared" si="140"/>
        <v>50</v>
      </c>
      <c r="K225" s="37" t="s">
        <v>38</v>
      </c>
      <c r="L225" s="33">
        <v>100</v>
      </c>
      <c r="M225" s="25">
        <v>50</v>
      </c>
      <c r="N225" s="25">
        <v>50</v>
      </c>
      <c r="O225" s="25">
        <f t="shared" si="141"/>
        <v>50</v>
      </c>
      <c r="P225" s="37" t="s">
        <v>38</v>
      </c>
    </row>
  </sheetData>
  <sheetProtection sheet="1" objects="1" scenarios="1"/>
  <mergeCells count="74">
    <mergeCell ref="A8:A9"/>
    <mergeCell ref="B8:F8"/>
    <mergeCell ref="G8:K8"/>
    <mergeCell ref="L8:P8"/>
    <mergeCell ref="A22:A23"/>
    <mergeCell ref="B22:F22"/>
    <mergeCell ref="G22:K22"/>
    <mergeCell ref="L22:P22"/>
    <mergeCell ref="A36:A37"/>
    <mergeCell ref="B36:F36"/>
    <mergeCell ref="G36:K36"/>
    <mergeCell ref="L36:P36"/>
    <mergeCell ref="A50:A51"/>
    <mergeCell ref="B50:F50"/>
    <mergeCell ref="G50:K50"/>
    <mergeCell ref="L50:P50"/>
    <mergeCell ref="A64:A65"/>
    <mergeCell ref="B64:F64"/>
    <mergeCell ref="G64:K64"/>
    <mergeCell ref="L64:P64"/>
    <mergeCell ref="A78:A79"/>
    <mergeCell ref="B78:F78"/>
    <mergeCell ref="G78:K78"/>
    <mergeCell ref="L78:P78"/>
    <mergeCell ref="A92:A93"/>
    <mergeCell ref="B92:F92"/>
    <mergeCell ref="G92:K92"/>
    <mergeCell ref="L92:P92"/>
    <mergeCell ref="A106:A107"/>
    <mergeCell ref="B106:F106"/>
    <mergeCell ref="G106:K106"/>
    <mergeCell ref="L106:P106"/>
    <mergeCell ref="A120:A121"/>
    <mergeCell ref="B120:F120"/>
    <mergeCell ref="G120:K120"/>
    <mergeCell ref="L120:P120"/>
    <mergeCell ref="A134:A135"/>
    <mergeCell ref="B134:F134"/>
    <mergeCell ref="G134:K134"/>
    <mergeCell ref="L134:P134"/>
    <mergeCell ref="A148:A149"/>
    <mergeCell ref="B148:F148"/>
    <mergeCell ref="G148:K148"/>
    <mergeCell ref="L148:P148"/>
    <mergeCell ref="A163:A164"/>
    <mergeCell ref="B163:F163"/>
    <mergeCell ref="G163:K163"/>
    <mergeCell ref="L163:P163"/>
    <mergeCell ref="A177:A178"/>
    <mergeCell ref="B177:F177"/>
    <mergeCell ref="G177:K177"/>
    <mergeCell ref="L177:P177"/>
    <mergeCell ref="A186:B186"/>
    <mergeCell ref="H186:I186"/>
    <mergeCell ref="O186:P186"/>
    <mergeCell ref="A187:A189"/>
    <mergeCell ref="H187:H191"/>
    <mergeCell ref="O187:O191"/>
    <mergeCell ref="A190:A192"/>
    <mergeCell ref="H192:H196"/>
    <mergeCell ref="O192:O196"/>
    <mergeCell ref="A193:A195"/>
    <mergeCell ref="A196:A198"/>
    <mergeCell ref="H197:H201"/>
    <mergeCell ref="O197:O201"/>
    <mergeCell ref="A199:A201"/>
    <mergeCell ref="O202:O206"/>
    <mergeCell ref="H207:H211"/>
    <mergeCell ref="O207:O211"/>
    <mergeCell ref="A220:A221"/>
    <mergeCell ref="B220:F220"/>
    <mergeCell ref="G220:K220"/>
    <mergeCell ref="L220:P220"/>
    <mergeCell ref="H202:H20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5"/>
  <sheetViews>
    <sheetView topLeftCell="A205" workbookViewId="0">
      <selection activeCell="I238" sqref="I238"/>
    </sheetView>
  </sheetViews>
  <sheetFormatPr defaultRowHeight="14.4" x14ac:dyDescent="0.3"/>
  <cols>
    <col min="1" max="20" width="7.6640625" customWidth="1"/>
  </cols>
  <sheetData>
    <row r="1" spans="1:16" s="14" customFormat="1" x14ac:dyDescent="0.3"/>
    <row r="2" spans="1:16" x14ac:dyDescent="0.3">
      <c r="A2" t="s">
        <v>14</v>
      </c>
      <c r="B2" t="s">
        <v>1</v>
      </c>
      <c r="C2" t="s">
        <v>2</v>
      </c>
    </row>
    <row r="3" spans="1:16" x14ac:dyDescent="0.3">
      <c r="A3" t="s">
        <v>3</v>
      </c>
      <c r="D3">
        <f>B3+C3</f>
        <v>0</v>
      </c>
      <c r="E3" s="16" t="e">
        <f>(B3/D3)</f>
        <v>#DIV/0!</v>
      </c>
      <c r="F3" s="16" t="e">
        <f>C3/D3</f>
        <v>#DIV/0!</v>
      </c>
    </row>
    <row r="4" spans="1:16" x14ac:dyDescent="0.3">
      <c r="A4" t="s">
        <v>4</v>
      </c>
      <c r="D4">
        <f t="shared" ref="D4:D6" si="0">B4+C4</f>
        <v>0</v>
      </c>
      <c r="E4" s="16" t="e">
        <f>(B4/D4)</f>
        <v>#DIV/0!</v>
      </c>
      <c r="F4" s="16" t="e">
        <f t="shared" ref="F4:F6" si="1">C4/D4</f>
        <v>#DIV/0!</v>
      </c>
    </row>
    <row r="5" spans="1:16" x14ac:dyDescent="0.3">
      <c r="A5" t="s">
        <v>0</v>
      </c>
      <c r="D5">
        <f t="shared" si="0"/>
        <v>0</v>
      </c>
      <c r="E5" s="16" t="e">
        <f t="shared" ref="E5:E6" si="2">(B5/D5)</f>
        <v>#DIV/0!</v>
      </c>
      <c r="F5" s="16" t="e">
        <f t="shared" si="1"/>
        <v>#DIV/0!</v>
      </c>
    </row>
    <row r="6" spans="1:16" x14ac:dyDescent="0.3">
      <c r="A6" t="s">
        <v>5</v>
      </c>
      <c r="D6">
        <f t="shared" si="0"/>
        <v>0</v>
      </c>
      <c r="E6" s="16" t="e">
        <f t="shared" si="2"/>
        <v>#DIV/0!</v>
      </c>
      <c r="F6" s="16" t="e">
        <f t="shared" si="1"/>
        <v>#DIV/0!</v>
      </c>
    </row>
    <row r="7" spans="1:16" ht="15" thickBot="1" x14ac:dyDescent="0.35"/>
    <row r="8" spans="1:16" ht="15" thickBot="1" x14ac:dyDescent="0.35">
      <c r="A8" s="61"/>
      <c r="B8" s="63" t="s">
        <v>12</v>
      </c>
      <c r="C8" s="64"/>
      <c r="D8" s="64"/>
      <c r="E8" s="64"/>
      <c r="F8" s="65"/>
      <c r="G8" s="63" t="s">
        <v>11</v>
      </c>
      <c r="H8" s="64"/>
      <c r="I8" s="64"/>
      <c r="J8" s="64"/>
      <c r="K8" s="65"/>
      <c r="L8" s="63" t="s">
        <v>13</v>
      </c>
      <c r="M8" s="64"/>
      <c r="N8" s="64"/>
      <c r="O8" s="64"/>
      <c r="P8" s="65"/>
    </row>
    <row r="9" spans="1:16" ht="15" thickBot="1" x14ac:dyDescent="0.35">
      <c r="A9" s="62"/>
      <c r="B9" s="9" t="s">
        <v>6</v>
      </c>
      <c r="C9" s="10" t="s">
        <v>7</v>
      </c>
      <c r="D9" s="7" t="s">
        <v>8</v>
      </c>
      <c r="E9" s="7" t="s">
        <v>9</v>
      </c>
      <c r="F9" s="8" t="s">
        <v>10</v>
      </c>
      <c r="G9" s="9" t="s">
        <v>6</v>
      </c>
      <c r="H9" s="10" t="s">
        <v>7</v>
      </c>
      <c r="I9" s="7" t="s">
        <v>8</v>
      </c>
      <c r="J9" s="7" t="s">
        <v>9</v>
      </c>
      <c r="K9" s="8" t="s">
        <v>10</v>
      </c>
      <c r="L9" s="9" t="s">
        <v>6</v>
      </c>
      <c r="M9" s="10" t="s">
        <v>7</v>
      </c>
      <c r="N9" s="7" t="s">
        <v>8</v>
      </c>
      <c r="O9" s="7" t="s">
        <v>9</v>
      </c>
      <c r="P9" s="8" t="s">
        <v>10</v>
      </c>
    </row>
    <row r="10" spans="1:16" x14ac:dyDescent="0.3">
      <c r="A10" s="11" t="s">
        <v>3</v>
      </c>
      <c r="B10" s="1"/>
      <c r="C10" s="2"/>
      <c r="D10" s="3"/>
      <c r="E10" s="24" t="e">
        <f>2*((C10*D10)/(C10+D10))</f>
        <v>#DIV/0!</v>
      </c>
      <c r="F10" s="4"/>
      <c r="G10" s="5"/>
      <c r="H10" s="3"/>
      <c r="I10" s="3"/>
      <c r="J10" s="3" t="e">
        <f>2*((H10*I10)/(H10+I10))</f>
        <v>#DIV/0!</v>
      </c>
      <c r="K10" s="4"/>
      <c r="L10" s="5"/>
      <c r="M10" s="3"/>
      <c r="N10" s="3"/>
      <c r="O10" s="3" t="e">
        <f>2*((M10*N10)/(M10+N10))</f>
        <v>#DIV/0!</v>
      </c>
      <c r="P10" s="4"/>
    </row>
    <row r="11" spans="1:16" x14ac:dyDescent="0.3">
      <c r="A11" s="12" t="s">
        <v>4</v>
      </c>
      <c r="B11" s="5"/>
      <c r="C11" s="3"/>
      <c r="D11" s="3"/>
      <c r="E11" s="24" t="e">
        <f t="shared" ref="E11:E13" si="3">2*((C11*D11)/(C11+D11))</f>
        <v>#DIV/0!</v>
      </c>
      <c r="F11" s="4"/>
      <c r="G11" s="5"/>
      <c r="H11" s="3"/>
      <c r="I11" s="3"/>
      <c r="J11" s="3" t="e">
        <f t="shared" ref="J11:J13" si="4">2*((H11*I11)/(H11+I11))</f>
        <v>#DIV/0!</v>
      </c>
      <c r="K11" s="4"/>
      <c r="L11" s="5"/>
      <c r="M11" s="3"/>
      <c r="N11" s="3"/>
      <c r="O11" s="3" t="e">
        <f t="shared" ref="O11:O13" si="5">2*((M11*N11)/(M11+N11))</f>
        <v>#DIV/0!</v>
      </c>
      <c r="P11" s="4"/>
    </row>
    <row r="12" spans="1:16" x14ac:dyDescent="0.3">
      <c r="A12" s="12" t="s">
        <v>0</v>
      </c>
      <c r="B12" s="5"/>
      <c r="C12" s="3"/>
      <c r="D12" s="3"/>
      <c r="E12" s="24" t="e">
        <f t="shared" si="3"/>
        <v>#DIV/0!</v>
      </c>
      <c r="F12" s="4"/>
      <c r="G12" s="5"/>
      <c r="H12" s="3"/>
      <c r="I12" s="3"/>
      <c r="J12" s="3" t="e">
        <f t="shared" si="4"/>
        <v>#DIV/0!</v>
      </c>
      <c r="K12" s="4"/>
      <c r="L12" s="5"/>
      <c r="M12" s="3"/>
      <c r="N12" s="3"/>
      <c r="O12" s="3" t="e">
        <f t="shared" si="5"/>
        <v>#DIV/0!</v>
      </c>
      <c r="P12" s="4"/>
    </row>
    <row r="13" spans="1:16" ht="15" thickBot="1" x14ac:dyDescent="0.35">
      <c r="A13" s="13" t="s">
        <v>5</v>
      </c>
      <c r="B13" s="6"/>
      <c r="C13" s="7"/>
      <c r="D13" s="7"/>
      <c r="E13" s="25" t="e">
        <f t="shared" si="3"/>
        <v>#DIV/0!</v>
      </c>
      <c r="F13" s="8"/>
      <c r="G13" s="6"/>
      <c r="H13" s="7"/>
      <c r="I13" s="7"/>
      <c r="J13" s="7" t="e">
        <f t="shared" si="4"/>
        <v>#DIV/0!</v>
      </c>
      <c r="K13" s="8"/>
      <c r="L13" s="6"/>
      <c r="M13" s="7"/>
      <c r="N13" s="7"/>
      <c r="O13" s="7" t="e">
        <f t="shared" si="5"/>
        <v>#DIV/0!</v>
      </c>
      <c r="P13" s="8"/>
    </row>
    <row r="15" spans="1:16" s="14" customFormat="1" x14ac:dyDescent="0.3"/>
    <row r="16" spans="1:16" x14ac:dyDescent="0.3">
      <c r="A16" t="s">
        <v>15</v>
      </c>
      <c r="B16" t="s">
        <v>1</v>
      </c>
      <c r="C16" t="s">
        <v>2</v>
      </c>
    </row>
    <row r="17" spans="1:16" x14ac:dyDescent="0.3">
      <c r="A17" t="s">
        <v>3</v>
      </c>
      <c r="D17">
        <f>B17+C17</f>
        <v>0</v>
      </c>
      <c r="E17" s="16" t="e">
        <f>(B17/D17)</f>
        <v>#DIV/0!</v>
      </c>
      <c r="F17" s="16" t="e">
        <f>C17/D17</f>
        <v>#DIV/0!</v>
      </c>
    </row>
    <row r="18" spans="1:16" x14ac:dyDescent="0.3">
      <c r="A18" t="s">
        <v>4</v>
      </c>
      <c r="D18">
        <f t="shared" ref="D18:D20" si="6">B18+C18</f>
        <v>0</v>
      </c>
      <c r="E18" s="16" t="e">
        <f t="shared" ref="E18:E20" si="7">(B18/D18)</f>
        <v>#DIV/0!</v>
      </c>
      <c r="F18" s="16" t="e">
        <f t="shared" ref="F18:F20" si="8">C18/D18</f>
        <v>#DIV/0!</v>
      </c>
    </row>
    <row r="19" spans="1:16" x14ac:dyDescent="0.3">
      <c r="A19" t="s">
        <v>0</v>
      </c>
      <c r="D19">
        <f t="shared" si="6"/>
        <v>0</v>
      </c>
      <c r="E19" s="16" t="e">
        <f t="shared" si="7"/>
        <v>#DIV/0!</v>
      </c>
      <c r="F19" s="16" t="e">
        <f t="shared" si="8"/>
        <v>#DIV/0!</v>
      </c>
    </row>
    <row r="20" spans="1:16" x14ac:dyDescent="0.3">
      <c r="A20" t="s">
        <v>5</v>
      </c>
      <c r="D20">
        <f t="shared" si="6"/>
        <v>0</v>
      </c>
      <c r="E20" s="16" t="e">
        <f t="shared" si="7"/>
        <v>#DIV/0!</v>
      </c>
      <c r="F20" s="16" t="e">
        <f t="shared" si="8"/>
        <v>#DIV/0!</v>
      </c>
    </row>
    <row r="21" spans="1:16" ht="15" thickBot="1" x14ac:dyDescent="0.35"/>
    <row r="22" spans="1:16" ht="15" thickBot="1" x14ac:dyDescent="0.35">
      <c r="A22" s="61"/>
      <c r="B22" s="63" t="s">
        <v>12</v>
      </c>
      <c r="C22" s="64"/>
      <c r="D22" s="64"/>
      <c r="E22" s="64"/>
      <c r="F22" s="65"/>
      <c r="G22" s="63" t="s">
        <v>11</v>
      </c>
      <c r="H22" s="64"/>
      <c r="I22" s="64"/>
      <c r="J22" s="64"/>
      <c r="K22" s="65"/>
      <c r="L22" s="63" t="s">
        <v>13</v>
      </c>
      <c r="M22" s="64"/>
      <c r="N22" s="64"/>
      <c r="O22" s="64"/>
      <c r="P22" s="65"/>
    </row>
    <row r="23" spans="1:16" ht="15" thickBot="1" x14ac:dyDescent="0.35">
      <c r="A23" s="62"/>
      <c r="B23" s="9" t="s">
        <v>6</v>
      </c>
      <c r="C23" s="10" t="s">
        <v>7</v>
      </c>
      <c r="D23" s="7" t="s">
        <v>8</v>
      </c>
      <c r="E23" s="7" t="s">
        <v>9</v>
      </c>
      <c r="F23" s="8" t="s">
        <v>10</v>
      </c>
      <c r="G23" s="9" t="s">
        <v>6</v>
      </c>
      <c r="H23" s="10" t="s">
        <v>7</v>
      </c>
      <c r="I23" s="7" t="s">
        <v>8</v>
      </c>
      <c r="J23" s="7" t="s">
        <v>9</v>
      </c>
      <c r="K23" s="8" t="s">
        <v>10</v>
      </c>
      <c r="L23" s="9" t="s">
        <v>6</v>
      </c>
      <c r="M23" s="10" t="s">
        <v>7</v>
      </c>
      <c r="N23" s="7" t="s">
        <v>8</v>
      </c>
      <c r="O23" s="7" t="s">
        <v>9</v>
      </c>
      <c r="P23" s="8" t="s">
        <v>10</v>
      </c>
    </row>
    <row r="24" spans="1:16" x14ac:dyDescent="0.3">
      <c r="A24" s="11" t="s">
        <v>3</v>
      </c>
      <c r="B24" s="1"/>
      <c r="C24" s="2"/>
      <c r="D24" s="3"/>
      <c r="E24" s="24" t="e">
        <f>2*((C24*D24)/(C24+D24))</f>
        <v>#DIV/0!</v>
      </c>
      <c r="F24" s="4"/>
      <c r="G24" s="5"/>
      <c r="H24" s="3"/>
      <c r="I24" s="3"/>
      <c r="J24" s="3" t="e">
        <f>2*((H24*I24)/(H24+I24))</f>
        <v>#DIV/0!</v>
      </c>
      <c r="K24" s="4"/>
      <c r="L24" s="5"/>
      <c r="M24" s="3"/>
      <c r="N24" s="3"/>
      <c r="O24" s="3" t="e">
        <f>2*((M24*N24)/(M24+N24))</f>
        <v>#DIV/0!</v>
      </c>
      <c r="P24" s="4"/>
    </row>
    <row r="25" spans="1:16" x14ac:dyDescent="0.3">
      <c r="A25" s="12" t="s">
        <v>4</v>
      </c>
      <c r="B25" s="5"/>
      <c r="C25" s="3"/>
      <c r="D25" s="3"/>
      <c r="E25" s="24" t="e">
        <f t="shared" ref="E25:E27" si="9">2*((C25*D25)/(C25+D25))</f>
        <v>#DIV/0!</v>
      </c>
      <c r="F25" s="4"/>
      <c r="G25" s="5"/>
      <c r="H25" s="3"/>
      <c r="I25" s="3"/>
      <c r="J25" s="3" t="e">
        <f t="shared" ref="J25:J27" si="10">2*((H25*I25)/(H25+I25))</f>
        <v>#DIV/0!</v>
      </c>
      <c r="K25" s="4"/>
      <c r="L25" s="5"/>
      <c r="M25" s="3"/>
      <c r="N25" s="3"/>
      <c r="O25" s="3" t="e">
        <f t="shared" ref="O25:O27" si="11">2*((M25*N25)/(M25+N25))</f>
        <v>#DIV/0!</v>
      </c>
      <c r="P25" s="4"/>
    </row>
    <row r="26" spans="1:16" x14ac:dyDescent="0.3">
      <c r="A26" s="12" t="s">
        <v>0</v>
      </c>
      <c r="B26" s="5"/>
      <c r="C26" s="3"/>
      <c r="D26" s="3"/>
      <c r="E26" s="24" t="e">
        <f t="shared" si="9"/>
        <v>#DIV/0!</v>
      </c>
      <c r="F26" s="4"/>
      <c r="G26" s="5"/>
      <c r="H26" s="3"/>
      <c r="I26" s="3"/>
      <c r="J26" s="3" t="e">
        <f t="shared" si="10"/>
        <v>#DIV/0!</v>
      </c>
      <c r="K26" s="4"/>
      <c r="L26" s="5"/>
      <c r="M26" s="3"/>
      <c r="N26" s="3"/>
      <c r="O26" s="3" t="e">
        <f t="shared" si="11"/>
        <v>#DIV/0!</v>
      </c>
      <c r="P26" s="4"/>
    </row>
    <row r="27" spans="1:16" ht="15" thickBot="1" x14ac:dyDescent="0.35">
      <c r="A27" s="13" t="s">
        <v>5</v>
      </c>
      <c r="B27" s="6"/>
      <c r="C27" s="7"/>
      <c r="D27" s="7"/>
      <c r="E27" s="25" t="e">
        <f t="shared" si="9"/>
        <v>#DIV/0!</v>
      </c>
      <c r="F27" s="8"/>
      <c r="G27" s="6"/>
      <c r="H27" s="7"/>
      <c r="I27" s="7"/>
      <c r="J27" s="7" t="e">
        <f t="shared" si="10"/>
        <v>#DIV/0!</v>
      </c>
      <c r="K27" s="8"/>
      <c r="L27" s="6"/>
      <c r="M27" s="7"/>
      <c r="N27" s="7"/>
      <c r="O27" s="7" t="e">
        <f t="shared" si="11"/>
        <v>#DIV/0!</v>
      </c>
      <c r="P27" s="8"/>
    </row>
    <row r="29" spans="1:16" s="14" customFormat="1" x14ac:dyDescent="0.3"/>
    <row r="30" spans="1:16" x14ac:dyDescent="0.3">
      <c r="A30" t="s">
        <v>16</v>
      </c>
      <c r="B30" t="s">
        <v>1</v>
      </c>
      <c r="C30" t="s">
        <v>2</v>
      </c>
    </row>
    <row r="31" spans="1:16" x14ac:dyDescent="0.3">
      <c r="A31" t="s">
        <v>3</v>
      </c>
      <c r="D31">
        <f>B31+C31</f>
        <v>0</v>
      </c>
      <c r="E31" s="16" t="e">
        <f>(B31/D31)</f>
        <v>#DIV/0!</v>
      </c>
      <c r="F31" s="16" t="e">
        <f>C31/D31</f>
        <v>#DIV/0!</v>
      </c>
    </row>
    <row r="32" spans="1:16" x14ac:dyDescent="0.3">
      <c r="A32" t="s">
        <v>4</v>
      </c>
      <c r="D32">
        <f t="shared" ref="D32:D34" si="12">B32+C32</f>
        <v>0</v>
      </c>
      <c r="E32" s="16" t="e">
        <f t="shared" ref="E32:E34" si="13">(B32/D32)</f>
        <v>#DIV/0!</v>
      </c>
      <c r="F32" s="16" t="e">
        <f>C32/D32</f>
        <v>#DIV/0!</v>
      </c>
    </row>
    <row r="33" spans="1:16" x14ac:dyDescent="0.3">
      <c r="A33" t="s">
        <v>0</v>
      </c>
      <c r="D33">
        <f t="shared" si="12"/>
        <v>0</v>
      </c>
      <c r="E33" s="16" t="e">
        <f t="shared" si="13"/>
        <v>#DIV/0!</v>
      </c>
      <c r="F33" s="16" t="e">
        <f t="shared" ref="F33:F34" si="14">C33/D33</f>
        <v>#DIV/0!</v>
      </c>
    </row>
    <row r="34" spans="1:16" x14ac:dyDescent="0.3">
      <c r="A34" t="s">
        <v>5</v>
      </c>
      <c r="D34">
        <f t="shared" si="12"/>
        <v>0</v>
      </c>
      <c r="E34" s="16" t="e">
        <f t="shared" si="13"/>
        <v>#DIV/0!</v>
      </c>
      <c r="F34" s="16" t="e">
        <f t="shared" si="14"/>
        <v>#DIV/0!</v>
      </c>
    </row>
    <row r="35" spans="1:16" ht="15" thickBot="1" x14ac:dyDescent="0.35"/>
    <row r="36" spans="1:16" ht="15" thickBot="1" x14ac:dyDescent="0.35">
      <c r="A36" s="61"/>
      <c r="B36" s="63" t="s">
        <v>12</v>
      </c>
      <c r="C36" s="64"/>
      <c r="D36" s="64"/>
      <c r="E36" s="64"/>
      <c r="F36" s="65"/>
      <c r="G36" s="63" t="s">
        <v>11</v>
      </c>
      <c r="H36" s="64"/>
      <c r="I36" s="64"/>
      <c r="J36" s="64"/>
      <c r="K36" s="65"/>
      <c r="L36" s="63" t="s">
        <v>13</v>
      </c>
      <c r="M36" s="64"/>
      <c r="N36" s="64"/>
      <c r="O36" s="64"/>
      <c r="P36" s="65"/>
    </row>
    <row r="37" spans="1:16" ht="15" thickBot="1" x14ac:dyDescent="0.35">
      <c r="A37" s="62"/>
      <c r="B37" s="9" t="s">
        <v>6</v>
      </c>
      <c r="C37" s="10" t="s">
        <v>7</v>
      </c>
      <c r="D37" s="7" t="s">
        <v>8</v>
      </c>
      <c r="E37" s="7" t="s">
        <v>9</v>
      </c>
      <c r="F37" s="8" t="s">
        <v>10</v>
      </c>
      <c r="G37" s="9" t="s">
        <v>6</v>
      </c>
      <c r="H37" s="10" t="s">
        <v>7</v>
      </c>
      <c r="I37" s="7" t="s">
        <v>8</v>
      </c>
      <c r="J37" s="7" t="s">
        <v>9</v>
      </c>
      <c r="K37" s="8" t="s">
        <v>10</v>
      </c>
      <c r="L37" s="9" t="s">
        <v>6</v>
      </c>
      <c r="M37" s="10" t="s">
        <v>7</v>
      </c>
      <c r="N37" s="7" t="s">
        <v>8</v>
      </c>
      <c r="O37" s="7" t="s">
        <v>9</v>
      </c>
      <c r="P37" s="8" t="s">
        <v>10</v>
      </c>
    </row>
    <row r="38" spans="1:16" x14ac:dyDescent="0.3">
      <c r="A38" s="11" t="s">
        <v>3</v>
      </c>
      <c r="B38" s="1"/>
      <c r="C38" s="2"/>
      <c r="D38" s="3"/>
      <c r="E38" s="24" t="e">
        <f>2*((C38*D38)/(C38+D38))</f>
        <v>#DIV/0!</v>
      </c>
      <c r="F38" s="4"/>
      <c r="G38" s="5"/>
      <c r="H38" s="3"/>
      <c r="I38" s="3"/>
      <c r="J38" s="3" t="e">
        <f>2*((H38*I38)/(H38+I38))</f>
        <v>#DIV/0!</v>
      </c>
      <c r="K38" s="4"/>
      <c r="L38" s="5"/>
      <c r="M38" s="3"/>
      <c r="N38" s="3"/>
      <c r="O38" s="3" t="e">
        <f>2*((M38*N38)/(M38+N38))</f>
        <v>#DIV/0!</v>
      </c>
      <c r="P38" s="4"/>
    </row>
    <row r="39" spans="1:16" x14ac:dyDescent="0.3">
      <c r="A39" s="12" t="s">
        <v>4</v>
      </c>
      <c r="B39" s="5"/>
      <c r="C39" s="3"/>
      <c r="D39" s="3"/>
      <c r="E39" s="24" t="e">
        <f t="shared" ref="E39:E41" si="15">2*((C39*D39)/(C39+D39))</f>
        <v>#DIV/0!</v>
      </c>
      <c r="F39" s="4"/>
      <c r="G39" s="5"/>
      <c r="H39" s="3"/>
      <c r="I39" s="3"/>
      <c r="J39" s="3" t="e">
        <f t="shared" ref="J39:J41" si="16">2*((H39*I39)/(H39+I39))</f>
        <v>#DIV/0!</v>
      </c>
      <c r="K39" s="4"/>
      <c r="L39" s="5"/>
      <c r="M39" s="3"/>
      <c r="N39" s="3"/>
      <c r="O39" s="3" t="e">
        <f t="shared" ref="O39:O41" si="17">2*((M39*N39)/(M39+N39))</f>
        <v>#DIV/0!</v>
      </c>
      <c r="P39" s="4"/>
    </row>
    <row r="40" spans="1:16" x14ac:dyDescent="0.3">
      <c r="A40" s="12" t="s">
        <v>0</v>
      </c>
      <c r="B40" s="5"/>
      <c r="C40" s="3"/>
      <c r="D40" s="3"/>
      <c r="E40" s="24" t="e">
        <f t="shared" si="15"/>
        <v>#DIV/0!</v>
      </c>
      <c r="F40" s="4"/>
      <c r="G40" s="5"/>
      <c r="H40" s="3"/>
      <c r="I40" s="3"/>
      <c r="J40" s="3" t="e">
        <f t="shared" si="16"/>
        <v>#DIV/0!</v>
      </c>
      <c r="K40" s="4"/>
      <c r="L40" s="5"/>
      <c r="M40" s="3"/>
      <c r="N40" s="3"/>
      <c r="O40" s="3" t="e">
        <f t="shared" si="17"/>
        <v>#DIV/0!</v>
      </c>
      <c r="P40" s="4"/>
    </row>
    <row r="41" spans="1:16" ht="15" thickBot="1" x14ac:dyDescent="0.35">
      <c r="A41" s="13" t="s">
        <v>5</v>
      </c>
      <c r="B41" s="6"/>
      <c r="C41" s="7"/>
      <c r="D41" s="7"/>
      <c r="E41" s="25" t="e">
        <f t="shared" si="15"/>
        <v>#DIV/0!</v>
      </c>
      <c r="F41" s="8"/>
      <c r="G41" s="6"/>
      <c r="H41" s="7"/>
      <c r="I41" s="7"/>
      <c r="J41" s="7" t="e">
        <f t="shared" si="16"/>
        <v>#DIV/0!</v>
      </c>
      <c r="K41" s="8"/>
      <c r="L41" s="6"/>
      <c r="M41" s="7"/>
      <c r="N41" s="7"/>
      <c r="O41" s="7" t="e">
        <f t="shared" si="17"/>
        <v>#DIV/0!</v>
      </c>
      <c r="P41" s="8"/>
    </row>
    <row r="43" spans="1:16" s="14" customFormat="1" x14ac:dyDescent="0.3"/>
    <row r="44" spans="1:16" x14ac:dyDescent="0.3">
      <c r="A44" t="s">
        <v>17</v>
      </c>
      <c r="B44" t="s">
        <v>1</v>
      </c>
      <c r="C44" t="s">
        <v>2</v>
      </c>
    </row>
    <row r="45" spans="1:16" x14ac:dyDescent="0.3">
      <c r="A45" t="s">
        <v>3</v>
      </c>
      <c r="D45">
        <f>B45+C45</f>
        <v>0</v>
      </c>
      <c r="E45" s="16" t="e">
        <f>(B45/D45)</f>
        <v>#DIV/0!</v>
      </c>
      <c r="F45" s="16" t="e">
        <f>C45/D45</f>
        <v>#DIV/0!</v>
      </c>
    </row>
    <row r="46" spans="1:16" x14ac:dyDescent="0.3">
      <c r="A46" t="s">
        <v>4</v>
      </c>
      <c r="D46">
        <f t="shared" ref="D46:D48" si="18">B46+C46</f>
        <v>0</v>
      </c>
      <c r="E46" s="16" t="e">
        <f t="shared" ref="E46:E48" si="19">(B46/D46)</f>
        <v>#DIV/0!</v>
      </c>
      <c r="F46" s="16" t="e">
        <f t="shared" ref="F46:F48" si="20">C46/D46</f>
        <v>#DIV/0!</v>
      </c>
    </row>
    <row r="47" spans="1:16" x14ac:dyDescent="0.3">
      <c r="A47" t="s">
        <v>0</v>
      </c>
      <c r="D47">
        <f t="shared" si="18"/>
        <v>0</v>
      </c>
      <c r="E47" s="16" t="e">
        <f t="shared" si="19"/>
        <v>#DIV/0!</v>
      </c>
      <c r="F47" s="16" t="e">
        <f t="shared" si="20"/>
        <v>#DIV/0!</v>
      </c>
    </row>
    <row r="48" spans="1:16" x14ac:dyDescent="0.3">
      <c r="A48" t="s">
        <v>5</v>
      </c>
      <c r="D48">
        <f t="shared" si="18"/>
        <v>0</v>
      </c>
      <c r="E48" s="16" t="e">
        <f t="shared" si="19"/>
        <v>#DIV/0!</v>
      </c>
      <c r="F48" s="16" t="e">
        <f t="shared" si="20"/>
        <v>#DIV/0!</v>
      </c>
    </row>
    <row r="49" spans="1:16" ht="15" thickBot="1" x14ac:dyDescent="0.35"/>
    <row r="50" spans="1:16" ht="15" thickBot="1" x14ac:dyDescent="0.35">
      <c r="A50" s="61"/>
      <c r="B50" s="63" t="s">
        <v>12</v>
      </c>
      <c r="C50" s="64"/>
      <c r="D50" s="64"/>
      <c r="E50" s="64"/>
      <c r="F50" s="65"/>
      <c r="G50" s="63" t="s">
        <v>11</v>
      </c>
      <c r="H50" s="64"/>
      <c r="I50" s="64"/>
      <c r="J50" s="64"/>
      <c r="K50" s="65"/>
      <c r="L50" s="63" t="s">
        <v>13</v>
      </c>
      <c r="M50" s="64"/>
      <c r="N50" s="64"/>
      <c r="O50" s="64"/>
      <c r="P50" s="65"/>
    </row>
    <row r="51" spans="1:16" ht="15" thickBot="1" x14ac:dyDescent="0.35">
      <c r="A51" s="62"/>
      <c r="B51" s="9" t="s">
        <v>6</v>
      </c>
      <c r="C51" s="10" t="s">
        <v>7</v>
      </c>
      <c r="D51" s="7" t="s">
        <v>8</v>
      </c>
      <c r="E51" s="7" t="s">
        <v>9</v>
      </c>
      <c r="F51" s="8" t="s">
        <v>10</v>
      </c>
      <c r="G51" s="9" t="s">
        <v>6</v>
      </c>
      <c r="H51" s="10" t="s">
        <v>7</v>
      </c>
      <c r="I51" s="7" t="s">
        <v>8</v>
      </c>
      <c r="J51" s="7" t="s">
        <v>9</v>
      </c>
      <c r="K51" s="8" t="s">
        <v>10</v>
      </c>
      <c r="L51" s="9" t="s">
        <v>6</v>
      </c>
      <c r="M51" s="10" t="s">
        <v>7</v>
      </c>
      <c r="N51" s="7" t="s">
        <v>8</v>
      </c>
      <c r="O51" s="7" t="s">
        <v>9</v>
      </c>
      <c r="P51" s="8" t="s">
        <v>10</v>
      </c>
    </row>
    <row r="52" spans="1:16" x14ac:dyDescent="0.3">
      <c r="A52" s="11" t="s">
        <v>3</v>
      </c>
      <c r="B52" s="1"/>
      <c r="C52" s="2"/>
      <c r="D52" s="3"/>
      <c r="E52" s="24" t="e">
        <f>2*((C52*D52)/(C52+D52))</f>
        <v>#DIV/0!</v>
      </c>
      <c r="F52" s="4"/>
      <c r="G52" s="5"/>
      <c r="H52" s="3"/>
      <c r="I52" s="3"/>
      <c r="J52" s="3" t="e">
        <f t="shared" ref="J52:J55" si="21">2*((H52*I52)/(H52+I52))</f>
        <v>#DIV/0!</v>
      </c>
      <c r="K52" s="4"/>
      <c r="L52" s="5"/>
      <c r="M52" s="3"/>
      <c r="N52" s="3"/>
      <c r="O52" s="3" t="e">
        <f>2*((M52*N52)/(M52+N52))</f>
        <v>#DIV/0!</v>
      </c>
      <c r="P52" s="4"/>
    </row>
    <row r="53" spans="1:16" x14ac:dyDescent="0.3">
      <c r="A53" s="12" t="s">
        <v>4</v>
      </c>
      <c r="B53" s="5"/>
      <c r="C53" s="3"/>
      <c r="D53" s="3"/>
      <c r="E53" s="24" t="e">
        <f t="shared" ref="E53:E55" si="22">2*((C53*D53)/(C53+D53))</f>
        <v>#DIV/0!</v>
      </c>
      <c r="F53" s="4"/>
      <c r="G53" s="5"/>
      <c r="H53" s="3"/>
      <c r="I53" s="3"/>
      <c r="J53" s="3" t="e">
        <f t="shared" si="21"/>
        <v>#DIV/0!</v>
      </c>
      <c r="K53" s="4"/>
      <c r="L53" s="5"/>
      <c r="M53" s="3"/>
      <c r="N53" s="3"/>
      <c r="O53" s="3" t="e">
        <f t="shared" ref="O53:O55" si="23">2*((M53*N53)/(M53+N53))</f>
        <v>#DIV/0!</v>
      </c>
      <c r="P53" s="4"/>
    </row>
    <row r="54" spans="1:16" x14ac:dyDescent="0.3">
      <c r="A54" s="12" t="s">
        <v>0</v>
      </c>
      <c r="B54" s="5"/>
      <c r="C54" s="3"/>
      <c r="D54" s="3"/>
      <c r="E54" s="24" t="e">
        <f t="shared" si="22"/>
        <v>#DIV/0!</v>
      </c>
      <c r="F54" s="4"/>
      <c r="G54" s="5"/>
      <c r="H54" s="3"/>
      <c r="I54" s="3"/>
      <c r="J54" s="3" t="e">
        <f t="shared" si="21"/>
        <v>#DIV/0!</v>
      </c>
      <c r="K54" s="4"/>
      <c r="L54" s="5"/>
      <c r="M54" s="3"/>
      <c r="N54" s="3"/>
      <c r="O54" s="3" t="e">
        <f t="shared" si="23"/>
        <v>#DIV/0!</v>
      </c>
      <c r="P54" s="4"/>
    </row>
    <row r="55" spans="1:16" ht="15" thickBot="1" x14ac:dyDescent="0.35">
      <c r="A55" s="13" t="s">
        <v>5</v>
      </c>
      <c r="B55" s="6"/>
      <c r="C55" s="7"/>
      <c r="D55" s="7"/>
      <c r="E55" s="25" t="e">
        <f t="shared" si="22"/>
        <v>#DIV/0!</v>
      </c>
      <c r="F55" s="8"/>
      <c r="G55" s="6"/>
      <c r="H55" s="7"/>
      <c r="I55" s="7"/>
      <c r="J55" s="7" t="e">
        <f t="shared" si="21"/>
        <v>#DIV/0!</v>
      </c>
      <c r="K55" s="8"/>
      <c r="L55" s="6"/>
      <c r="M55" s="7"/>
      <c r="N55" s="7"/>
      <c r="O55" s="7" t="e">
        <f t="shared" si="23"/>
        <v>#DIV/0!</v>
      </c>
      <c r="P55" s="8"/>
    </row>
    <row r="57" spans="1:16" s="14" customFormat="1" x14ac:dyDescent="0.3"/>
    <row r="58" spans="1:16" x14ac:dyDescent="0.3">
      <c r="A58" t="s">
        <v>18</v>
      </c>
      <c r="B58" t="s">
        <v>1</v>
      </c>
      <c r="C58" t="s">
        <v>2</v>
      </c>
    </row>
    <row r="59" spans="1:16" x14ac:dyDescent="0.3">
      <c r="A59" t="s">
        <v>3</v>
      </c>
      <c r="D59">
        <f>B59+C59</f>
        <v>0</v>
      </c>
      <c r="E59" s="16" t="e">
        <f>(B59/D59)</f>
        <v>#DIV/0!</v>
      </c>
      <c r="F59" s="16" t="e">
        <f>C59/D59</f>
        <v>#DIV/0!</v>
      </c>
    </row>
    <row r="60" spans="1:16" x14ac:dyDescent="0.3">
      <c r="A60" t="s">
        <v>4</v>
      </c>
      <c r="D60">
        <f t="shared" ref="D60:D62" si="24">B60+C60</f>
        <v>0</v>
      </c>
      <c r="E60" s="16" t="e">
        <f t="shared" ref="E60:E62" si="25">(B60/D60)</f>
        <v>#DIV/0!</v>
      </c>
      <c r="F60" s="16" t="e">
        <f t="shared" ref="F60:F62" si="26">C60/D60</f>
        <v>#DIV/0!</v>
      </c>
    </row>
    <row r="61" spans="1:16" x14ac:dyDescent="0.3">
      <c r="A61" t="s">
        <v>0</v>
      </c>
      <c r="D61">
        <f t="shared" si="24"/>
        <v>0</v>
      </c>
      <c r="E61" s="16" t="e">
        <f t="shared" si="25"/>
        <v>#DIV/0!</v>
      </c>
      <c r="F61" s="16" t="e">
        <f t="shared" si="26"/>
        <v>#DIV/0!</v>
      </c>
    </row>
    <row r="62" spans="1:16" x14ac:dyDescent="0.3">
      <c r="A62" t="s">
        <v>5</v>
      </c>
      <c r="D62">
        <f t="shared" si="24"/>
        <v>0</v>
      </c>
      <c r="E62" s="16" t="e">
        <f t="shared" si="25"/>
        <v>#DIV/0!</v>
      </c>
      <c r="F62" s="16" t="e">
        <f t="shared" si="26"/>
        <v>#DIV/0!</v>
      </c>
    </row>
    <row r="63" spans="1:16" ht="15" thickBot="1" x14ac:dyDescent="0.35"/>
    <row r="64" spans="1:16" ht="15" thickBot="1" x14ac:dyDescent="0.35">
      <c r="A64" s="61"/>
      <c r="B64" s="63" t="s">
        <v>12</v>
      </c>
      <c r="C64" s="64"/>
      <c r="D64" s="64"/>
      <c r="E64" s="64"/>
      <c r="F64" s="65"/>
      <c r="G64" s="63" t="s">
        <v>11</v>
      </c>
      <c r="H64" s="64"/>
      <c r="I64" s="64"/>
      <c r="J64" s="64"/>
      <c r="K64" s="65"/>
      <c r="L64" s="63" t="s">
        <v>13</v>
      </c>
      <c r="M64" s="64"/>
      <c r="N64" s="64"/>
      <c r="O64" s="64"/>
      <c r="P64" s="65"/>
    </row>
    <row r="65" spans="1:16" ht="15" thickBot="1" x14ac:dyDescent="0.35">
      <c r="A65" s="62"/>
      <c r="B65" s="9" t="s">
        <v>6</v>
      </c>
      <c r="C65" s="10" t="s">
        <v>7</v>
      </c>
      <c r="D65" s="7" t="s">
        <v>8</v>
      </c>
      <c r="E65" s="7" t="s">
        <v>9</v>
      </c>
      <c r="F65" s="8" t="s">
        <v>10</v>
      </c>
      <c r="G65" s="9" t="s">
        <v>6</v>
      </c>
      <c r="H65" s="10" t="s">
        <v>7</v>
      </c>
      <c r="I65" s="7" t="s">
        <v>8</v>
      </c>
      <c r="J65" s="7" t="s">
        <v>9</v>
      </c>
      <c r="K65" s="8" t="s">
        <v>10</v>
      </c>
      <c r="L65" s="9" t="s">
        <v>6</v>
      </c>
      <c r="M65" s="10" t="s">
        <v>7</v>
      </c>
      <c r="N65" s="7" t="s">
        <v>8</v>
      </c>
      <c r="O65" s="7" t="s">
        <v>9</v>
      </c>
      <c r="P65" s="8" t="s">
        <v>10</v>
      </c>
    </row>
    <row r="66" spans="1:16" x14ac:dyDescent="0.3">
      <c r="A66" s="11" t="s">
        <v>3</v>
      </c>
      <c r="B66" s="1"/>
      <c r="C66" s="2"/>
      <c r="D66" s="3"/>
      <c r="E66" s="24" t="e">
        <f>2*((C66*D66)/(C66+D66))</f>
        <v>#DIV/0!</v>
      </c>
      <c r="F66" s="4"/>
      <c r="G66" s="5"/>
      <c r="H66" s="3"/>
      <c r="I66" s="15"/>
      <c r="J66" s="3" t="e">
        <f>2*((H66*I66)/(H66+I66))</f>
        <v>#DIV/0!</v>
      </c>
      <c r="K66" s="4"/>
      <c r="L66" s="5"/>
      <c r="M66" s="3"/>
      <c r="N66" s="3"/>
      <c r="O66" s="3" t="e">
        <f>2*((M66*N66)/(M66+N66))</f>
        <v>#DIV/0!</v>
      </c>
      <c r="P66" s="4"/>
    </row>
    <row r="67" spans="1:16" x14ac:dyDescent="0.3">
      <c r="A67" s="12" t="s">
        <v>4</v>
      </c>
      <c r="B67" s="5"/>
      <c r="C67" s="3"/>
      <c r="D67" s="3"/>
      <c r="E67" s="24" t="e">
        <f t="shared" ref="E67:E69" si="27">2*((C67*D67)/(C67+D67))</f>
        <v>#DIV/0!</v>
      </c>
      <c r="F67" s="4"/>
      <c r="G67" s="5"/>
      <c r="H67" s="3"/>
      <c r="I67" s="15"/>
      <c r="J67" s="3" t="e">
        <f t="shared" ref="J67:J69" si="28">2*((H67*I67)/(H67+I67))</f>
        <v>#DIV/0!</v>
      </c>
      <c r="K67" s="4"/>
      <c r="L67" s="5"/>
      <c r="M67" s="3"/>
      <c r="N67" s="15"/>
      <c r="O67" s="3" t="e">
        <f t="shared" ref="O67:O69" si="29">2*((M67*N67)/(M67+N67))</f>
        <v>#DIV/0!</v>
      </c>
      <c r="P67" s="4"/>
    </row>
    <row r="68" spans="1:16" x14ac:dyDescent="0.3">
      <c r="A68" s="12" t="s">
        <v>0</v>
      </c>
      <c r="B68" s="5"/>
      <c r="C68" s="3"/>
      <c r="D68" s="3"/>
      <c r="E68" s="24" t="e">
        <f t="shared" si="27"/>
        <v>#DIV/0!</v>
      </c>
      <c r="F68" s="4"/>
      <c r="G68" s="5"/>
      <c r="H68" s="15"/>
      <c r="I68" s="15"/>
      <c r="J68" s="3" t="e">
        <f t="shared" si="28"/>
        <v>#DIV/0!</v>
      </c>
      <c r="K68" s="4"/>
      <c r="L68" s="5"/>
      <c r="M68" s="3"/>
      <c r="N68" s="3"/>
      <c r="O68" s="3" t="e">
        <f t="shared" si="29"/>
        <v>#DIV/0!</v>
      </c>
      <c r="P68" s="4"/>
    </row>
    <row r="69" spans="1:16" ht="15" thickBot="1" x14ac:dyDescent="0.35">
      <c r="A69" s="13" t="s">
        <v>5</v>
      </c>
      <c r="B69" s="6"/>
      <c r="C69" s="7"/>
      <c r="D69" s="7"/>
      <c r="E69" s="25" t="e">
        <f t="shared" si="27"/>
        <v>#DIV/0!</v>
      </c>
      <c r="F69" s="8"/>
      <c r="G69" s="6"/>
      <c r="H69" s="7"/>
      <c r="I69" s="7"/>
      <c r="J69" s="7" t="e">
        <f t="shared" si="28"/>
        <v>#DIV/0!</v>
      </c>
      <c r="K69" s="8"/>
      <c r="L69" s="6"/>
      <c r="M69" s="7"/>
      <c r="N69" s="7"/>
      <c r="O69" s="7" t="e">
        <f t="shared" si="29"/>
        <v>#DIV/0!</v>
      </c>
      <c r="P69" s="8"/>
    </row>
    <row r="71" spans="1:16" s="14" customFormat="1" x14ac:dyDescent="0.3"/>
    <row r="72" spans="1:16" x14ac:dyDescent="0.3">
      <c r="A72" t="s">
        <v>19</v>
      </c>
      <c r="B72" t="s">
        <v>1</v>
      </c>
      <c r="C72" t="s">
        <v>2</v>
      </c>
    </row>
    <row r="73" spans="1:16" x14ac:dyDescent="0.3">
      <c r="A73" t="s">
        <v>3</v>
      </c>
      <c r="D73">
        <f>B73+C73</f>
        <v>0</v>
      </c>
      <c r="E73" s="16" t="e">
        <f>(B73/D73)</f>
        <v>#DIV/0!</v>
      </c>
      <c r="F73" s="16" t="e">
        <f>C73/D73</f>
        <v>#DIV/0!</v>
      </c>
    </row>
    <row r="74" spans="1:16" x14ac:dyDescent="0.3">
      <c r="A74" t="s">
        <v>4</v>
      </c>
      <c r="D74">
        <f>B74+C74</f>
        <v>0</v>
      </c>
      <c r="E74" s="16" t="e">
        <f t="shared" ref="E74:E76" si="30">(B74/D74)</f>
        <v>#DIV/0!</v>
      </c>
      <c r="F74" s="16" t="e">
        <f t="shared" ref="F74:F76" si="31">C74/D74</f>
        <v>#DIV/0!</v>
      </c>
    </row>
    <row r="75" spans="1:16" x14ac:dyDescent="0.3">
      <c r="A75" t="s">
        <v>0</v>
      </c>
      <c r="D75">
        <f t="shared" ref="D75:D76" si="32">B75+C75</f>
        <v>0</v>
      </c>
      <c r="E75" s="16" t="e">
        <f t="shared" si="30"/>
        <v>#DIV/0!</v>
      </c>
      <c r="F75" s="16" t="e">
        <f t="shared" si="31"/>
        <v>#DIV/0!</v>
      </c>
    </row>
    <row r="76" spans="1:16" x14ac:dyDescent="0.3">
      <c r="A76" t="s">
        <v>5</v>
      </c>
      <c r="D76">
        <f t="shared" si="32"/>
        <v>0</v>
      </c>
      <c r="E76" s="16" t="e">
        <f t="shared" si="30"/>
        <v>#DIV/0!</v>
      </c>
      <c r="F76" s="16" t="e">
        <f t="shared" si="31"/>
        <v>#DIV/0!</v>
      </c>
    </row>
    <row r="77" spans="1:16" ht="15" thickBot="1" x14ac:dyDescent="0.35"/>
    <row r="78" spans="1:16" ht="15" thickBot="1" x14ac:dyDescent="0.35">
      <c r="A78" s="61"/>
      <c r="B78" s="63" t="s">
        <v>12</v>
      </c>
      <c r="C78" s="64"/>
      <c r="D78" s="64"/>
      <c r="E78" s="64"/>
      <c r="F78" s="65"/>
      <c r="G78" s="63" t="s">
        <v>11</v>
      </c>
      <c r="H78" s="64"/>
      <c r="I78" s="64"/>
      <c r="J78" s="64"/>
      <c r="K78" s="65"/>
      <c r="L78" s="63" t="s">
        <v>13</v>
      </c>
      <c r="M78" s="64"/>
      <c r="N78" s="64"/>
      <c r="O78" s="64"/>
      <c r="P78" s="65"/>
    </row>
    <row r="79" spans="1:16" ht="15" thickBot="1" x14ac:dyDescent="0.35">
      <c r="A79" s="62"/>
      <c r="B79" s="9" t="s">
        <v>6</v>
      </c>
      <c r="C79" s="10" t="s">
        <v>7</v>
      </c>
      <c r="D79" s="7" t="s">
        <v>8</v>
      </c>
      <c r="E79" s="7" t="s">
        <v>9</v>
      </c>
      <c r="F79" s="8" t="s">
        <v>10</v>
      </c>
      <c r="G79" s="9" t="s">
        <v>6</v>
      </c>
      <c r="H79" s="10" t="s">
        <v>7</v>
      </c>
      <c r="I79" s="7" t="s">
        <v>8</v>
      </c>
      <c r="J79" s="7" t="s">
        <v>9</v>
      </c>
      <c r="K79" s="8" t="s">
        <v>10</v>
      </c>
      <c r="L79" s="9" t="s">
        <v>6</v>
      </c>
      <c r="M79" s="10" t="s">
        <v>7</v>
      </c>
      <c r="N79" s="7" t="s">
        <v>8</v>
      </c>
      <c r="O79" s="7" t="s">
        <v>9</v>
      </c>
      <c r="P79" s="8" t="s">
        <v>10</v>
      </c>
    </row>
    <row r="80" spans="1:16" x14ac:dyDescent="0.3">
      <c r="A80" s="11" t="s">
        <v>3</v>
      </c>
      <c r="B80" s="1"/>
      <c r="C80" s="2"/>
      <c r="D80" s="3"/>
      <c r="E80" s="24" t="e">
        <f>2*((C80*D80)/(C80+D80))</f>
        <v>#DIV/0!</v>
      </c>
      <c r="F80" s="4"/>
      <c r="H80" s="3"/>
      <c r="I80" s="3"/>
      <c r="J80" s="3" t="e">
        <f>2*((H80*I80)/(H80+I80))</f>
        <v>#DIV/0!</v>
      </c>
      <c r="K80" s="4"/>
      <c r="L80" s="5"/>
      <c r="M80" s="3"/>
      <c r="N80" s="15"/>
      <c r="O80" s="3" t="e">
        <f>2*((M80*N80)/(M80+N80))</f>
        <v>#DIV/0!</v>
      </c>
      <c r="P80" s="4"/>
    </row>
    <row r="81" spans="1:16" x14ac:dyDescent="0.3">
      <c r="A81" s="12" t="s">
        <v>4</v>
      </c>
      <c r="B81" s="5"/>
      <c r="C81" s="3"/>
      <c r="D81" s="3"/>
      <c r="E81" s="24" t="e">
        <f t="shared" ref="E81:E83" si="33">2*((C81*D81)/(C81+D81))</f>
        <v>#DIV/0!</v>
      </c>
      <c r="F81" s="4"/>
      <c r="G81" s="5"/>
      <c r="H81" s="3"/>
      <c r="I81" s="3"/>
      <c r="J81" s="3" t="e">
        <f t="shared" ref="J81:J83" si="34">2*((H81*I81)/(H81+I81))</f>
        <v>#DIV/0!</v>
      </c>
      <c r="K81" s="4"/>
      <c r="L81" s="5"/>
      <c r="M81" s="3"/>
      <c r="N81" s="3"/>
      <c r="O81" s="3" t="e">
        <f t="shared" ref="O81:O82" si="35">2*((M81*N81)/(M81+N81))</f>
        <v>#DIV/0!</v>
      </c>
      <c r="P81" s="4"/>
    </row>
    <row r="82" spans="1:16" x14ac:dyDescent="0.3">
      <c r="A82" s="12" t="s">
        <v>0</v>
      </c>
      <c r="B82" s="5"/>
      <c r="C82" s="3"/>
      <c r="D82" s="3"/>
      <c r="E82" s="24" t="e">
        <f t="shared" si="33"/>
        <v>#DIV/0!</v>
      </c>
      <c r="F82" s="4"/>
      <c r="G82" s="5"/>
      <c r="H82" s="3"/>
      <c r="I82" s="3"/>
      <c r="J82" s="3" t="e">
        <f t="shared" si="34"/>
        <v>#DIV/0!</v>
      </c>
      <c r="K82" s="4"/>
      <c r="L82" s="5"/>
      <c r="M82" s="3"/>
      <c r="N82" s="15"/>
      <c r="O82" s="3" t="e">
        <f t="shared" si="35"/>
        <v>#DIV/0!</v>
      </c>
      <c r="P82" s="4"/>
    </row>
    <row r="83" spans="1:16" ht="15" thickBot="1" x14ac:dyDescent="0.35">
      <c r="A83" s="13" t="s">
        <v>5</v>
      </c>
      <c r="B83" s="6"/>
      <c r="C83" s="7"/>
      <c r="D83" s="7"/>
      <c r="E83" s="25" t="e">
        <f t="shared" si="33"/>
        <v>#DIV/0!</v>
      </c>
      <c r="F83" s="8"/>
      <c r="G83" s="6"/>
      <c r="H83" s="7"/>
      <c r="I83" s="7"/>
      <c r="J83" s="7" t="e">
        <f t="shared" si="34"/>
        <v>#DIV/0!</v>
      </c>
      <c r="K83" s="8"/>
      <c r="L83" s="6"/>
      <c r="M83" s="7"/>
      <c r="N83" s="7"/>
      <c r="O83" s="7" t="e">
        <f>2*((M83*N83)/(M83+N83))</f>
        <v>#DIV/0!</v>
      </c>
      <c r="P83" s="8"/>
    </row>
    <row r="85" spans="1:16" s="14" customFormat="1" x14ac:dyDescent="0.3"/>
    <row r="86" spans="1:16" x14ac:dyDescent="0.3">
      <c r="A86" t="s">
        <v>20</v>
      </c>
      <c r="B86" t="s">
        <v>1</v>
      </c>
      <c r="C86" t="s">
        <v>2</v>
      </c>
    </row>
    <row r="87" spans="1:16" x14ac:dyDescent="0.3">
      <c r="A87" t="s">
        <v>3</v>
      </c>
      <c r="D87">
        <f>B87+C87</f>
        <v>0</v>
      </c>
      <c r="E87" s="16" t="e">
        <f>(B87/D87)</f>
        <v>#DIV/0!</v>
      </c>
      <c r="F87" s="16" t="e">
        <f>C87/D87</f>
        <v>#DIV/0!</v>
      </c>
    </row>
    <row r="88" spans="1:16" x14ac:dyDescent="0.3">
      <c r="A88" t="s">
        <v>4</v>
      </c>
      <c r="D88">
        <f t="shared" ref="D88:D90" si="36">B88+C88</f>
        <v>0</v>
      </c>
      <c r="E88" s="16" t="e">
        <f t="shared" ref="E88:E90" si="37">(B88/D88)</f>
        <v>#DIV/0!</v>
      </c>
      <c r="F88" s="16" t="e">
        <f t="shared" ref="F88:F90" si="38">C88/D88</f>
        <v>#DIV/0!</v>
      </c>
    </row>
    <row r="89" spans="1:16" x14ac:dyDescent="0.3">
      <c r="A89" t="s">
        <v>0</v>
      </c>
      <c r="D89">
        <f t="shared" si="36"/>
        <v>0</v>
      </c>
      <c r="E89" s="16" t="e">
        <f t="shared" si="37"/>
        <v>#DIV/0!</v>
      </c>
      <c r="F89" s="16" t="e">
        <f t="shared" si="38"/>
        <v>#DIV/0!</v>
      </c>
    </row>
    <row r="90" spans="1:16" x14ac:dyDescent="0.3">
      <c r="A90" t="s">
        <v>5</v>
      </c>
      <c r="D90">
        <f t="shared" si="36"/>
        <v>0</v>
      </c>
      <c r="E90" s="16" t="e">
        <f t="shared" si="37"/>
        <v>#DIV/0!</v>
      </c>
      <c r="F90" s="16" t="e">
        <f t="shared" si="38"/>
        <v>#DIV/0!</v>
      </c>
    </row>
    <row r="91" spans="1:16" ht="15" thickBot="1" x14ac:dyDescent="0.35"/>
    <row r="92" spans="1:16" ht="15" thickBot="1" x14ac:dyDescent="0.35">
      <c r="A92" s="61"/>
      <c r="B92" s="63" t="s">
        <v>12</v>
      </c>
      <c r="C92" s="64"/>
      <c r="D92" s="64"/>
      <c r="E92" s="64"/>
      <c r="F92" s="65"/>
      <c r="G92" s="63" t="s">
        <v>11</v>
      </c>
      <c r="H92" s="64"/>
      <c r="I92" s="64"/>
      <c r="J92" s="64"/>
      <c r="K92" s="65"/>
      <c r="L92" s="63" t="s">
        <v>13</v>
      </c>
      <c r="M92" s="64"/>
      <c r="N92" s="64"/>
      <c r="O92" s="64"/>
      <c r="P92" s="65"/>
    </row>
    <row r="93" spans="1:16" ht="15" thickBot="1" x14ac:dyDescent="0.35">
      <c r="A93" s="62"/>
      <c r="B93" s="9" t="s">
        <v>6</v>
      </c>
      <c r="C93" s="10" t="s">
        <v>7</v>
      </c>
      <c r="D93" s="7" t="s">
        <v>8</v>
      </c>
      <c r="E93" s="7" t="s">
        <v>9</v>
      </c>
      <c r="F93" s="8" t="s">
        <v>10</v>
      </c>
      <c r="G93" s="9" t="s">
        <v>6</v>
      </c>
      <c r="H93" s="10" t="s">
        <v>7</v>
      </c>
      <c r="I93" s="7" t="s">
        <v>8</v>
      </c>
      <c r="J93" s="7" t="s">
        <v>9</v>
      </c>
      <c r="K93" s="8" t="s">
        <v>10</v>
      </c>
      <c r="L93" s="9" t="s">
        <v>6</v>
      </c>
      <c r="M93" s="10" t="s">
        <v>7</v>
      </c>
      <c r="N93" s="7" t="s">
        <v>8</v>
      </c>
      <c r="O93" s="7" t="s">
        <v>9</v>
      </c>
      <c r="P93" s="8" t="s">
        <v>10</v>
      </c>
    </row>
    <row r="94" spans="1:16" x14ac:dyDescent="0.3">
      <c r="A94" s="11" t="s">
        <v>3</v>
      </c>
      <c r="B94" s="1"/>
      <c r="C94" s="2"/>
      <c r="D94" s="3"/>
      <c r="E94" s="24" t="e">
        <f>2*((C94*D94)/(C94+D94))</f>
        <v>#DIV/0!</v>
      </c>
      <c r="F94" s="4"/>
      <c r="G94" s="5"/>
      <c r="H94" s="3"/>
      <c r="I94" s="3"/>
      <c r="J94" s="3" t="e">
        <f>2*((H94*I94)/(H94+I94))</f>
        <v>#DIV/0!</v>
      </c>
      <c r="K94" s="4"/>
      <c r="L94" s="5"/>
      <c r="M94" s="3"/>
      <c r="N94" s="3"/>
      <c r="O94" s="3" t="e">
        <f>2*((M94*N94)/(M94+N94))</f>
        <v>#DIV/0!</v>
      </c>
      <c r="P94" s="4"/>
    </row>
    <row r="95" spans="1:16" x14ac:dyDescent="0.3">
      <c r="A95" s="12" t="s">
        <v>4</v>
      </c>
      <c r="B95" s="5"/>
      <c r="C95" s="3"/>
      <c r="D95" s="3"/>
      <c r="E95" s="24" t="e">
        <f t="shared" ref="E95:E97" si="39">2*((C95*D95)/(C95+D95))</f>
        <v>#DIV/0!</v>
      </c>
      <c r="F95" s="4"/>
      <c r="G95" s="5"/>
      <c r="H95" s="3"/>
      <c r="I95" s="15"/>
      <c r="J95" s="3" t="e">
        <f t="shared" ref="J95:J97" si="40">2*((H95*I95)/(H95+I95))</f>
        <v>#DIV/0!</v>
      </c>
      <c r="K95" s="4"/>
      <c r="L95" s="5"/>
      <c r="M95" s="3"/>
      <c r="N95" s="15"/>
      <c r="O95" s="3" t="e">
        <f t="shared" ref="O95:O97" si="41">2*((M95*N95)/(M95+N95))</f>
        <v>#DIV/0!</v>
      </c>
      <c r="P95" s="4"/>
    </row>
    <row r="96" spans="1:16" x14ac:dyDescent="0.3">
      <c r="A96" s="12" t="s">
        <v>0</v>
      </c>
      <c r="B96" s="5"/>
      <c r="C96" s="3"/>
      <c r="D96" s="3"/>
      <c r="E96" s="24" t="e">
        <f t="shared" si="39"/>
        <v>#DIV/0!</v>
      </c>
      <c r="F96" s="4"/>
      <c r="G96" s="5"/>
      <c r="H96" s="3"/>
      <c r="I96" s="3"/>
      <c r="J96" s="3" t="e">
        <f t="shared" si="40"/>
        <v>#DIV/0!</v>
      </c>
      <c r="K96" s="4"/>
      <c r="L96" s="5"/>
      <c r="M96" s="3"/>
      <c r="N96" s="15"/>
      <c r="O96" s="3" t="e">
        <f t="shared" si="41"/>
        <v>#DIV/0!</v>
      </c>
      <c r="P96" s="4"/>
    </row>
    <row r="97" spans="1:16" ht="15" thickBot="1" x14ac:dyDescent="0.35">
      <c r="A97" s="13" t="s">
        <v>5</v>
      </c>
      <c r="B97" s="6"/>
      <c r="C97" s="7"/>
      <c r="D97" s="7"/>
      <c r="E97" s="25" t="e">
        <f t="shared" si="39"/>
        <v>#DIV/0!</v>
      </c>
      <c r="F97" s="8"/>
      <c r="G97" s="6"/>
      <c r="H97" s="7"/>
      <c r="I97" s="7"/>
      <c r="J97" s="7" t="e">
        <f t="shared" si="40"/>
        <v>#DIV/0!</v>
      </c>
      <c r="K97" s="8"/>
      <c r="L97" s="6"/>
      <c r="M97" s="7"/>
      <c r="N97" s="7"/>
      <c r="O97" s="7" t="e">
        <f t="shared" si="41"/>
        <v>#DIV/0!</v>
      </c>
      <c r="P97" s="8"/>
    </row>
    <row r="99" spans="1:16" s="14" customFormat="1" x14ac:dyDescent="0.3"/>
    <row r="100" spans="1:16" x14ac:dyDescent="0.3">
      <c r="A100" t="s">
        <v>21</v>
      </c>
      <c r="B100" t="s">
        <v>1</v>
      </c>
      <c r="C100" t="s">
        <v>2</v>
      </c>
    </row>
    <row r="101" spans="1:16" x14ac:dyDescent="0.3">
      <c r="A101" t="s">
        <v>3</v>
      </c>
      <c r="D101">
        <f>B101+C101</f>
        <v>0</v>
      </c>
      <c r="E101" s="16" t="e">
        <f>(B101/D101)</f>
        <v>#DIV/0!</v>
      </c>
      <c r="F101" s="16" t="e">
        <f>C101/D101</f>
        <v>#DIV/0!</v>
      </c>
    </row>
    <row r="102" spans="1:16" x14ac:dyDescent="0.3">
      <c r="A102" t="s">
        <v>4</v>
      </c>
      <c r="D102">
        <f t="shared" ref="D102:D104" si="42">B102+C102</f>
        <v>0</v>
      </c>
      <c r="E102" s="16" t="e">
        <f t="shared" ref="E102:E104" si="43">(B102/D102)</f>
        <v>#DIV/0!</v>
      </c>
      <c r="F102" s="16" t="e">
        <f t="shared" ref="F102:F104" si="44">C102/D102</f>
        <v>#DIV/0!</v>
      </c>
    </row>
    <row r="103" spans="1:16" x14ac:dyDescent="0.3">
      <c r="A103" t="s">
        <v>0</v>
      </c>
      <c r="D103">
        <f t="shared" si="42"/>
        <v>0</v>
      </c>
      <c r="E103" s="16" t="e">
        <f t="shared" si="43"/>
        <v>#DIV/0!</v>
      </c>
      <c r="F103" s="16" t="e">
        <f>C103/D103</f>
        <v>#DIV/0!</v>
      </c>
    </row>
    <row r="104" spans="1:16" x14ac:dyDescent="0.3">
      <c r="A104" t="s">
        <v>5</v>
      </c>
      <c r="D104">
        <f t="shared" si="42"/>
        <v>0</v>
      </c>
      <c r="E104" s="16" t="e">
        <f t="shared" si="43"/>
        <v>#DIV/0!</v>
      </c>
      <c r="F104" s="16" t="e">
        <f t="shared" si="44"/>
        <v>#DIV/0!</v>
      </c>
    </row>
    <row r="105" spans="1:16" ht="15" thickBot="1" x14ac:dyDescent="0.35"/>
    <row r="106" spans="1:16" ht="15" thickBot="1" x14ac:dyDescent="0.35">
      <c r="A106" s="61"/>
      <c r="B106" s="63" t="s">
        <v>12</v>
      </c>
      <c r="C106" s="64"/>
      <c r="D106" s="64"/>
      <c r="E106" s="64"/>
      <c r="F106" s="65"/>
      <c r="G106" s="63" t="s">
        <v>11</v>
      </c>
      <c r="H106" s="64"/>
      <c r="I106" s="64"/>
      <c r="J106" s="64"/>
      <c r="K106" s="65"/>
      <c r="L106" s="63" t="s">
        <v>13</v>
      </c>
      <c r="M106" s="64"/>
      <c r="N106" s="64"/>
      <c r="O106" s="64"/>
      <c r="P106" s="65"/>
    </row>
    <row r="107" spans="1:16" ht="15" thickBot="1" x14ac:dyDescent="0.35">
      <c r="A107" s="62"/>
      <c r="B107" s="9" t="s">
        <v>6</v>
      </c>
      <c r="C107" s="10" t="s">
        <v>7</v>
      </c>
      <c r="D107" s="7" t="s">
        <v>8</v>
      </c>
      <c r="E107" s="7" t="s">
        <v>9</v>
      </c>
      <c r="F107" s="8" t="s">
        <v>10</v>
      </c>
      <c r="G107" s="9" t="s">
        <v>6</v>
      </c>
      <c r="H107" s="10" t="s">
        <v>7</v>
      </c>
      <c r="I107" s="7" t="s">
        <v>8</v>
      </c>
      <c r="J107" s="7" t="s">
        <v>9</v>
      </c>
      <c r="K107" s="8" t="s">
        <v>10</v>
      </c>
      <c r="L107" s="9" t="s">
        <v>6</v>
      </c>
      <c r="M107" s="10" t="s">
        <v>7</v>
      </c>
      <c r="N107" s="7" t="s">
        <v>8</v>
      </c>
      <c r="O107" s="7" t="s">
        <v>9</v>
      </c>
      <c r="P107" s="8" t="s">
        <v>10</v>
      </c>
    </row>
    <row r="108" spans="1:16" x14ac:dyDescent="0.3">
      <c r="A108" s="11" t="s">
        <v>3</v>
      </c>
      <c r="B108" s="1"/>
      <c r="C108" s="2"/>
      <c r="D108" s="3"/>
      <c r="E108" s="24" t="e">
        <f>2*((C108*D108)/(C108+D108))</f>
        <v>#DIV/0!</v>
      </c>
      <c r="F108" s="4"/>
      <c r="G108" s="5"/>
      <c r="H108" s="3"/>
      <c r="I108" s="3"/>
      <c r="J108" s="3" t="e">
        <f>2*((H108*I108)/(H108+I108))</f>
        <v>#DIV/0!</v>
      </c>
      <c r="K108" s="4"/>
      <c r="L108" s="5"/>
      <c r="M108" s="3"/>
      <c r="N108" s="15"/>
      <c r="O108" s="3" t="e">
        <f>2*((M108*N108)/(M108+N108))</f>
        <v>#DIV/0!</v>
      </c>
      <c r="P108" s="4"/>
    </row>
    <row r="109" spans="1:16" x14ac:dyDescent="0.3">
      <c r="A109" s="12" t="s">
        <v>4</v>
      </c>
      <c r="B109" s="5"/>
      <c r="C109" s="3"/>
      <c r="D109" s="3"/>
      <c r="E109" s="24" t="e">
        <f t="shared" ref="E109:E111" si="45">2*((C109*D109)/(C109+D109))</f>
        <v>#DIV/0!</v>
      </c>
      <c r="F109" s="4"/>
      <c r="G109" s="5"/>
      <c r="H109" s="3"/>
      <c r="I109" s="15"/>
      <c r="J109" s="3" t="e">
        <f t="shared" ref="J109:J111" si="46">2*((H109*I109)/(H109+I109))</f>
        <v>#DIV/0!</v>
      </c>
      <c r="K109" s="4"/>
      <c r="L109" s="5"/>
      <c r="M109" s="3"/>
      <c r="N109" s="15"/>
      <c r="O109" s="3" t="e">
        <f t="shared" ref="O109:O111" si="47">2*((M109*N109)/(M109+N109))</f>
        <v>#DIV/0!</v>
      </c>
      <c r="P109" s="4"/>
    </row>
    <row r="110" spans="1:16" x14ac:dyDescent="0.3">
      <c r="A110" s="12" t="s">
        <v>0</v>
      </c>
      <c r="B110" s="5"/>
      <c r="C110" s="3"/>
      <c r="D110" s="3"/>
      <c r="E110" s="24" t="e">
        <f t="shared" si="45"/>
        <v>#DIV/0!</v>
      </c>
      <c r="F110" s="4"/>
      <c r="G110" s="5"/>
      <c r="H110" s="3"/>
      <c r="I110" s="3"/>
      <c r="J110" s="3" t="e">
        <f t="shared" si="46"/>
        <v>#DIV/0!</v>
      </c>
      <c r="K110" s="4"/>
      <c r="L110" s="5"/>
      <c r="M110" s="3"/>
      <c r="N110" s="3"/>
      <c r="O110" s="3" t="e">
        <f t="shared" si="47"/>
        <v>#DIV/0!</v>
      </c>
      <c r="P110" s="4"/>
    </row>
    <row r="111" spans="1:16" ht="15" thickBot="1" x14ac:dyDescent="0.35">
      <c r="A111" s="13" t="s">
        <v>5</v>
      </c>
      <c r="B111" s="6"/>
      <c r="C111" s="7"/>
      <c r="D111" s="7"/>
      <c r="E111" s="25" t="e">
        <f t="shared" si="45"/>
        <v>#DIV/0!</v>
      </c>
      <c r="F111" s="8"/>
      <c r="G111" s="6"/>
      <c r="H111" s="7"/>
      <c r="I111" s="7"/>
      <c r="J111" s="7" t="e">
        <f t="shared" si="46"/>
        <v>#DIV/0!</v>
      </c>
      <c r="K111" s="8"/>
      <c r="L111" s="6"/>
      <c r="M111" s="7"/>
      <c r="N111" s="7"/>
      <c r="O111" s="7" t="e">
        <f t="shared" si="47"/>
        <v>#DIV/0!</v>
      </c>
      <c r="P111" s="8"/>
    </row>
    <row r="113" spans="1:16" s="14" customFormat="1" x14ac:dyDescent="0.3"/>
    <row r="114" spans="1:16" x14ac:dyDescent="0.3">
      <c r="A114" t="s">
        <v>22</v>
      </c>
      <c r="B114" t="s">
        <v>1</v>
      </c>
      <c r="C114" t="s">
        <v>2</v>
      </c>
    </row>
    <row r="115" spans="1:16" x14ac:dyDescent="0.3">
      <c r="A115" t="s">
        <v>3</v>
      </c>
      <c r="D115">
        <f>B115+C115</f>
        <v>0</v>
      </c>
      <c r="E115" s="16" t="e">
        <f>(B115/D115)</f>
        <v>#DIV/0!</v>
      </c>
      <c r="F115" s="16" t="e">
        <f>C115/D115</f>
        <v>#DIV/0!</v>
      </c>
    </row>
    <row r="116" spans="1:16" x14ac:dyDescent="0.3">
      <c r="A116" t="s">
        <v>4</v>
      </c>
      <c r="D116">
        <f t="shared" ref="D116:D118" si="48">B116+C116</f>
        <v>0</v>
      </c>
      <c r="E116" s="16" t="e">
        <f t="shared" ref="E116:E118" si="49">(B116/D116)</f>
        <v>#DIV/0!</v>
      </c>
      <c r="F116" s="16" t="e">
        <f t="shared" ref="F116:F118" si="50">C116/D116</f>
        <v>#DIV/0!</v>
      </c>
    </row>
    <row r="117" spans="1:16" x14ac:dyDescent="0.3">
      <c r="A117" t="s">
        <v>0</v>
      </c>
      <c r="D117">
        <f t="shared" si="48"/>
        <v>0</v>
      </c>
      <c r="E117" s="16" t="e">
        <f t="shared" si="49"/>
        <v>#DIV/0!</v>
      </c>
      <c r="F117" s="16" t="e">
        <f t="shared" si="50"/>
        <v>#DIV/0!</v>
      </c>
    </row>
    <row r="118" spans="1:16" x14ac:dyDescent="0.3">
      <c r="A118" t="s">
        <v>5</v>
      </c>
      <c r="D118">
        <f t="shared" si="48"/>
        <v>0</v>
      </c>
      <c r="E118" s="16" t="e">
        <f t="shared" si="49"/>
        <v>#DIV/0!</v>
      </c>
      <c r="F118" s="16" t="e">
        <f t="shared" si="50"/>
        <v>#DIV/0!</v>
      </c>
    </row>
    <row r="119" spans="1:16" ht="15" thickBot="1" x14ac:dyDescent="0.35"/>
    <row r="120" spans="1:16" ht="15" thickBot="1" x14ac:dyDescent="0.35">
      <c r="A120" s="61"/>
      <c r="B120" s="63" t="s">
        <v>12</v>
      </c>
      <c r="C120" s="64"/>
      <c r="D120" s="64"/>
      <c r="E120" s="64"/>
      <c r="F120" s="65"/>
      <c r="G120" s="63" t="s">
        <v>11</v>
      </c>
      <c r="H120" s="64"/>
      <c r="I120" s="64"/>
      <c r="J120" s="64"/>
      <c r="K120" s="65"/>
      <c r="L120" s="63" t="s">
        <v>13</v>
      </c>
      <c r="M120" s="64"/>
      <c r="N120" s="64"/>
      <c r="O120" s="64"/>
      <c r="P120" s="65"/>
    </row>
    <row r="121" spans="1:16" ht="15" thickBot="1" x14ac:dyDescent="0.35">
      <c r="A121" s="62"/>
      <c r="B121" s="9" t="s">
        <v>6</v>
      </c>
      <c r="C121" s="10" t="s">
        <v>7</v>
      </c>
      <c r="D121" s="7" t="s">
        <v>8</v>
      </c>
      <c r="E121" s="7" t="s">
        <v>9</v>
      </c>
      <c r="F121" s="8" t="s">
        <v>10</v>
      </c>
      <c r="G121" s="9" t="s">
        <v>6</v>
      </c>
      <c r="H121" s="10" t="s">
        <v>7</v>
      </c>
      <c r="I121" s="7" t="s">
        <v>8</v>
      </c>
      <c r="J121" s="7" t="s">
        <v>9</v>
      </c>
      <c r="K121" s="8" t="s">
        <v>10</v>
      </c>
      <c r="L121" s="9" t="s">
        <v>6</v>
      </c>
      <c r="M121" s="10" t="s">
        <v>7</v>
      </c>
      <c r="N121" s="7" t="s">
        <v>8</v>
      </c>
      <c r="O121" s="7" t="s">
        <v>9</v>
      </c>
      <c r="P121" s="8" t="s">
        <v>10</v>
      </c>
    </row>
    <row r="122" spans="1:16" x14ac:dyDescent="0.3">
      <c r="A122" s="11" t="s">
        <v>3</v>
      </c>
      <c r="B122" s="1"/>
      <c r="C122" s="2"/>
      <c r="D122" s="3"/>
      <c r="E122" s="24" t="e">
        <f>2*((C122*D122)/(C122+D122))</f>
        <v>#DIV/0!</v>
      </c>
      <c r="F122" s="4"/>
      <c r="G122" s="1"/>
      <c r="H122" s="2"/>
      <c r="I122" s="3"/>
      <c r="J122" s="3" t="e">
        <f>2*((H122*I122)/(H122+I122))</f>
        <v>#DIV/0!</v>
      </c>
      <c r="K122" s="4"/>
      <c r="L122" s="1"/>
      <c r="M122" s="2"/>
      <c r="N122" s="3"/>
      <c r="O122" s="3" t="e">
        <f>2*((M122*N122)/(M122+N122))</f>
        <v>#DIV/0!</v>
      </c>
      <c r="P122" s="4"/>
    </row>
    <row r="123" spans="1:16" x14ac:dyDescent="0.3">
      <c r="A123" s="12" t="s">
        <v>4</v>
      </c>
      <c r="B123" s="5"/>
      <c r="C123" s="3"/>
      <c r="D123" s="3"/>
      <c r="E123" s="24" t="e">
        <f t="shared" ref="E123:E125" si="51">2*((C123*D123)/(C123+D123))</f>
        <v>#DIV/0!</v>
      </c>
      <c r="F123" s="4"/>
      <c r="G123" s="5"/>
      <c r="H123" s="3"/>
      <c r="I123" s="3"/>
      <c r="J123" s="3" t="e">
        <f t="shared" ref="J123:J125" si="52">2*((H123*I123)/(H123+I123))</f>
        <v>#DIV/0!</v>
      </c>
      <c r="K123" s="4"/>
      <c r="L123" s="5"/>
      <c r="M123" s="3"/>
      <c r="N123" s="3"/>
      <c r="O123" s="3" t="e">
        <f>2*((M123*N123)/(M123+N123))</f>
        <v>#DIV/0!</v>
      </c>
      <c r="P123" s="4"/>
    </row>
    <row r="124" spans="1:16" x14ac:dyDescent="0.3">
      <c r="A124" s="12" t="s">
        <v>0</v>
      </c>
      <c r="B124" s="5"/>
      <c r="C124" s="3"/>
      <c r="D124" s="3"/>
      <c r="E124" s="24" t="e">
        <f t="shared" si="51"/>
        <v>#DIV/0!</v>
      </c>
      <c r="F124" s="4"/>
      <c r="G124" s="5"/>
      <c r="H124" s="3"/>
      <c r="I124" s="15"/>
      <c r="J124" s="3" t="e">
        <f t="shared" si="52"/>
        <v>#DIV/0!</v>
      </c>
      <c r="K124" s="4"/>
      <c r="L124" s="5"/>
      <c r="M124" s="3"/>
      <c r="N124" s="15"/>
      <c r="O124" s="3" t="e">
        <f t="shared" ref="O124:O125" si="53">2*((M124*N124)/(M124+N124))</f>
        <v>#DIV/0!</v>
      </c>
      <c r="P124" s="4"/>
    </row>
    <row r="125" spans="1:16" ht="15" thickBot="1" x14ac:dyDescent="0.35">
      <c r="A125" s="13" t="s">
        <v>5</v>
      </c>
      <c r="B125" s="6"/>
      <c r="C125" s="7"/>
      <c r="D125" s="7"/>
      <c r="E125" s="25" t="e">
        <f t="shared" si="51"/>
        <v>#DIV/0!</v>
      </c>
      <c r="F125" s="8"/>
      <c r="G125" s="6"/>
      <c r="H125" s="7"/>
      <c r="I125" s="7"/>
      <c r="J125" s="7" t="e">
        <f t="shared" si="52"/>
        <v>#DIV/0!</v>
      </c>
      <c r="K125" s="8"/>
      <c r="L125" s="6"/>
      <c r="M125" s="7"/>
      <c r="N125" s="7"/>
      <c r="O125" s="7" t="e">
        <f t="shared" si="53"/>
        <v>#DIV/0!</v>
      </c>
      <c r="P125" s="8"/>
    </row>
    <row r="127" spans="1:16" s="14" customFormat="1" x14ac:dyDescent="0.3"/>
    <row r="128" spans="1:16" x14ac:dyDescent="0.3">
      <c r="A128" t="s">
        <v>23</v>
      </c>
      <c r="B128" t="s">
        <v>1</v>
      </c>
      <c r="C128" t="s">
        <v>2</v>
      </c>
    </row>
    <row r="129" spans="1:16" x14ac:dyDescent="0.3">
      <c r="A129" t="s">
        <v>3</v>
      </c>
      <c r="D129">
        <f>B129+C129</f>
        <v>0</v>
      </c>
      <c r="E129" s="16" t="e">
        <f>(B129/D129)</f>
        <v>#DIV/0!</v>
      </c>
      <c r="F129" s="16" t="e">
        <f>C129/D129</f>
        <v>#DIV/0!</v>
      </c>
    </row>
    <row r="130" spans="1:16" x14ac:dyDescent="0.3">
      <c r="A130" t="s">
        <v>4</v>
      </c>
      <c r="D130">
        <f t="shared" ref="D130:D132" si="54">B130+C130</f>
        <v>0</v>
      </c>
      <c r="E130" s="16" t="e">
        <f t="shared" ref="E130:E132" si="55">(B130/D130)</f>
        <v>#DIV/0!</v>
      </c>
      <c r="F130" s="16" t="e">
        <f t="shared" ref="F130:F132" si="56">C130/D130</f>
        <v>#DIV/0!</v>
      </c>
    </row>
    <row r="131" spans="1:16" x14ac:dyDescent="0.3">
      <c r="A131" t="s">
        <v>0</v>
      </c>
      <c r="D131">
        <f t="shared" si="54"/>
        <v>0</v>
      </c>
      <c r="E131" s="16" t="e">
        <f t="shared" si="55"/>
        <v>#DIV/0!</v>
      </c>
      <c r="F131" s="16" t="e">
        <f t="shared" si="56"/>
        <v>#DIV/0!</v>
      </c>
    </row>
    <row r="132" spans="1:16" x14ac:dyDescent="0.3">
      <c r="A132" t="s">
        <v>5</v>
      </c>
      <c r="D132">
        <f t="shared" si="54"/>
        <v>0</v>
      </c>
      <c r="E132" s="16" t="e">
        <f t="shared" si="55"/>
        <v>#DIV/0!</v>
      </c>
      <c r="F132" s="16" t="e">
        <f t="shared" si="56"/>
        <v>#DIV/0!</v>
      </c>
    </row>
    <row r="133" spans="1:16" ht="15" thickBot="1" x14ac:dyDescent="0.35"/>
    <row r="134" spans="1:16" ht="15" thickBot="1" x14ac:dyDescent="0.35">
      <c r="A134" s="61"/>
      <c r="B134" s="63" t="s">
        <v>12</v>
      </c>
      <c r="C134" s="64"/>
      <c r="D134" s="64"/>
      <c r="E134" s="64"/>
      <c r="F134" s="65"/>
      <c r="G134" s="63" t="s">
        <v>11</v>
      </c>
      <c r="H134" s="64"/>
      <c r="I134" s="64"/>
      <c r="J134" s="64"/>
      <c r="K134" s="65"/>
      <c r="L134" s="63" t="s">
        <v>13</v>
      </c>
      <c r="M134" s="64"/>
      <c r="N134" s="64"/>
      <c r="O134" s="64"/>
      <c r="P134" s="65"/>
    </row>
    <row r="135" spans="1:16" ht="15" thickBot="1" x14ac:dyDescent="0.35">
      <c r="A135" s="62"/>
      <c r="B135" s="9" t="s">
        <v>6</v>
      </c>
      <c r="C135" s="10" t="s">
        <v>7</v>
      </c>
      <c r="D135" s="7" t="s">
        <v>8</v>
      </c>
      <c r="E135" s="7" t="s">
        <v>9</v>
      </c>
      <c r="F135" s="8" t="s">
        <v>10</v>
      </c>
      <c r="G135" s="9" t="s">
        <v>6</v>
      </c>
      <c r="H135" s="10" t="s">
        <v>7</v>
      </c>
      <c r="I135" s="7" t="s">
        <v>8</v>
      </c>
      <c r="J135" s="7" t="s">
        <v>9</v>
      </c>
      <c r="K135" s="8" t="s">
        <v>10</v>
      </c>
      <c r="L135" s="9" t="s">
        <v>6</v>
      </c>
      <c r="M135" s="10" t="s">
        <v>7</v>
      </c>
      <c r="N135" s="7" t="s">
        <v>8</v>
      </c>
      <c r="O135" s="7" t="s">
        <v>9</v>
      </c>
      <c r="P135" s="8" t="s">
        <v>10</v>
      </c>
    </row>
    <row r="136" spans="1:16" x14ac:dyDescent="0.3">
      <c r="A136" s="11" t="s">
        <v>3</v>
      </c>
      <c r="B136" s="1"/>
      <c r="C136" s="2"/>
      <c r="D136" s="3"/>
      <c r="E136" s="24" t="e">
        <f>2*((C136*D136)/(C136+D136))</f>
        <v>#DIV/0!</v>
      </c>
      <c r="F136" s="4"/>
      <c r="G136" s="5"/>
      <c r="H136" s="3"/>
      <c r="I136" s="3"/>
      <c r="J136" s="3" t="e">
        <f>2*((H136*I136)/(H136+I136))</f>
        <v>#DIV/0!</v>
      </c>
      <c r="K136" s="4"/>
      <c r="L136" s="5"/>
      <c r="M136" s="3"/>
      <c r="N136" s="15"/>
      <c r="O136" s="3" t="e">
        <f>2*((M136*N136)/(M136+N136))</f>
        <v>#DIV/0!</v>
      </c>
      <c r="P136" s="4"/>
    </row>
    <row r="137" spans="1:16" x14ac:dyDescent="0.3">
      <c r="A137" s="12" t="s">
        <v>4</v>
      </c>
      <c r="B137" s="5"/>
      <c r="C137" s="3"/>
      <c r="D137" s="3"/>
      <c r="E137" s="24" t="e">
        <f t="shared" ref="E137:E139" si="57">2*((C137*D137)/(C137+D137))</f>
        <v>#DIV/0!</v>
      </c>
      <c r="F137" s="4"/>
      <c r="G137" s="5"/>
      <c r="H137" s="3"/>
      <c r="I137" s="3"/>
      <c r="J137" s="3" t="e">
        <f t="shared" ref="J137:J139" si="58">2*((H137*I137)/(H137+I137))</f>
        <v>#DIV/0!</v>
      </c>
      <c r="K137" s="4"/>
      <c r="L137" s="5"/>
      <c r="M137" s="3"/>
      <c r="N137" s="3"/>
      <c r="O137" s="3" t="e">
        <f t="shared" ref="O137:O139" si="59">2*((M137*N137)/(M137+N137))</f>
        <v>#DIV/0!</v>
      </c>
      <c r="P137" s="4"/>
    </row>
    <row r="138" spans="1:16" x14ac:dyDescent="0.3">
      <c r="A138" s="12" t="s">
        <v>0</v>
      </c>
      <c r="B138" s="5"/>
      <c r="C138" s="3"/>
      <c r="D138" s="3"/>
      <c r="E138" s="24" t="e">
        <f t="shared" si="57"/>
        <v>#DIV/0!</v>
      </c>
      <c r="F138" s="4"/>
      <c r="G138" s="5"/>
      <c r="H138" s="3"/>
      <c r="I138" s="3"/>
      <c r="J138" s="3" t="e">
        <f t="shared" si="58"/>
        <v>#DIV/0!</v>
      </c>
      <c r="K138" s="4"/>
      <c r="L138" s="5"/>
      <c r="M138" s="3"/>
      <c r="N138" s="15"/>
      <c r="O138" s="3" t="e">
        <f t="shared" si="59"/>
        <v>#DIV/0!</v>
      </c>
      <c r="P138" s="4"/>
    </row>
    <row r="139" spans="1:16" ht="15" thickBot="1" x14ac:dyDescent="0.35">
      <c r="A139" s="13" t="s">
        <v>5</v>
      </c>
      <c r="B139" s="6"/>
      <c r="C139" s="7"/>
      <c r="D139" s="7"/>
      <c r="E139" s="25" t="e">
        <f t="shared" si="57"/>
        <v>#DIV/0!</v>
      </c>
      <c r="F139" s="8"/>
      <c r="G139" s="6"/>
      <c r="H139" s="7"/>
      <c r="I139" s="7"/>
      <c r="J139" s="7" t="e">
        <f t="shared" si="58"/>
        <v>#DIV/0!</v>
      </c>
      <c r="K139" s="8"/>
      <c r="L139" s="6"/>
      <c r="M139" s="7"/>
      <c r="N139" s="7"/>
      <c r="O139" s="7" t="e">
        <f t="shared" si="59"/>
        <v>#DIV/0!</v>
      </c>
      <c r="P139" s="8"/>
    </row>
    <row r="141" spans="1:16" s="17" customFormat="1" x14ac:dyDescent="0.3"/>
    <row r="142" spans="1:16" x14ac:dyDescent="0.3">
      <c r="A142" t="s">
        <v>24</v>
      </c>
      <c r="B142" t="s">
        <v>1</v>
      </c>
      <c r="C142" t="s">
        <v>2</v>
      </c>
      <c r="G142" t="s">
        <v>27</v>
      </c>
    </row>
    <row r="143" spans="1:16" x14ac:dyDescent="0.3">
      <c r="A143" t="s">
        <v>3</v>
      </c>
      <c r="D143">
        <f>B143+C143</f>
        <v>0</v>
      </c>
      <c r="E143" s="16" t="e">
        <f>(B143/D143)</f>
        <v>#DIV/0!</v>
      </c>
      <c r="F143" s="16" t="e">
        <f>C143/D143</f>
        <v>#DIV/0!</v>
      </c>
      <c r="G143">
        <f>B3+B17</f>
        <v>0</v>
      </c>
      <c r="H143">
        <f>C3+C17</f>
        <v>0</v>
      </c>
    </row>
    <row r="144" spans="1:16" x14ac:dyDescent="0.3">
      <c r="A144" t="s">
        <v>4</v>
      </c>
      <c r="D144">
        <f t="shared" ref="D144:D146" si="60">B144+C144</f>
        <v>0</v>
      </c>
      <c r="E144" s="16" t="e">
        <f t="shared" ref="E144:E146" si="61">(B144/D144)</f>
        <v>#DIV/0!</v>
      </c>
      <c r="F144" s="16" t="e">
        <f t="shared" ref="F144:F146" si="62">C144/D144</f>
        <v>#DIV/0!</v>
      </c>
      <c r="G144">
        <f t="shared" ref="G144:H146" si="63">B4+B18</f>
        <v>0</v>
      </c>
      <c r="H144">
        <f t="shared" si="63"/>
        <v>0</v>
      </c>
    </row>
    <row r="145" spans="1:16" x14ac:dyDescent="0.3">
      <c r="A145" t="s">
        <v>0</v>
      </c>
      <c r="D145">
        <f>B145+C145</f>
        <v>0</v>
      </c>
      <c r="E145" s="16" t="e">
        <f t="shared" si="61"/>
        <v>#DIV/0!</v>
      </c>
      <c r="F145" s="16" t="e">
        <f t="shared" si="62"/>
        <v>#DIV/0!</v>
      </c>
      <c r="G145">
        <f t="shared" si="63"/>
        <v>0</v>
      </c>
      <c r="H145">
        <f t="shared" si="63"/>
        <v>0</v>
      </c>
    </row>
    <row r="146" spans="1:16" x14ac:dyDescent="0.3">
      <c r="A146" t="s">
        <v>5</v>
      </c>
      <c r="D146">
        <f t="shared" si="60"/>
        <v>0</v>
      </c>
      <c r="E146" s="16" t="e">
        <f t="shared" si="61"/>
        <v>#DIV/0!</v>
      </c>
      <c r="F146" s="16" t="e">
        <f t="shared" si="62"/>
        <v>#DIV/0!</v>
      </c>
      <c r="G146">
        <f t="shared" si="63"/>
        <v>0</v>
      </c>
      <c r="H146">
        <f t="shared" si="63"/>
        <v>0</v>
      </c>
    </row>
    <row r="147" spans="1:16" ht="15" thickBot="1" x14ac:dyDescent="0.35"/>
    <row r="148" spans="1:16" ht="15" thickBot="1" x14ac:dyDescent="0.35">
      <c r="A148" s="61"/>
      <c r="B148" s="63" t="s">
        <v>12</v>
      </c>
      <c r="C148" s="64"/>
      <c r="D148" s="64"/>
      <c r="E148" s="64"/>
      <c r="F148" s="65"/>
      <c r="G148" s="63" t="s">
        <v>11</v>
      </c>
      <c r="H148" s="64"/>
      <c r="I148" s="64"/>
      <c r="J148" s="64"/>
      <c r="K148" s="65"/>
      <c r="L148" s="63" t="s">
        <v>13</v>
      </c>
      <c r="M148" s="64"/>
      <c r="N148" s="64"/>
      <c r="O148" s="64"/>
      <c r="P148" s="65"/>
    </row>
    <row r="149" spans="1:16" ht="15" thickBot="1" x14ac:dyDescent="0.35">
      <c r="A149" s="62"/>
      <c r="B149" s="9" t="s">
        <v>6</v>
      </c>
      <c r="C149" s="10" t="s">
        <v>7</v>
      </c>
      <c r="D149" s="7" t="s">
        <v>8</v>
      </c>
      <c r="E149" s="7" t="s">
        <v>9</v>
      </c>
      <c r="F149" s="8" t="s">
        <v>10</v>
      </c>
      <c r="G149" s="9" t="s">
        <v>6</v>
      </c>
      <c r="H149" s="10" t="s">
        <v>7</v>
      </c>
      <c r="I149" s="7" t="s">
        <v>8</v>
      </c>
      <c r="J149" s="7" t="s">
        <v>9</v>
      </c>
      <c r="K149" s="8" t="s">
        <v>10</v>
      </c>
      <c r="L149" s="9" t="s">
        <v>6</v>
      </c>
      <c r="M149" s="10" t="s">
        <v>7</v>
      </c>
      <c r="N149" s="7" t="s">
        <v>8</v>
      </c>
      <c r="O149" s="7" t="s">
        <v>9</v>
      </c>
      <c r="P149" s="8" t="s">
        <v>10</v>
      </c>
    </row>
    <row r="150" spans="1:16" x14ac:dyDescent="0.3">
      <c r="A150" s="11" t="s">
        <v>3</v>
      </c>
      <c r="B150" s="1"/>
      <c r="C150" s="2"/>
      <c r="D150" s="3"/>
      <c r="E150" s="24" t="e">
        <f>2*((C150*D150)/(C150+D150))</f>
        <v>#DIV/0!</v>
      </c>
      <c r="F150" s="4"/>
      <c r="G150" s="5"/>
      <c r="H150" s="3"/>
      <c r="I150" s="3"/>
      <c r="J150" s="3" t="e">
        <f>2*((H150*I150)/(H150+I150))</f>
        <v>#DIV/0!</v>
      </c>
      <c r="K150" s="4"/>
      <c r="L150" s="5"/>
      <c r="M150" s="3"/>
      <c r="N150" s="15"/>
      <c r="O150" s="3" t="e">
        <f>2*((M150*N150)/(M150+N150))</f>
        <v>#DIV/0!</v>
      </c>
      <c r="P150" s="4"/>
    </row>
    <row r="151" spans="1:16" x14ac:dyDescent="0.3">
      <c r="A151" s="12" t="s">
        <v>4</v>
      </c>
      <c r="B151" s="5"/>
      <c r="C151" s="3"/>
      <c r="D151" s="3"/>
      <c r="E151" s="24" t="e">
        <f t="shared" ref="E151:E153" si="64">2*((C151*D151)/(C151+D151))</f>
        <v>#DIV/0!</v>
      </c>
      <c r="F151" s="4"/>
      <c r="G151" s="5"/>
      <c r="H151" s="3"/>
      <c r="I151" s="3"/>
      <c r="J151" s="3" t="e">
        <f t="shared" ref="J151:J153" si="65">2*((H151*I151)/(H151+I151))</f>
        <v>#DIV/0!</v>
      </c>
      <c r="K151" s="4"/>
      <c r="L151" s="5"/>
      <c r="M151" s="3"/>
      <c r="N151" s="3"/>
      <c r="O151" s="3" t="e">
        <f t="shared" ref="O151:O153" si="66">2*((M151*N151)/(M151+N151))</f>
        <v>#DIV/0!</v>
      </c>
      <c r="P151" s="4"/>
    </row>
    <row r="152" spans="1:16" x14ac:dyDescent="0.3">
      <c r="A152" s="12" t="s">
        <v>0</v>
      </c>
      <c r="B152" s="5"/>
      <c r="C152" s="3"/>
      <c r="D152" s="3"/>
      <c r="E152" s="24" t="e">
        <f t="shared" si="64"/>
        <v>#DIV/0!</v>
      </c>
      <c r="F152" s="4"/>
      <c r="G152" s="5"/>
      <c r="H152" s="3"/>
      <c r="I152" s="3"/>
      <c r="J152" s="3" t="e">
        <f t="shared" si="65"/>
        <v>#DIV/0!</v>
      </c>
      <c r="K152" s="4"/>
      <c r="L152" s="5"/>
      <c r="M152" s="3"/>
      <c r="N152" s="15"/>
      <c r="O152" s="3" t="e">
        <f t="shared" si="66"/>
        <v>#DIV/0!</v>
      </c>
      <c r="P152" s="4"/>
    </row>
    <row r="153" spans="1:16" ht="15" thickBot="1" x14ac:dyDescent="0.35">
      <c r="A153" s="13" t="s">
        <v>5</v>
      </c>
      <c r="B153" s="6"/>
      <c r="C153" s="7"/>
      <c r="D153" s="7"/>
      <c r="E153" s="25" t="e">
        <f t="shared" si="64"/>
        <v>#DIV/0!</v>
      </c>
      <c r="F153" s="8"/>
      <c r="G153" s="6"/>
      <c r="H153" s="7"/>
      <c r="I153" s="7"/>
      <c r="J153" s="7" t="e">
        <f t="shared" si="65"/>
        <v>#DIV/0!</v>
      </c>
      <c r="K153" s="8"/>
      <c r="L153" s="6"/>
      <c r="M153" s="7"/>
      <c r="N153" s="7"/>
      <c r="O153" s="7" t="e">
        <f t="shared" si="66"/>
        <v>#DIV/0!</v>
      </c>
      <c r="P153" s="8"/>
    </row>
    <row r="154" spans="1:16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6" spans="1:16" s="17" customFormat="1" x14ac:dyDescent="0.3"/>
    <row r="157" spans="1:16" x14ac:dyDescent="0.3">
      <c r="A157" t="s">
        <v>25</v>
      </c>
      <c r="B157" t="s">
        <v>1</v>
      </c>
      <c r="C157" t="s">
        <v>2</v>
      </c>
      <c r="G157" t="s">
        <v>27</v>
      </c>
    </row>
    <row r="158" spans="1:16" x14ac:dyDescent="0.3">
      <c r="A158" t="s">
        <v>3</v>
      </c>
      <c r="D158">
        <f>B158+C158</f>
        <v>0</v>
      </c>
      <c r="E158" s="16" t="e">
        <f>(B158/D158)</f>
        <v>#DIV/0!</v>
      </c>
      <c r="F158" s="16" t="e">
        <f>C158/D158</f>
        <v>#DIV/0!</v>
      </c>
      <c r="G158">
        <f>B31+B45+B59+B73</f>
        <v>0</v>
      </c>
      <c r="H158">
        <f>C31+C45+C59+C73</f>
        <v>0</v>
      </c>
    </row>
    <row r="159" spans="1:16" x14ac:dyDescent="0.3">
      <c r="A159" t="s">
        <v>4</v>
      </c>
      <c r="D159">
        <f t="shared" ref="D159:D161" si="67">B159+C159</f>
        <v>0</v>
      </c>
      <c r="E159" s="16" t="e">
        <f t="shared" ref="E159:E161" si="68">(B159/D159)</f>
        <v>#DIV/0!</v>
      </c>
      <c r="F159" s="16" t="e">
        <f t="shared" ref="F159:F161" si="69">C159/D159</f>
        <v>#DIV/0!</v>
      </c>
      <c r="G159">
        <f t="shared" ref="G159:H161" si="70">B32+B46+B60+B74</f>
        <v>0</v>
      </c>
      <c r="H159">
        <f t="shared" si="70"/>
        <v>0</v>
      </c>
    </row>
    <row r="160" spans="1:16" x14ac:dyDescent="0.3">
      <c r="A160" t="s">
        <v>0</v>
      </c>
      <c r="D160">
        <f t="shared" si="67"/>
        <v>0</v>
      </c>
      <c r="E160" s="16" t="e">
        <f t="shared" si="68"/>
        <v>#DIV/0!</v>
      </c>
      <c r="F160" s="16" t="e">
        <f t="shared" si="69"/>
        <v>#DIV/0!</v>
      </c>
      <c r="G160">
        <f t="shared" si="70"/>
        <v>0</v>
      </c>
      <c r="H160">
        <f t="shared" si="70"/>
        <v>0</v>
      </c>
    </row>
    <row r="161" spans="1:16" x14ac:dyDescent="0.3">
      <c r="A161" t="s">
        <v>5</v>
      </c>
      <c r="D161">
        <f t="shared" si="67"/>
        <v>0</v>
      </c>
      <c r="E161" s="16" t="e">
        <f t="shared" si="68"/>
        <v>#DIV/0!</v>
      </c>
      <c r="F161" s="16" t="e">
        <f t="shared" si="69"/>
        <v>#DIV/0!</v>
      </c>
      <c r="G161">
        <f t="shared" si="70"/>
        <v>0</v>
      </c>
      <c r="H161">
        <f t="shared" si="70"/>
        <v>0</v>
      </c>
    </row>
    <row r="162" spans="1:16" ht="15" thickBot="1" x14ac:dyDescent="0.35">
      <c r="E162" s="16"/>
      <c r="F162" s="16"/>
    </row>
    <row r="163" spans="1:16" ht="15" thickBot="1" x14ac:dyDescent="0.35">
      <c r="A163" s="61"/>
      <c r="B163" s="63" t="s">
        <v>12</v>
      </c>
      <c r="C163" s="64"/>
      <c r="D163" s="64"/>
      <c r="E163" s="64"/>
      <c r="F163" s="65"/>
      <c r="G163" s="63" t="s">
        <v>11</v>
      </c>
      <c r="H163" s="64"/>
      <c r="I163" s="64"/>
      <c r="J163" s="64"/>
      <c r="K163" s="65"/>
      <c r="L163" s="63" t="s">
        <v>13</v>
      </c>
      <c r="M163" s="64"/>
      <c r="N163" s="64"/>
      <c r="O163" s="64"/>
      <c r="P163" s="65"/>
    </row>
    <row r="164" spans="1:16" ht="15" thickBot="1" x14ac:dyDescent="0.35">
      <c r="A164" s="62"/>
      <c r="B164" s="9" t="s">
        <v>6</v>
      </c>
      <c r="C164" s="10" t="s">
        <v>7</v>
      </c>
      <c r="D164" s="7" t="s">
        <v>8</v>
      </c>
      <c r="E164" s="7" t="s">
        <v>9</v>
      </c>
      <c r="F164" s="8" t="s">
        <v>10</v>
      </c>
      <c r="G164" s="9" t="s">
        <v>6</v>
      </c>
      <c r="H164" s="10" t="s">
        <v>7</v>
      </c>
      <c r="I164" s="7" t="s">
        <v>8</v>
      </c>
      <c r="J164" s="7" t="s">
        <v>9</v>
      </c>
      <c r="K164" s="8" t="s">
        <v>10</v>
      </c>
      <c r="L164" s="9" t="s">
        <v>6</v>
      </c>
      <c r="M164" s="10" t="s">
        <v>7</v>
      </c>
      <c r="N164" s="7" t="s">
        <v>8</v>
      </c>
      <c r="O164" s="7" t="s">
        <v>9</v>
      </c>
      <c r="P164" s="8" t="s">
        <v>10</v>
      </c>
    </row>
    <row r="165" spans="1:16" x14ac:dyDescent="0.3">
      <c r="A165" s="11" t="s">
        <v>3</v>
      </c>
      <c r="B165" s="1"/>
      <c r="C165" s="2"/>
      <c r="D165" s="3"/>
      <c r="E165" s="24" t="e">
        <f>2*((C165*D165)/(C165+D165))</f>
        <v>#DIV/0!</v>
      </c>
      <c r="F165" s="4"/>
      <c r="G165" s="5"/>
      <c r="H165" s="3"/>
      <c r="I165" s="3"/>
      <c r="J165" s="3" t="e">
        <f>2*((H165*I165)/(H165+I165))</f>
        <v>#DIV/0!</v>
      </c>
      <c r="K165" s="4"/>
      <c r="L165" s="5"/>
      <c r="M165" s="3"/>
      <c r="N165" s="15"/>
      <c r="O165" s="3" t="e">
        <f>2*((M165*N165)/(M165+N165))</f>
        <v>#DIV/0!</v>
      </c>
      <c r="P165" s="4"/>
    </row>
    <row r="166" spans="1:16" x14ac:dyDescent="0.3">
      <c r="A166" s="12" t="s">
        <v>4</v>
      </c>
      <c r="B166" s="5"/>
      <c r="C166" s="3"/>
      <c r="D166" s="3"/>
      <c r="E166" s="24" t="e">
        <f t="shared" ref="E166:E168" si="71">2*((C166*D166)/(C166+D166))</f>
        <v>#DIV/0!</v>
      </c>
      <c r="F166" s="4"/>
      <c r="G166" s="5"/>
      <c r="H166" s="3"/>
      <c r="I166" s="3"/>
      <c r="J166" s="3" t="e">
        <f t="shared" ref="J166:J168" si="72">2*((H166*I166)/(H166+I166))</f>
        <v>#DIV/0!</v>
      </c>
      <c r="K166" s="4"/>
      <c r="L166" s="5"/>
      <c r="M166" s="3"/>
      <c r="N166" s="3"/>
      <c r="O166" s="3" t="e">
        <f t="shared" ref="O166:O168" si="73">2*((M166*N166)/(M166+N166))</f>
        <v>#DIV/0!</v>
      </c>
      <c r="P166" s="4"/>
    </row>
    <row r="167" spans="1:16" x14ac:dyDescent="0.3">
      <c r="A167" s="12" t="s">
        <v>0</v>
      </c>
      <c r="B167" s="5"/>
      <c r="C167" s="3"/>
      <c r="D167" s="3"/>
      <c r="E167" s="24" t="e">
        <f t="shared" si="71"/>
        <v>#DIV/0!</v>
      </c>
      <c r="F167" s="4"/>
      <c r="G167" s="5"/>
      <c r="H167" s="3"/>
      <c r="I167" s="3"/>
      <c r="J167" s="3" t="e">
        <f t="shared" si="72"/>
        <v>#DIV/0!</v>
      </c>
      <c r="K167" s="4"/>
      <c r="L167" s="5"/>
      <c r="M167" s="3"/>
      <c r="N167" s="15"/>
      <c r="O167" s="3" t="e">
        <f t="shared" si="73"/>
        <v>#DIV/0!</v>
      </c>
      <c r="P167" s="4"/>
    </row>
    <row r="168" spans="1:16" ht="15" thickBot="1" x14ac:dyDescent="0.35">
      <c r="A168" s="13" t="s">
        <v>5</v>
      </c>
      <c r="B168" s="6"/>
      <c r="C168" s="7"/>
      <c r="D168" s="7"/>
      <c r="E168" s="25" t="e">
        <f t="shared" si="71"/>
        <v>#DIV/0!</v>
      </c>
      <c r="F168" s="8"/>
      <c r="G168" s="6"/>
      <c r="H168" s="7"/>
      <c r="I168" s="7"/>
      <c r="J168" s="7" t="e">
        <f t="shared" si="72"/>
        <v>#DIV/0!</v>
      </c>
      <c r="K168" s="8"/>
      <c r="L168" s="6"/>
      <c r="M168" s="7"/>
      <c r="N168" s="7"/>
      <c r="O168" s="7" t="e">
        <f t="shared" si="73"/>
        <v>#DIV/0!</v>
      </c>
      <c r="P168" s="8"/>
    </row>
    <row r="170" spans="1:16" s="17" customFormat="1" x14ac:dyDescent="0.3"/>
    <row r="171" spans="1:16" x14ac:dyDescent="0.3">
      <c r="A171" t="s">
        <v>26</v>
      </c>
      <c r="B171" t="s">
        <v>1</v>
      </c>
      <c r="C171" t="s">
        <v>2</v>
      </c>
      <c r="G171" t="s">
        <v>27</v>
      </c>
    </row>
    <row r="172" spans="1:16" x14ac:dyDescent="0.3">
      <c r="A172" t="s">
        <v>3</v>
      </c>
      <c r="D172">
        <f>B172+C172</f>
        <v>0</v>
      </c>
      <c r="E172" s="16" t="e">
        <f>(B172/D172)</f>
        <v>#DIV/0!</v>
      </c>
      <c r="F172" s="16" t="e">
        <f>C172/D172</f>
        <v>#DIV/0!</v>
      </c>
      <c r="G172">
        <f>B87+B101+B115+B129</f>
        <v>0</v>
      </c>
      <c r="H172">
        <f>C87+C101+C115+C129</f>
        <v>0</v>
      </c>
    </row>
    <row r="173" spans="1:16" x14ac:dyDescent="0.3">
      <c r="A173" t="s">
        <v>4</v>
      </c>
      <c r="D173">
        <f t="shared" ref="D173:D175" si="74">B173+C173</f>
        <v>0</v>
      </c>
      <c r="E173" s="16" t="e">
        <f t="shared" ref="E173:E175" si="75">(B173/D173)</f>
        <v>#DIV/0!</v>
      </c>
      <c r="F173" s="16" t="e">
        <f t="shared" ref="F173:F175" si="76">C173/D173</f>
        <v>#DIV/0!</v>
      </c>
      <c r="G173">
        <f t="shared" ref="G173:H175" si="77">B88+B102+B116+B130</f>
        <v>0</v>
      </c>
      <c r="H173">
        <f t="shared" si="77"/>
        <v>0</v>
      </c>
    </row>
    <row r="174" spans="1:16" x14ac:dyDescent="0.3">
      <c r="A174" t="s">
        <v>0</v>
      </c>
      <c r="D174">
        <f t="shared" si="74"/>
        <v>0</v>
      </c>
      <c r="E174" s="16" t="e">
        <f t="shared" si="75"/>
        <v>#DIV/0!</v>
      </c>
      <c r="F174" s="16" t="e">
        <f t="shared" si="76"/>
        <v>#DIV/0!</v>
      </c>
      <c r="G174">
        <f t="shared" si="77"/>
        <v>0</v>
      </c>
      <c r="H174">
        <f t="shared" si="77"/>
        <v>0</v>
      </c>
    </row>
    <row r="175" spans="1:16" x14ac:dyDescent="0.3">
      <c r="A175" t="s">
        <v>5</v>
      </c>
      <c r="D175">
        <f t="shared" si="74"/>
        <v>0</v>
      </c>
      <c r="E175" s="16" t="e">
        <f t="shared" si="75"/>
        <v>#DIV/0!</v>
      </c>
      <c r="F175" s="16" t="e">
        <f t="shared" si="76"/>
        <v>#DIV/0!</v>
      </c>
      <c r="G175">
        <f t="shared" si="77"/>
        <v>0</v>
      </c>
      <c r="H175">
        <f t="shared" si="77"/>
        <v>0</v>
      </c>
    </row>
    <row r="176" spans="1:16" ht="15" thickBot="1" x14ac:dyDescent="0.35"/>
    <row r="177" spans="1:20" ht="15" thickBot="1" x14ac:dyDescent="0.35">
      <c r="A177" s="61"/>
      <c r="B177" s="63" t="s">
        <v>12</v>
      </c>
      <c r="C177" s="64"/>
      <c r="D177" s="64"/>
      <c r="E177" s="64"/>
      <c r="F177" s="65"/>
      <c r="G177" s="63" t="s">
        <v>11</v>
      </c>
      <c r="H177" s="64"/>
      <c r="I177" s="64"/>
      <c r="J177" s="64"/>
      <c r="K177" s="65"/>
      <c r="L177" s="63" t="s">
        <v>13</v>
      </c>
      <c r="M177" s="64"/>
      <c r="N177" s="64"/>
      <c r="O177" s="64"/>
      <c r="P177" s="65"/>
    </row>
    <row r="178" spans="1:20" ht="15" thickBot="1" x14ac:dyDescent="0.35">
      <c r="A178" s="62"/>
      <c r="B178" s="9" t="s">
        <v>6</v>
      </c>
      <c r="C178" s="10" t="s">
        <v>7</v>
      </c>
      <c r="D178" s="7" t="s">
        <v>8</v>
      </c>
      <c r="E178" s="7" t="s">
        <v>9</v>
      </c>
      <c r="F178" s="8" t="s">
        <v>10</v>
      </c>
      <c r="G178" s="9" t="s">
        <v>6</v>
      </c>
      <c r="H178" s="10" t="s">
        <v>7</v>
      </c>
      <c r="I178" s="7" t="s">
        <v>8</v>
      </c>
      <c r="J178" s="7" t="s">
        <v>9</v>
      </c>
      <c r="K178" s="8" t="s">
        <v>10</v>
      </c>
      <c r="L178" s="9" t="s">
        <v>6</v>
      </c>
      <c r="M178" s="10" t="s">
        <v>7</v>
      </c>
      <c r="N178" s="7" t="s">
        <v>8</v>
      </c>
      <c r="O178" s="7" t="s">
        <v>9</v>
      </c>
      <c r="P178" s="8" t="s">
        <v>10</v>
      </c>
    </row>
    <row r="179" spans="1:20" x14ac:dyDescent="0.3">
      <c r="A179" s="11" t="s">
        <v>3</v>
      </c>
      <c r="B179" s="1"/>
      <c r="C179" s="2"/>
      <c r="D179" s="3"/>
      <c r="E179" s="24" t="e">
        <f>2*((C179*D179)/(C179+D179))</f>
        <v>#DIV/0!</v>
      </c>
      <c r="F179" s="4"/>
      <c r="G179" s="5"/>
      <c r="H179" s="3"/>
      <c r="I179" s="3"/>
      <c r="J179" s="3" t="e">
        <f>2*((H179*I179)/(H179+I179))</f>
        <v>#DIV/0!</v>
      </c>
      <c r="K179" s="4"/>
      <c r="L179" s="5"/>
      <c r="M179" s="3"/>
      <c r="N179" s="15"/>
      <c r="O179" s="3" t="e">
        <f>2*((M179*N179)/(M179+N179))</f>
        <v>#DIV/0!</v>
      </c>
      <c r="P179" s="4"/>
    </row>
    <row r="180" spans="1:20" x14ac:dyDescent="0.3">
      <c r="A180" s="12" t="s">
        <v>4</v>
      </c>
      <c r="B180" s="5"/>
      <c r="C180" s="3"/>
      <c r="D180" s="3"/>
      <c r="E180" s="24" t="e">
        <f t="shared" ref="E180:E182" si="78">2*((C180*D180)/(C180+D180))</f>
        <v>#DIV/0!</v>
      </c>
      <c r="F180" s="4"/>
      <c r="G180" s="5"/>
      <c r="H180" s="3"/>
      <c r="I180" s="3"/>
      <c r="J180" s="3" t="e">
        <f t="shared" ref="J180:J182" si="79">2*((H180*I180)/(H180+I180))</f>
        <v>#DIV/0!</v>
      </c>
      <c r="K180" s="4"/>
      <c r="L180" s="5"/>
      <c r="M180" s="3"/>
      <c r="N180" s="3"/>
      <c r="O180" s="3" t="e">
        <f t="shared" ref="O180:O182" si="80">2*((M180*N180)/(M180+N180))</f>
        <v>#DIV/0!</v>
      </c>
      <c r="P180" s="4"/>
    </row>
    <row r="181" spans="1:20" x14ac:dyDescent="0.3">
      <c r="A181" s="12" t="s">
        <v>0</v>
      </c>
      <c r="B181" s="5"/>
      <c r="C181" s="3"/>
      <c r="D181" s="3"/>
      <c r="E181" s="24" t="e">
        <f t="shared" si="78"/>
        <v>#DIV/0!</v>
      </c>
      <c r="F181" s="4"/>
      <c r="G181" s="5"/>
      <c r="H181" s="3"/>
      <c r="I181" s="3"/>
      <c r="J181" s="3" t="e">
        <f t="shared" si="79"/>
        <v>#DIV/0!</v>
      </c>
      <c r="K181" s="4"/>
      <c r="L181" s="5"/>
      <c r="M181" s="3"/>
      <c r="N181" s="15"/>
      <c r="O181" s="3" t="e">
        <f t="shared" si="80"/>
        <v>#DIV/0!</v>
      </c>
      <c r="P181" s="4"/>
    </row>
    <row r="182" spans="1:20" ht="15" thickBot="1" x14ac:dyDescent="0.35">
      <c r="A182" s="13" t="s">
        <v>5</v>
      </c>
      <c r="B182" s="6"/>
      <c r="C182" s="7"/>
      <c r="D182" s="7"/>
      <c r="E182" s="25" t="e">
        <f t="shared" si="78"/>
        <v>#DIV/0!</v>
      </c>
      <c r="F182" s="8"/>
      <c r="G182" s="6"/>
      <c r="H182" s="7"/>
      <c r="I182" s="7"/>
      <c r="J182" s="7" t="e">
        <f t="shared" si="79"/>
        <v>#DIV/0!</v>
      </c>
      <c r="K182" s="8"/>
      <c r="L182" s="6"/>
      <c r="M182" s="7"/>
      <c r="N182" s="7"/>
      <c r="O182" s="7" t="e">
        <f t="shared" si="80"/>
        <v>#DIV/0!</v>
      </c>
      <c r="P182" s="8"/>
    </row>
    <row r="184" spans="1:20" s="18" customFormat="1" x14ac:dyDescent="0.3"/>
    <row r="185" spans="1:20" ht="15" thickBot="1" x14ac:dyDescent="0.35">
      <c r="A185" t="s">
        <v>31</v>
      </c>
      <c r="H185" t="s">
        <v>32</v>
      </c>
      <c r="O185" t="s">
        <v>33</v>
      </c>
    </row>
    <row r="186" spans="1:20" ht="15" thickBot="1" x14ac:dyDescent="0.35">
      <c r="A186" s="67"/>
      <c r="B186" s="61"/>
      <c r="C186" s="20" t="s">
        <v>6</v>
      </c>
      <c r="D186" s="21" t="s">
        <v>7</v>
      </c>
      <c r="E186" s="22" t="s">
        <v>8</v>
      </c>
      <c r="F186" s="23" t="s">
        <v>9</v>
      </c>
      <c r="H186" s="63"/>
      <c r="I186" s="65"/>
      <c r="J186" s="21" t="s">
        <v>6</v>
      </c>
      <c r="K186" s="21" t="s">
        <v>7</v>
      </c>
      <c r="L186" s="22" t="s">
        <v>8</v>
      </c>
      <c r="M186" s="23" t="s">
        <v>9</v>
      </c>
      <c r="O186" s="63"/>
      <c r="P186" s="65"/>
      <c r="Q186" s="21" t="s">
        <v>6</v>
      </c>
      <c r="R186" s="21" t="s">
        <v>7</v>
      </c>
      <c r="S186" s="22" t="s">
        <v>8</v>
      </c>
      <c r="T186" s="23" t="s">
        <v>9</v>
      </c>
    </row>
    <row r="187" spans="1:20" x14ac:dyDescent="0.3">
      <c r="A187" s="66" t="s">
        <v>3</v>
      </c>
      <c r="B187" s="19" t="s">
        <v>29</v>
      </c>
      <c r="C187" s="3">
        <f>B150</f>
        <v>0</v>
      </c>
      <c r="D187" s="3">
        <f t="shared" ref="D187:E187" si="81">C150</f>
        <v>0</v>
      </c>
      <c r="E187" s="3">
        <f t="shared" si="81"/>
        <v>0</v>
      </c>
      <c r="F187" s="26" t="e">
        <f>E150</f>
        <v>#DIV/0!</v>
      </c>
      <c r="H187" s="59" t="s">
        <v>3</v>
      </c>
      <c r="I187" s="4" t="s">
        <v>29</v>
      </c>
      <c r="J187" s="3">
        <f>B165</f>
        <v>0</v>
      </c>
      <c r="K187" s="3">
        <f t="shared" ref="K187:M187" si="82">C165</f>
        <v>0</v>
      </c>
      <c r="L187" s="3">
        <f t="shared" si="82"/>
        <v>0</v>
      </c>
      <c r="M187" s="26" t="e">
        <f t="shared" si="82"/>
        <v>#DIV/0!</v>
      </c>
      <c r="O187" s="59" t="s">
        <v>3</v>
      </c>
      <c r="P187" s="4" t="s">
        <v>29</v>
      </c>
      <c r="Q187" s="3">
        <f>B179</f>
        <v>0</v>
      </c>
      <c r="R187" s="3">
        <f t="shared" ref="R187:S187" si="83">C179</f>
        <v>0</v>
      </c>
      <c r="S187" s="3">
        <f t="shared" si="83"/>
        <v>0</v>
      </c>
      <c r="T187" s="26" t="e">
        <f>E179</f>
        <v>#DIV/0!</v>
      </c>
    </row>
    <row r="188" spans="1:20" x14ac:dyDescent="0.3">
      <c r="A188" s="59"/>
      <c r="B188" s="4" t="s">
        <v>14</v>
      </c>
      <c r="C188" s="3">
        <f>B10</f>
        <v>0</v>
      </c>
      <c r="D188" s="3">
        <f t="shared" ref="D188:F188" si="84">C10</f>
        <v>0</v>
      </c>
      <c r="E188" s="3">
        <f t="shared" si="84"/>
        <v>0</v>
      </c>
      <c r="F188" s="26" t="e">
        <f t="shared" si="84"/>
        <v>#DIV/0!</v>
      </c>
      <c r="H188" s="59"/>
      <c r="I188" s="4" t="s">
        <v>16</v>
      </c>
      <c r="J188" s="3">
        <f>B38</f>
        <v>0</v>
      </c>
      <c r="K188" s="3">
        <f t="shared" ref="K188:M188" si="85">C38</f>
        <v>0</v>
      </c>
      <c r="L188" s="3">
        <f t="shared" si="85"/>
        <v>0</v>
      </c>
      <c r="M188" s="26" t="e">
        <f t="shared" si="85"/>
        <v>#DIV/0!</v>
      </c>
      <c r="O188" s="59"/>
      <c r="P188" s="4" t="s">
        <v>20</v>
      </c>
      <c r="Q188" s="3">
        <f>B94</f>
        <v>0</v>
      </c>
      <c r="R188" s="3">
        <f t="shared" ref="R188:T188" si="86">C94</f>
        <v>0</v>
      </c>
      <c r="S188" s="3">
        <f t="shared" si="86"/>
        <v>0</v>
      </c>
      <c r="T188" s="26" t="e">
        <f t="shared" si="86"/>
        <v>#DIV/0!</v>
      </c>
    </row>
    <row r="189" spans="1:20" x14ac:dyDescent="0.3">
      <c r="A189" s="59"/>
      <c r="B189" s="4" t="s">
        <v>15</v>
      </c>
      <c r="C189" s="3">
        <f>B24</f>
        <v>0</v>
      </c>
      <c r="D189" s="3">
        <f t="shared" ref="D189:F189" si="87">C24</f>
        <v>0</v>
      </c>
      <c r="E189" s="3">
        <f t="shared" si="87"/>
        <v>0</v>
      </c>
      <c r="F189" s="26" t="e">
        <f t="shared" si="87"/>
        <v>#DIV/0!</v>
      </c>
      <c r="H189" s="59"/>
      <c r="I189" s="4" t="s">
        <v>17</v>
      </c>
      <c r="J189" s="3">
        <f>B52</f>
        <v>0</v>
      </c>
      <c r="K189" s="3">
        <f t="shared" ref="K189:M189" si="88">C52</f>
        <v>0</v>
      </c>
      <c r="L189" s="3">
        <f t="shared" si="88"/>
        <v>0</v>
      </c>
      <c r="M189" s="26" t="e">
        <f t="shared" si="88"/>
        <v>#DIV/0!</v>
      </c>
      <c r="O189" s="59"/>
      <c r="P189" s="4" t="s">
        <v>21</v>
      </c>
      <c r="Q189" s="3">
        <f>B108</f>
        <v>0</v>
      </c>
      <c r="R189" s="3">
        <f t="shared" ref="R189:T189" si="89">C108</f>
        <v>0</v>
      </c>
      <c r="S189" s="3">
        <f t="shared" si="89"/>
        <v>0</v>
      </c>
      <c r="T189" s="26" t="e">
        <f t="shared" si="89"/>
        <v>#DIV/0!</v>
      </c>
    </row>
    <row r="190" spans="1:20" x14ac:dyDescent="0.3">
      <c r="A190" s="59" t="s">
        <v>4</v>
      </c>
      <c r="B190" s="4" t="s">
        <v>29</v>
      </c>
      <c r="C190" s="3">
        <f>B151</f>
        <v>0</v>
      </c>
      <c r="D190" s="3">
        <f>C151</f>
        <v>0</v>
      </c>
      <c r="E190" s="3">
        <f>D151</f>
        <v>0</v>
      </c>
      <c r="F190" s="26" t="e">
        <f>E151</f>
        <v>#DIV/0!</v>
      </c>
      <c r="H190" s="59"/>
      <c r="I190" s="4" t="s">
        <v>18</v>
      </c>
      <c r="J190" s="3">
        <f>B66</f>
        <v>0</v>
      </c>
      <c r="K190" s="3">
        <f t="shared" ref="K190:M190" si="90">C66</f>
        <v>0</v>
      </c>
      <c r="L190" s="3">
        <f t="shared" si="90"/>
        <v>0</v>
      </c>
      <c r="M190" s="26" t="e">
        <f t="shared" si="90"/>
        <v>#DIV/0!</v>
      </c>
      <c r="O190" s="59"/>
      <c r="P190" s="4" t="s">
        <v>22</v>
      </c>
      <c r="Q190" s="3">
        <f>B122</f>
        <v>0</v>
      </c>
      <c r="R190" s="3">
        <f t="shared" ref="R190:T190" si="91">C122</f>
        <v>0</v>
      </c>
      <c r="S190" s="3">
        <f t="shared" si="91"/>
        <v>0</v>
      </c>
      <c r="T190" s="26" t="e">
        <f t="shared" si="91"/>
        <v>#DIV/0!</v>
      </c>
    </row>
    <row r="191" spans="1:20" x14ac:dyDescent="0.3">
      <c r="A191" s="59"/>
      <c r="B191" s="4" t="s">
        <v>14</v>
      </c>
      <c r="C191" s="3">
        <f>B11</f>
        <v>0</v>
      </c>
      <c r="D191" s="3">
        <f t="shared" ref="D191:F191" si="92">C11</f>
        <v>0</v>
      </c>
      <c r="E191" s="3">
        <f t="shared" si="92"/>
        <v>0</v>
      </c>
      <c r="F191" s="26" t="e">
        <f t="shared" si="92"/>
        <v>#DIV/0!</v>
      </c>
      <c r="H191" s="59"/>
      <c r="I191" s="4" t="s">
        <v>19</v>
      </c>
      <c r="J191" s="3">
        <f>B80</f>
        <v>0</v>
      </c>
      <c r="K191" s="3">
        <f t="shared" ref="K191:M191" si="93">C80</f>
        <v>0</v>
      </c>
      <c r="L191" s="3">
        <f t="shared" si="93"/>
        <v>0</v>
      </c>
      <c r="M191" s="26" t="e">
        <f t="shared" si="93"/>
        <v>#DIV/0!</v>
      </c>
      <c r="O191" s="59"/>
      <c r="P191" s="4" t="s">
        <v>23</v>
      </c>
      <c r="Q191" s="3">
        <f>B136</f>
        <v>0</v>
      </c>
      <c r="R191" s="3">
        <f t="shared" ref="R191:T191" si="94">C136</f>
        <v>0</v>
      </c>
      <c r="S191" s="3">
        <f t="shared" si="94"/>
        <v>0</v>
      </c>
      <c r="T191" s="26" t="e">
        <f t="shared" si="94"/>
        <v>#DIV/0!</v>
      </c>
    </row>
    <row r="192" spans="1:20" x14ac:dyDescent="0.3">
      <c r="A192" s="59"/>
      <c r="B192" s="4" t="s">
        <v>15</v>
      </c>
      <c r="C192" s="3">
        <f>B25</f>
        <v>0</v>
      </c>
      <c r="D192" s="3">
        <f t="shared" ref="D192:F192" si="95">C25</f>
        <v>0</v>
      </c>
      <c r="E192" s="3">
        <f t="shared" si="95"/>
        <v>0</v>
      </c>
      <c r="F192" s="26" t="e">
        <f t="shared" si="95"/>
        <v>#DIV/0!</v>
      </c>
      <c r="H192" s="59" t="s">
        <v>4</v>
      </c>
      <c r="I192" s="4" t="s">
        <v>29</v>
      </c>
      <c r="J192" s="3">
        <f>B166</f>
        <v>0</v>
      </c>
      <c r="K192" s="3">
        <f t="shared" ref="K192:M192" si="96">C166</f>
        <v>0</v>
      </c>
      <c r="L192" s="3">
        <f t="shared" si="96"/>
        <v>0</v>
      </c>
      <c r="M192" s="26" t="e">
        <f t="shared" si="96"/>
        <v>#DIV/0!</v>
      </c>
      <c r="O192" s="59" t="s">
        <v>4</v>
      </c>
      <c r="P192" s="4" t="s">
        <v>29</v>
      </c>
      <c r="Q192" s="3">
        <f>B180</f>
        <v>0</v>
      </c>
      <c r="R192" s="3">
        <f t="shared" ref="R192:T192" si="97">C180</f>
        <v>0</v>
      </c>
      <c r="S192" s="3">
        <f t="shared" si="97"/>
        <v>0</v>
      </c>
      <c r="T192" s="26" t="e">
        <f t="shared" si="97"/>
        <v>#DIV/0!</v>
      </c>
    </row>
    <row r="193" spans="1:20" x14ac:dyDescent="0.3">
      <c r="A193" s="59" t="s">
        <v>0</v>
      </c>
      <c r="B193" s="4" t="s">
        <v>29</v>
      </c>
      <c r="C193" s="3">
        <f>B152</f>
        <v>0</v>
      </c>
      <c r="D193" s="3">
        <f t="shared" ref="D193:F193" si="98">C152</f>
        <v>0</v>
      </c>
      <c r="E193" s="3">
        <f t="shared" si="98"/>
        <v>0</v>
      </c>
      <c r="F193" s="26" t="e">
        <f t="shared" si="98"/>
        <v>#DIV/0!</v>
      </c>
      <c r="H193" s="59"/>
      <c r="I193" s="4" t="s">
        <v>16</v>
      </c>
      <c r="J193" s="3">
        <f>B39</f>
        <v>0</v>
      </c>
      <c r="K193" s="3">
        <f t="shared" ref="K193:M193" si="99">C39</f>
        <v>0</v>
      </c>
      <c r="L193" s="3">
        <f t="shared" si="99"/>
        <v>0</v>
      </c>
      <c r="M193" s="26" t="e">
        <f t="shared" si="99"/>
        <v>#DIV/0!</v>
      </c>
      <c r="O193" s="59"/>
      <c r="P193" s="4" t="s">
        <v>20</v>
      </c>
      <c r="Q193" s="3">
        <f>B95</f>
        <v>0</v>
      </c>
      <c r="R193" s="3">
        <f t="shared" ref="R193:T193" si="100">C95</f>
        <v>0</v>
      </c>
      <c r="S193" s="3">
        <f t="shared" si="100"/>
        <v>0</v>
      </c>
      <c r="T193" s="26" t="e">
        <f t="shared" si="100"/>
        <v>#DIV/0!</v>
      </c>
    </row>
    <row r="194" spans="1:20" x14ac:dyDescent="0.3">
      <c r="A194" s="59"/>
      <c r="B194" s="4" t="s">
        <v>14</v>
      </c>
      <c r="C194" s="3">
        <f>B12</f>
        <v>0</v>
      </c>
      <c r="D194" s="3">
        <f t="shared" ref="D194:F194" si="101">C12</f>
        <v>0</v>
      </c>
      <c r="E194" s="3">
        <f t="shared" si="101"/>
        <v>0</v>
      </c>
      <c r="F194" s="26" t="e">
        <f t="shared" si="101"/>
        <v>#DIV/0!</v>
      </c>
      <c r="H194" s="59"/>
      <c r="I194" s="4" t="s">
        <v>17</v>
      </c>
      <c r="J194" s="3">
        <f>B53</f>
        <v>0</v>
      </c>
      <c r="K194" s="3">
        <f t="shared" ref="K194:M194" si="102">C53</f>
        <v>0</v>
      </c>
      <c r="L194" s="3">
        <f t="shared" si="102"/>
        <v>0</v>
      </c>
      <c r="M194" s="26" t="e">
        <f t="shared" si="102"/>
        <v>#DIV/0!</v>
      </c>
      <c r="O194" s="59"/>
      <c r="P194" s="4" t="s">
        <v>21</v>
      </c>
      <c r="Q194" s="3">
        <f>B109</f>
        <v>0</v>
      </c>
      <c r="R194" s="3">
        <f t="shared" ref="R194:T194" si="103">C109</f>
        <v>0</v>
      </c>
      <c r="S194" s="3">
        <f t="shared" si="103"/>
        <v>0</v>
      </c>
      <c r="T194" s="26" t="e">
        <f t="shared" si="103"/>
        <v>#DIV/0!</v>
      </c>
    </row>
    <row r="195" spans="1:20" x14ac:dyDescent="0.3">
      <c r="A195" s="59"/>
      <c r="B195" s="4" t="s">
        <v>15</v>
      </c>
      <c r="C195" s="3">
        <f>B26</f>
        <v>0</v>
      </c>
      <c r="D195" s="3">
        <f t="shared" ref="D195:F195" si="104">C26</f>
        <v>0</v>
      </c>
      <c r="E195" s="3">
        <f t="shared" si="104"/>
        <v>0</v>
      </c>
      <c r="F195" s="26" t="e">
        <f t="shared" si="104"/>
        <v>#DIV/0!</v>
      </c>
      <c r="H195" s="59"/>
      <c r="I195" s="4" t="s">
        <v>18</v>
      </c>
      <c r="J195" s="3">
        <f>B67</f>
        <v>0</v>
      </c>
      <c r="K195" s="3">
        <f t="shared" ref="K195:M195" si="105">C67</f>
        <v>0</v>
      </c>
      <c r="L195" s="3">
        <f t="shared" si="105"/>
        <v>0</v>
      </c>
      <c r="M195" s="26" t="e">
        <f t="shared" si="105"/>
        <v>#DIV/0!</v>
      </c>
      <c r="O195" s="59"/>
      <c r="P195" s="4" t="s">
        <v>22</v>
      </c>
      <c r="Q195" s="3">
        <f>B123</f>
        <v>0</v>
      </c>
      <c r="R195" s="3">
        <f t="shared" ref="R195:T195" si="106">C123</f>
        <v>0</v>
      </c>
      <c r="S195" s="3">
        <f t="shared" si="106"/>
        <v>0</v>
      </c>
      <c r="T195" s="26" t="e">
        <f t="shared" si="106"/>
        <v>#DIV/0!</v>
      </c>
    </row>
    <row r="196" spans="1:20" x14ac:dyDescent="0.3">
      <c r="A196" s="59" t="s">
        <v>5</v>
      </c>
      <c r="B196" s="4" t="s">
        <v>29</v>
      </c>
      <c r="C196" s="3">
        <f>B153</f>
        <v>0</v>
      </c>
      <c r="D196" s="3">
        <f t="shared" ref="D196:F196" si="107">C153</f>
        <v>0</v>
      </c>
      <c r="E196" s="3">
        <f t="shared" si="107"/>
        <v>0</v>
      </c>
      <c r="F196" s="26" t="e">
        <f t="shared" si="107"/>
        <v>#DIV/0!</v>
      </c>
      <c r="H196" s="59"/>
      <c r="I196" s="4" t="s">
        <v>19</v>
      </c>
      <c r="J196" s="3">
        <f>B81</f>
        <v>0</v>
      </c>
      <c r="K196" s="3">
        <f t="shared" ref="K196:M196" si="108">C81</f>
        <v>0</v>
      </c>
      <c r="L196" s="3">
        <f t="shared" si="108"/>
        <v>0</v>
      </c>
      <c r="M196" s="26" t="e">
        <f t="shared" si="108"/>
        <v>#DIV/0!</v>
      </c>
      <c r="O196" s="59"/>
      <c r="P196" s="4" t="s">
        <v>23</v>
      </c>
      <c r="Q196" s="3">
        <f>B137</f>
        <v>0</v>
      </c>
      <c r="R196" s="3">
        <f t="shared" ref="R196:T196" si="109">C137</f>
        <v>0</v>
      </c>
      <c r="S196" s="3">
        <f t="shared" si="109"/>
        <v>0</v>
      </c>
      <c r="T196" s="26" t="e">
        <f t="shared" si="109"/>
        <v>#DIV/0!</v>
      </c>
    </row>
    <row r="197" spans="1:20" x14ac:dyDescent="0.3">
      <c r="A197" s="59"/>
      <c r="B197" s="4" t="s">
        <v>14</v>
      </c>
      <c r="C197" s="3">
        <f>B13</f>
        <v>0</v>
      </c>
      <c r="D197" s="3">
        <f t="shared" ref="D197:F197" si="110">C13</f>
        <v>0</v>
      </c>
      <c r="E197" s="3">
        <f t="shared" si="110"/>
        <v>0</v>
      </c>
      <c r="F197" s="26" t="e">
        <f t="shared" si="110"/>
        <v>#DIV/0!</v>
      </c>
      <c r="H197" s="59" t="s">
        <v>0</v>
      </c>
      <c r="I197" s="4" t="s">
        <v>29</v>
      </c>
      <c r="J197" s="3">
        <f>B167</f>
        <v>0</v>
      </c>
      <c r="K197" s="3">
        <f t="shared" ref="K197:M197" si="111">C167</f>
        <v>0</v>
      </c>
      <c r="L197" s="3">
        <f t="shared" si="111"/>
        <v>0</v>
      </c>
      <c r="M197" s="26" t="e">
        <f t="shared" si="111"/>
        <v>#DIV/0!</v>
      </c>
      <c r="O197" s="59" t="s">
        <v>0</v>
      </c>
      <c r="P197" s="4" t="s">
        <v>29</v>
      </c>
      <c r="Q197" s="3">
        <f>B181</f>
        <v>0</v>
      </c>
      <c r="R197" s="3">
        <f t="shared" ref="R197:T197" si="112">C181</f>
        <v>0</v>
      </c>
      <c r="S197" s="3">
        <f t="shared" si="112"/>
        <v>0</v>
      </c>
      <c r="T197" s="26" t="e">
        <f t="shared" si="112"/>
        <v>#DIV/0!</v>
      </c>
    </row>
    <row r="198" spans="1:20" x14ac:dyDescent="0.3">
      <c r="A198" s="59"/>
      <c r="B198" s="4" t="s">
        <v>15</v>
      </c>
      <c r="C198" s="3">
        <f>B27</f>
        <v>0</v>
      </c>
      <c r="D198" s="3">
        <f t="shared" ref="D198:F198" si="113">C27</f>
        <v>0</v>
      </c>
      <c r="E198" s="3">
        <f t="shared" si="113"/>
        <v>0</v>
      </c>
      <c r="F198" s="26" t="e">
        <f t="shared" si="113"/>
        <v>#DIV/0!</v>
      </c>
      <c r="H198" s="59"/>
      <c r="I198" s="4" t="s">
        <v>16</v>
      </c>
      <c r="J198" s="3">
        <f>B40</f>
        <v>0</v>
      </c>
      <c r="K198" s="3">
        <f t="shared" ref="K198:M198" si="114">C40</f>
        <v>0</v>
      </c>
      <c r="L198" s="3">
        <f t="shared" si="114"/>
        <v>0</v>
      </c>
      <c r="M198" s="26" t="e">
        <f t="shared" si="114"/>
        <v>#DIV/0!</v>
      </c>
      <c r="O198" s="59"/>
      <c r="P198" s="4" t="s">
        <v>20</v>
      </c>
      <c r="Q198" s="3">
        <f>B96</f>
        <v>0</v>
      </c>
      <c r="R198" s="3">
        <f t="shared" ref="R198:T198" si="115">C96</f>
        <v>0</v>
      </c>
      <c r="S198" s="3">
        <f t="shared" si="115"/>
        <v>0</v>
      </c>
      <c r="T198" s="26" t="e">
        <f t="shared" si="115"/>
        <v>#DIV/0!</v>
      </c>
    </row>
    <row r="199" spans="1:20" x14ac:dyDescent="0.3">
      <c r="A199" s="59" t="s">
        <v>28</v>
      </c>
      <c r="B199" s="4" t="s">
        <v>29</v>
      </c>
      <c r="C199" s="24">
        <f>AVERAGE(C187,C190,C193,C196)</f>
        <v>0</v>
      </c>
      <c r="D199" s="24">
        <f t="shared" ref="D199:F201" si="116">AVERAGE(D187,D190,D193,D196)</f>
        <v>0</v>
      </c>
      <c r="E199" s="24">
        <f t="shared" si="116"/>
        <v>0</v>
      </c>
      <c r="F199" s="26" t="e">
        <f t="shared" si="116"/>
        <v>#DIV/0!</v>
      </c>
      <c r="H199" s="59"/>
      <c r="I199" s="4" t="s">
        <v>17</v>
      </c>
      <c r="J199" s="3">
        <f>B54</f>
        <v>0</v>
      </c>
      <c r="K199" s="3">
        <f t="shared" ref="K199:M199" si="117">C54</f>
        <v>0</v>
      </c>
      <c r="L199" s="3">
        <f t="shared" si="117"/>
        <v>0</v>
      </c>
      <c r="M199" s="26" t="e">
        <f t="shared" si="117"/>
        <v>#DIV/0!</v>
      </c>
      <c r="O199" s="59"/>
      <c r="P199" s="4" t="s">
        <v>21</v>
      </c>
      <c r="Q199" s="3">
        <f>B110</f>
        <v>0</v>
      </c>
      <c r="R199" s="3">
        <f t="shared" ref="R199:T199" si="118">C110</f>
        <v>0</v>
      </c>
      <c r="S199" s="3">
        <f t="shared" si="118"/>
        <v>0</v>
      </c>
      <c r="T199" s="26" t="e">
        <f t="shared" si="118"/>
        <v>#DIV/0!</v>
      </c>
    </row>
    <row r="200" spans="1:20" x14ac:dyDescent="0.3">
      <c r="A200" s="59"/>
      <c r="B200" s="4" t="s">
        <v>14</v>
      </c>
      <c r="C200" s="24">
        <f>AVERAGE(C188,C191,C194,C197)</f>
        <v>0</v>
      </c>
      <c r="D200" s="24">
        <f t="shared" si="116"/>
        <v>0</v>
      </c>
      <c r="E200" s="24">
        <f t="shared" si="116"/>
        <v>0</v>
      </c>
      <c r="F200" s="26" t="e">
        <f t="shared" si="116"/>
        <v>#DIV/0!</v>
      </c>
      <c r="H200" s="59"/>
      <c r="I200" s="4" t="s">
        <v>18</v>
      </c>
      <c r="J200" s="3">
        <f>B68</f>
        <v>0</v>
      </c>
      <c r="K200" s="3">
        <f t="shared" ref="K200:M200" si="119">C68</f>
        <v>0</v>
      </c>
      <c r="L200" s="3">
        <f t="shared" si="119"/>
        <v>0</v>
      </c>
      <c r="M200" s="26" t="e">
        <f t="shared" si="119"/>
        <v>#DIV/0!</v>
      </c>
      <c r="O200" s="59"/>
      <c r="P200" s="4" t="s">
        <v>22</v>
      </c>
      <c r="Q200" s="3">
        <f>B124</f>
        <v>0</v>
      </c>
      <c r="R200" s="3">
        <f t="shared" ref="R200:T200" si="120">C124</f>
        <v>0</v>
      </c>
      <c r="S200" s="3">
        <f t="shared" si="120"/>
        <v>0</v>
      </c>
      <c r="T200" s="26" t="e">
        <f t="shared" si="120"/>
        <v>#DIV/0!</v>
      </c>
    </row>
    <row r="201" spans="1:20" ht="15" thickBot="1" x14ac:dyDescent="0.35">
      <c r="A201" s="60"/>
      <c r="B201" s="8" t="s">
        <v>15</v>
      </c>
      <c r="C201" s="25">
        <f>AVERAGE(C189,C192,C195,C198)</f>
        <v>0</v>
      </c>
      <c r="D201" s="25">
        <f t="shared" si="116"/>
        <v>0</v>
      </c>
      <c r="E201" s="25">
        <f t="shared" si="116"/>
        <v>0</v>
      </c>
      <c r="F201" s="27" t="e">
        <f t="shared" si="116"/>
        <v>#DIV/0!</v>
      </c>
      <c r="H201" s="59"/>
      <c r="I201" s="4" t="s">
        <v>19</v>
      </c>
      <c r="J201" s="3">
        <f>B82</f>
        <v>0</v>
      </c>
      <c r="K201" s="3">
        <f t="shared" ref="K201:M201" si="121">C82</f>
        <v>0</v>
      </c>
      <c r="L201" s="3">
        <f t="shared" si="121"/>
        <v>0</v>
      </c>
      <c r="M201" s="26" t="e">
        <f t="shared" si="121"/>
        <v>#DIV/0!</v>
      </c>
      <c r="O201" s="59"/>
      <c r="P201" s="4" t="s">
        <v>23</v>
      </c>
      <c r="Q201" s="3">
        <f>B138</f>
        <v>0</v>
      </c>
      <c r="R201" s="3">
        <f t="shared" ref="R201:T201" si="122">C138</f>
        <v>0</v>
      </c>
      <c r="S201" s="3">
        <f t="shared" si="122"/>
        <v>0</v>
      </c>
      <c r="T201" s="26" t="e">
        <f t="shared" si="122"/>
        <v>#DIV/0!</v>
      </c>
    </row>
    <row r="202" spans="1:20" x14ac:dyDescent="0.3">
      <c r="H202" s="59" t="s">
        <v>5</v>
      </c>
      <c r="I202" s="4" t="s">
        <v>29</v>
      </c>
      <c r="J202" s="3">
        <f>B168</f>
        <v>0</v>
      </c>
      <c r="K202" s="3">
        <f t="shared" ref="K202:M202" si="123">C168</f>
        <v>0</v>
      </c>
      <c r="L202" s="3">
        <f t="shared" si="123"/>
        <v>0</v>
      </c>
      <c r="M202" s="26" t="e">
        <f t="shared" si="123"/>
        <v>#DIV/0!</v>
      </c>
      <c r="O202" s="59" t="s">
        <v>5</v>
      </c>
      <c r="P202" s="4" t="s">
        <v>29</v>
      </c>
      <c r="Q202" s="3">
        <f>B182</f>
        <v>0</v>
      </c>
      <c r="R202" s="3">
        <f t="shared" ref="R202:S202" si="124">C182</f>
        <v>0</v>
      </c>
      <c r="S202" s="3">
        <f t="shared" si="124"/>
        <v>0</v>
      </c>
      <c r="T202" s="26" t="e">
        <f>E182</f>
        <v>#DIV/0!</v>
      </c>
    </row>
    <row r="203" spans="1:20" x14ac:dyDescent="0.3">
      <c r="H203" s="59"/>
      <c r="I203" s="4" t="s">
        <v>16</v>
      </c>
      <c r="J203" s="3">
        <f>B41</f>
        <v>0</v>
      </c>
      <c r="K203" s="3">
        <f t="shared" ref="K203:M203" si="125">C41</f>
        <v>0</v>
      </c>
      <c r="L203" s="3">
        <f t="shared" si="125"/>
        <v>0</v>
      </c>
      <c r="M203" s="26" t="e">
        <f t="shared" si="125"/>
        <v>#DIV/0!</v>
      </c>
      <c r="O203" s="59"/>
      <c r="P203" s="4" t="s">
        <v>20</v>
      </c>
      <c r="Q203" s="3">
        <f>B97</f>
        <v>0</v>
      </c>
      <c r="R203" s="3">
        <f t="shared" ref="R203:T203" si="126">C97</f>
        <v>0</v>
      </c>
      <c r="S203" s="3">
        <f t="shared" si="126"/>
        <v>0</v>
      </c>
      <c r="T203" s="26" t="e">
        <f t="shared" si="126"/>
        <v>#DIV/0!</v>
      </c>
    </row>
    <row r="204" spans="1:20" x14ac:dyDescent="0.3">
      <c r="H204" s="59"/>
      <c r="I204" s="4" t="s">
        <v>17</v>
      </c>
      <c r="J204" s="3">
        <f>B55</f>
        <v>0</v>
      </c>
      <c r="K204" s="3">
        <f t="shared" ref="K204:M204" si="127">C55</f>
        <v>0</v>
      </c>
      <c r="L204" s="3">
        <f t="shared" si="127"/>
        <v>0</v>
      </c>
      <c r="M204" s="26" t="e">
        <f t="shared" si="127"/>
        <v>#DIV/0!</v>
      </c>
      <c r="O204" s="59"/>
      <c r="P204" s="4" t="s">
        <v>21</v>
      </c>
      <c r="Q204" s="3">
        <f>B111</f>
        <v>0</v>
      </c>
      <c r="R204" s="3">
        <f t="shared" ref="R204:T204" si="128">C111</f>
        <v>0</v>
      </c>
      <c r="S204" s="3">
        <f t="shared" si="128"/>
        <v>0</v>
      </c>
      <c r="T204" s="26" t="e">
        <f t="shared" si="128"/>
        <v>#DIV/0!</v>
      </c>
    </row>
    <row r="205" spans="1:20" x14ac:dyDescent="0.3">
      <c r="H205" s="59"/>
      <c r="I205" s="4" t="s">
        <v>18</v>
      </c>
      <c r="J205" s="3">
        <f>B69</f>
        <v>0</v>
      </c>
      <c r="K205" s="3">
        <f t="shared" ref="K205:M205" si="129">C69</f>
        <v>0</v>
      </c>
      <c r="L205" s="3">
        <f t="shared" si="129"/>
        <v>0</v>
      </c>
      <c r="M205" s="26" t="e">
        <f t="shared" si="129"/>
        <v>#DIV/0!</v>
      </c>
      <c r="O205" s="59"/>
      <c r="P205" s="4" t="s">
        <v>22</v>
      </c>
      <c r="Q205" s="3">
        <f>B125</f>
        <v>0</v>
      </c>
      <c r="R205" s="3">
        <f t="shared" ref="R205:T205" si="130">C125</f>
        <v>0</v>
      </c>
      <c r="S205" s="3">
        <f t="shared" si="130"/>
        <v>0</v>
      </c>
      <c r="T205" s="26" t="e">
        <f t="shared" si="130"/>
        <v>#DIV/0!</v>
      </c>
    </row>
    <row r="206" spans="1:20" x14ac:dyDescent="0.3">
      <c r="H206" s="59"/>
      <c r="I206" s="4" t="s">
        <v>19</v>
      </c>
      <c r="J206" s="3">
        <f>B83</f>
        <v>0</v>
      </c>
      <c r="K206" s="3">
        <f t="shared" ref="K206:M206" si="131">C83</f>
        <v>0</v>
      </c>
      <c r="L206" s="3">
        <f t="shared" si="131"/>
        <v>0</v>
      </c>
      <c r="M206" s="26" t="e">
        <f t="shared" si="131"/>
        <v>#DIV/0!</v>
      </c>
      <c r="O206" s="59"/>
      <c r="P206" s="4" t="s">
        <v>23</v>
      </c>
      <c r="Q206" s="3">
        <f>B139</f>
        <v>0</v>
      </c>
      <c r="R206" s="3">
        <f t="shared" ref="R206:T206" si="132">C139</f>
        <v>0</v>
      </c>
      <c r="S206" s="3">
        <f t="shared" si="132"/>
        <v>0</v>
      </c>
      <c r="T206" s="26" t="e">
        <f t="shared" si="132"/>
        <v>#DIV/0!</v>
      </c>
    </row>
    <row r="207" spans="1:20" x14ac:dyDescent="0.3">
      <c r="H207" s="59" t="s">
        <v>28</v>
      </c>
      <c r="I207" s="4" t="s">
        <v>29</v>
      </c>
      <c r="J207" s="24">
        <f>AVERAGE(J187,J192,J197,J202)</f>
        <v>0</v>
      </c>
      <c r="K207" s="24">
        <f t="shared" ref="J207:M211" si="133">AVERAGE(K187,K192,K197,K202)</f>
        <v>0</v>
      </c>
      <c r="L207" s="24">
        <f t="shared" si="133"/>
        <v>0</v>
      </c>
      <c r="M207" s="26" t="e">
        <f t="shared" si="133"/>
        <v>#DIV/0!</v>
      </c>
      <c r="O207" s="59" t="s">
        <v>28</v>
      </c>
      <c r="P207" s="4" t="s">
        <v>29</v>
      </c>
      <c r="Q207" s="24">
        <f>AVERAGE(Q187,Q192,Q197,Q202)</f>
        <v>0</v>
      </c>
      <c r="R207" s="24">
        <f t="shared" ref="R207:T207" si="134">AVERAGE(R187,R192,R197,R202)</f>
        <v>0</v>
      </c>
      <c r="S207" s="24">
        <f t="shared" si="134"/>
        <v>0</v>
      </c>
      <c r="T207" s="26" t="e">
        <f t="shared" si="134"/>
        <v>#DIV/0!</v>
      </c>
    </row>
    <row r="208" spans="1:20" x14ac:dyDescent="0.3">
      <c r="H208" s="59"/>
      <c r="I208" s="4" t="s">
        <v>16</v>
      </c>
      <c r="J208" s="24">
        <f>AVERAGE(J188,J193,J198,J203)</f>
        <v>0</v>
      </c>
      <c r="K208" s="24">
        <f t="shared" si="133"/>
        <v>0</v>
      </c>
      <c r="L208" s="24">
        <f t="shared" si="133"/>
        <v>0</v>
      </c>
      <c r="M208" s="26" t="e">
        <f t="shared" si="133"/>
        <v>#DIV/0!</v>
      </c>
      <c r="O208" s="59"/>
      <c r="P208" s="4" t="s">
        <v>20</v>
      </c>
      <c r="Q208" s="24">
        <f t="shared" ref="Q208:T211" si="135">AVERAGE(Q188,Q193,Q198,Q203)</f>
        <v>0</v>
      </c>
      <c r="R208" s="24">
        <f t="shared" si="135"/>
        <v>0</v>
      </c>
      <c r="S208" s="24">
        <f t="shared" si="135"/>
        <v>0</v>
      </c>
      <c r="T208" s="26" t="e">
        <f t="shared" si="135"/>
        <v>#DIV/0!</v>
      </c>
    </row>
    <row r="209" spans="1:20" x14ac:dyDescent="0.3">
      <c r="H209" s="59"/>
      <c r="I209" s="4" t="s">
        <v>17</v>
      </c>
      <c r="J209" s="24">
        <f t="shared" si="133"/>
        <v>0</v>
      </c>
      <c r="K209" s="24">
        <f t="shared" si="133"/>
        <v>0</v>
      </c>
      <c r="L209" s="24">
        <f t="shared" si="133"/>
        <v>0</v>
      </c>
      <c r="M209" s="26" t="e">
        <f>AVERAGE(M189,M194,M199,M204)</f>
        <v>#DIV/0!</v>
      </c>
      <c r="O209" s="59"/>
      <c r="P209" s="4" t="s">
        <v>21</v>
      </c>
      <c r="Q209" s="24">
        <f>AVERAGE(Q189,Q194,Q199,Q204)</f>
        <v>0</v>
      </c>
      <c r="R209" s="24">
        <f t="shared" si="135"/>
        <v>0</v>
      </c>
      <c r="S209" s="24">
        <f t="shared" si="135"/>
        <v>0</v>
      </c>
      <c r="T209" s="26" t="e">
        <f t="shared" si="135"/>
        <v>#DIV/0!</v>
      </c>
    </row>
    <row r="210" spans="1:20" x14ac:dyDescent="0.3">
      <c r="H210" s="59"/>
      <c r="I210" s="4" t="s">
        <v>18</v>
      </c>
      <c r="J210" s="24">
        <f t="shared" si="133"/>
        <v>0</v>
      </c>
      <c r="K210" s="24">
        <f t="shared" si="133"/>
        <v>0</v>
      </c>
      <c r="L210" s="24">
        <f t="shared" si="133"/>
        <v>0</v>
      </c>
      <c r="M210" s="26" t="e">
        <f t="shared" si="133"/>
        <v>#DIV/0!</v>
      </c>
      <c r="O210" s="59"/>
      <c r="P210" s="4" t="s">
        <v>22</v>
      </c>
      <c r="Q210" s="24">
        <f t="shared" si="135"/>
        <v>0</v>
      </c>
      <c r="R210" s="24">
        <f t="shared" si="135"/>
        <v>0</v>
      </c>
      <c r="S210" s="24">
        <f t="shared" si="135"/>
        <v>0</v>
      </c>
      <c r="T210" s="26" t="e">
        <f t="shared" si="135"/>
        <v>#DIV/0!</v>
      </c>
    </row>
    <row r="211" spans="1:20" ht="15" thickBot="1" x14ac:dyDescent="0.35">
      <c r="H211" s="60"/>
      <c r="I211" s="8" t="s">
        <v>19</v>
      </c>
      <c r="J211" s="25">
        <f>AVERAGE(J191,J196,J201,J206)</f>
        <v>0</v>
      </c>
      <c r="K211" s="25">
        <f t="shared" si="133"/>
        <v>0</v>
      </c>
      <c r="L211" s="25">
        <f t="shared" si="133"/>
        <v>0</v>
      </c>
      <c r="M211" s="27" t="e">
        <f t="shared" si="133"/>
        <v>#DIV/0!</v>
      </c>
      <c r="O211" s="60"/>
      <c r="P211" s="8" t="s">
        <v>23</v>
      </c>
      <c r="Q211" s="25">
        <f>AVERAGE(Q191,Q196,Q201,Q206)</f>
        <v>0</v>
      </c>
      <c r="R211" s="25">
        <f t="shared" si="135"/>
        <v>0</v>
      </c>
      <c r="S211" s="25">
        <f t="shared" si="135"/>
        <v>0</v>
      </c>
      <c r="T211" s="27" t="e">
        <f t="shared" si="135"/>
        <v>#DIV/0!</v>
      </c>
    </row>
    <row r="213" spans="1:20" s="28" customFormat="1" x14ac:dyDescent="0.3"/>
    <row r="214" spans="1:20" x14ac:dyDescent="0.3">
      <c r="A214" t="s">
        <v>30</v>
      </c>
      <c r="B214" t="s">
        <v>1</v>
      </c>
      <c r="C214" t="s">
        <v>2</v>
      </c>
    </row>
    <row r="215" spans="1:20" x14ac:dyDescent="0.3">
      <c r="A215" t="s">
        <v>3</v>
      </c>
      <c r="D215">
        <f>B215+C215</f>
        <v>0</v>
      </c>
      <c r="E215" s="16" t="e">
        <f>(B215/D215)</f>
        <v>#DIV/0!</v>
      </c>
      <c r="F215" s="16" t="e">
        <f>C215/D215</f>
        <v>#DIV/0!</v>
      </c>
    </row>
    <row r="216" spans="1:20" x14ac:dyDescent="0.3">
      <c r="A216" t="s">
        <v>4</v>
      </c>
      <c r="D216">
        <f t="shared" ref="D216:D218" si="136">B216+C216</f>
        <v>0</v>
      </c>
      <c r="E216" s="16" t="e">
        <f t="shared" ref="E216:E218" si="137">(B216/D216)</f>
        <v>#DIV/0!</v>
      </c>
      <c r="F216" s="16" t="e">
        <f t="shared" ref="F216:F218" si="138">C216/D216</f>
        <v>#DIV/0!</v>
      </c>
    </row>
    <row r="217" spans="1:20" x14ac:dyDescent="0.3">
      <c r="A217" t="s">
        <v>0</v>
      </c>
      <c r="D217">
        <f t="shared" si="136"/>
        <v>0</v>
      </c>
      <c r="E217" s="16" t="e">
        <f t="shared" si="137"/>
        <v>#DIV/0!</v>
      </c>
      <c r="F217" s="16" t="e">
        <f t="shared" si="138"/>
        <v>#DIV/0!</v>
      </c>
    </row>
    <row r="218" spans="1:20" x14ac:dyDescent="0.3">
      <c r="A218" t="s">
        <v>5</v>
      </c>
      <c r="D218">
        <f t="shared" si="136"/>
        <v>0</v>
      </c>
      <c r="E218" s="16" t="e">
        <f t="shared" si="137"/>
        <v>#DIV/0!</v>
      </c>
      <c r="F218" s="16" t="e">
        <f t="shared" si="138"/>
        <v>#DIV/0!</v>
      </c>
    </row>
    <row r="219" spans="1:20" ht="15" thickBot="1" x14ac:dyDescent="0.35"/>
    <row r="220" spans="1:20" ht="15" thickBot="1" x14ac:dyDescent="0.35">
      <c r="A220" s="61"/>
      <c r="B220" s="63" t="s">
        <v>12</v>
      </c>
      <c r="C220" s="64"/>
      <c r="D220" s="64"/>
      <c r="E220" s="64"/>
      <c r="F220" s="65"/>
      <c r="G220" s="63" t="s">
        <v>11</v>
      </c>
      <c r="H220" s="64"/>
      <c r="I220" s="64"/>
      <c r="J220" s="64"/>
      <c r="K220" s="65"/>
      <c r="L220" s="63" t="s">
        <v>13</v>
      </c>
      <c r="M220" s="64"/>
      <c r="N220" s="64"/>
      <c r="O220" s="64"/>
      <c r="P220" s="65"/>
    </row>
    <row r="221" spans="1:20" ht="15" thickBot="1" x14ac:dyDescent="0.35">
      <c r="A221" s="62"/>
      <c r="B221" s="9" t="s">
        <v>6</v>
      </c>
      <c r="C221" s="10" t="s">
        <v>7</v>
      </c>
      <c r="D221" s="7" t="s">
        <v>8</v>
      </c>
      <c r="E221" s="7" t="s">
        <v>9</v>
      </c>
      <c r="F221" s="8" t="s">
        <v>10</v>
      </c>
      <c r="G221" s="9" t="s">
        <v>6</v>
      </c>
      <c r="H221" s="10" t="s">
        <v>7</v>
      </c>
      <c r="I221" s="7" t="s">
        <v>8</v>
      </c>
      <c r="J221" s="7" t="s">
        <v>9</v>
      </c>
      <c r="K221" s="8" t="s">
        <v>10</v>
      </c>
      <c r="L221" s="9" t="s">
        <v>6</v>
      </c>
      <c r="M221" s="10" t="s">
        <v>7</v>
      </c>
      <c r="N221" s="7" t="s">
        <v>8</v>
      </c>
      <c r="O221" s="7" t="s">
        <v>9</v>
      </c>
      <c r="P221" s="8" t="s">
        <v>10</v>
      </c>
    </row>
    <row r="222" spans="1:20" x14ac:dyDescent="0.3">
      <c r="A222" s="11" t="s">
        <v>3</v>
      </c>
      <c r="B222" s="1"/>
      <c r="C222" s="2"/>
      <c r="D222" s="3"/>
      <c r="E222" s="24" t="e">
        <f>2*((C222*D222)/(C222+D222))</f>
        <v>#DIV/0!</v>
      </c>
      <c r="F222" s="4"/>
      <c r="G222" s="5"/>
      <c r="H222" s="3"/>
      <c r="I222" s="15"/>
      <c r="J222" s="3" t="e">
        <f>2*((H222*I222)/(H222+I222))</f>
        <v>#DIV/0!</v>
      </c>
      <c r="K222" s="4"/>
      <c r="L222" s="5"/>
      <c r="M222" s="3"/>
      <c r="N222" s="15"/>
      <c r="O222" s="3" t="e">
        <f>2*((M222*N222)/(M222+N222))</f>
        <v>#DIV/0!</v>
      </c>
      <c r="P222" s="4"/>
    </row>
    <row r="223" spans="1:20" x14ac:dyDescent="0.3">
      <c r="A223" s="12" t="s">
        <v>4</v>
      </c>
      <c r="B223" s="5"/>
      <c r="C223" s="3"/>
      <c r="D223" s="3"/>
      <c r="E223" s="24" t="e">
        <f t="shared" ref="E223:E225" si="139">2*((C223*D223)/(C223+D223))</f>
        <v>#DIV/0!</v>
      </c>
      <c r="F223" s="4"/>
      <c r="G223" s="5"/>
      <c r="H223" s="3"/>
      <c r="I223" s="15"/>
      <c r="J223" s="3" t="e">
        <f t="shared" ref="J223:J225" si="140">2*((H223*I223)/(H223+I223))</f>
        <v>#DIV/0!</v>
      </c>
      <c r="K223" s="4"/>
      <c r="L223" s="5"/>
      <c r="M223" s="3"/>
      <c r="N223" s="3"/>
      <c r="O223" s="3" t="e">
        <f t="shared" ref="O223:O225" si="141">2*((M223*N223)/(M223+N223))</f>
        <v>#DIV/0!</v>
      </c>
      <c r="P223" s="4"/>
    </row>
    <row r="224" spans="1:20" x14ac:dyDescent="0.3">
      <c r="A224" s="12" t="s">
        <v>0</v>
      </c>
      <c r="B224" s="5"/>
      <c r="C224" s="3"/>
      <c r="D224" s="3"/>
      <c r="E224" s="24" t="e">
        <f t="shared" si="139"/>
        <v>#DIV/0!</v>
      </c>
      <c r="F224" s="4"/>
      <c r="G224" s="5"/>
      <c r="H224" s="3"/>
      <c r="I224" s="15"/>
      <c r="J224" s="3" t="e">
        <f t="shared" si="140"/>
        <v>#DIV/0!</v>
      </c>
      <c r="K224" s="4"/>
      <c r="L224" s="5"/>
      <c r="M224" s="3"/>
      <c r="N224" s="15"/>
      <c r="O224" s="3" t="e">
        <f t="shared" si="141"/>
        <v>#DIV/0!</v>
      </c>
      <c r="P224" s="4"/>
    </row>
    <row r="225" spans="1:16" ht="15" thickBot="1" x14ac:dyDescent="0.35">
      <c r="A225" s="13" t="s">
        <v>5</v>
      </c>
      <c r="B225" s="6"/>
      <c r="C225" s="7"/>
      <c r="D225" s="7"/>
      <c r="E225" s="25" t="e">
        <f t="shared" si="139"/>
        <v>#DIV/0!</v>
      </c>
      <c r="F225" s="8"/>
      <c r="G225" s="6"/>
      <c r="H225" s="7"/>
      <c r="I225" s="7"/>
      <c r="J225" s="7" t="e">
        <f t="shared" si="140"/>
        <v>#DIV/0!</v>
      </c>
      <c r="K225" s="8"/>
      <c r="L225" s="6"/>
      <c r="M225" s="7"/>
      <c r="N225" s="7"/>
      <c r="O225" s="7" t="e">
        <f t="shared" si="141"/>
        <v>#DIV/0!</v>
      </c>
      <c r="P225" s="8"/>
    </row>
  </sheetData>
  <mergeCells count="74">
    <mergeCell ref="A8:A9"/>
    <mergeCell ref="B8:F8"/>
    <mergeCell ref="G8:K8"/>
    <mergeCell ref="L8:P8"/>
    <mergeCell ref="A22:A23"/>
    <mergeCell ref="B22:F22"/>
    <mergeCell ref="G22:K22"/>
    <mergeCell ref="L22:P22"/>
    <mergeCell ref="A36:A37"/>
    <mergeCell ref="B36:F36"/>
    <mergeCell ref="G36:K36"/>
    <mergeCell ref="L36:P36"/>
    <mergeCell ref="A50:A51"/>
    <mergeCell ref="B50:F50"/>
    <mergeCell ref="G50:K50"/>
    <mergeCell ref="L50:P50"/>
    <mergeCell ref="A64:A65"/>
    <mergeCell ref="B64:F64"/>
    <mergeCell ref="G64:K64"/>
    <mergeCell ref="L64:P64"/>
    <mergeCell ref="A78:A79"/>
    <mergeCell ref="B78:F78"/>
    <mergeCell ref="G78:K78"/>
    <mergeCell ref="L78:P78"/>
    <mergeCell ref="A92:A93"/>
    <mergeCell ref="B92:F92"/>
    <mergeCell ref="G92:K92"/>
    <mergeCell ref="L92:P92"/>
    <mergeCell ref="A106:A107"/>
    <mergeCell ref="B106:F106"/>
    <mergeCell ref="G106:K106"/>
    <mergeCell ref="L106:P106"/>
    <mergeCell ref="A120:A121"/>
    <mergeCell ref="B120:F120"/>
    <mergeCell ref="G120:K120"/>
    <mergeCell ref="L120:P120"/>
    <mergeCell ref="A134:A135"/>
    <mergeCell ref="B134:F134"/>
    <mergeCell ref="G134:K134"/>
    <mergeCell ref="L134:P134"/>
    <mergeCell ref="A148:A149"/>
    <mergeCell ref="B148:F148"/>
    <mergeCell ref="G148:K148"/>
    <mergeCell ref="L148:P148"/>
    <mergeCell ref="A163:A164"/>
    <mergeCell ref="B163:F163"/>
    <mergeCell ref="G163:K163"/>
    <mergeCell ref="L163:P163"/>
    <mergeCell ref="A177:A178"/>
    <mergeCell ref="B177:F177"/>
    <mergeCell ref="G177:K177"/>
    <mergeCell ref="L177:P177"/>
    <mergeCell ref="A186:B186"/>
    <mergeCell ref="H186:I186"/>
    <mergeCell ref="O186:P186"/>
    <mergeCell ref="A187:A189"/>
    <mergeCell ref="H187:H191"/>
    <mergeCell ref="O187:O191"/>
    <mergeCell ref="A190:A192"/>
    <mergeCell ref="H192:H196"/>
    <mergeCell ref="O192:O196"/>
    <mergeCell ref="A193:A195"/>
    <mergeCell ref="A196:A198"/>
    <mergeCell ref="H197:H201"/>
    <mergeCell ref="O197:O201"/>
    <mergeCell ref="A199:A201"/>
    <mergeCell ref="O202:O206"/>
    <mergeCell ref="H207:H211"/>
    <mergeCell ref="O207:O211"/>
    <mergeCell ref="A220:A221"/>
    <mergeCell ref="B220:F220"/>
    <mergeCell ref="G220:K220"/>
    <mergeCell ref="L220:P220"/>
    <mergeCell ref="H202:H20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26"/>
  <sheetViews>
    <sheetView tabSelected="1" topLeftCell="A301" workbookViewId="0">
      <selection activeCell="G326" sqref="G326"/>
    </sheetView>
  </sheetViews>
  <sheetFormatPr defaultColWidth="12.6640625" defaultRowHeight="14.4" x14ac:dyDescent="0.3"/>
  <cols>
    <col min="1" max="16384" width="12.6640625" style="42"/>
  </cols>
  <sheetData>
    <row r="1" spans="1:53" x14ac:dyDescent="0.3">
      <c r="A1" s="69" t="s">
        <v>42</v>
      </c>
      <c r="B1" s="69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  <c r="P1" s="47" t="s">
        <v>49</v>
      </c>
      <c r="Q1" s="47"/>
      <c r="R1" s="47"/>
      <c r="S1" s="47"/>
      <c r="T1" s="47"/>
      <c r="U1" s="47"/>
      <c r="V1" s="47"/>
      <c r="W1" s="47"/>
      <c r="X1" s="47" t="s">
        <v>50</v>
      </c>
      <c r="Y1" s="47"/>
      <c r="Z1" s="47"/>
      <c r="AA1" s="47"/>
      <c r="AB1" s="47"/>
      <c r="AC1" s="47"/>
      <c r="AD1" s="47"/>
      <c r="AE1" s="47"/>
      <c r="AF1" s="47" t="s">
        <v>51</v>
      </c>
      <c r="AG1" s="47"/>
      <c r="AH1" s="47"/>
      <c r="AI1" s="47"/>
      <c r="AJ1" s="47"/>
      <c r="AK1" s="47"/>
      <c r="AL1" s="47"/>
      <c r="AM1" s="47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</row>
    <row r="2" spans="1:53" s="43" customFormat="1" x14ac:dyDescent="0.3">
      <c r="B2" s="68" t="s">
        <v>41</v>
      </c>
      <c r="C2" s="68"/>
      <c r="D2" s="68"/>
      <c r="E2" s="68" t="s">
        <v>43</v>
      </c>
      <c r="F2" s="68"/>
      <c r="G2" s="68"/>
      <c r="H2" s="68"/>
      <c r="I2" s="68"/>
      <c r="J2" s="68" t="s">
        <v>44</v>
      </c>
      <c r="K2" s="68"/>
      <c r="L2" s="68"/>
      <c r="M2" s="68"/>
      <c r="N2" s="68"/>
    </row>
    <row r="3" spans="1:53" s="43" customFormat="1" x14ac:dyDescent="0.3">
      <c r="B3" s="43" t="s">
        <v>126</v>
      </c>
      <c r="C3" s="43" t="s">
        <v>39</v>
      </c>
      <c r="D3" s="43" t="s">
        <v>40</v>
      </c>
      <c r="E3" s="43" t="s">
        <v>121</v>
      </c>
      <c r="F3" s="43" t="s">
        <v>122</v>
      </c>
      <c r="G3" s="43" t="s">
        <v>123</v>
      </c>
      <c r="H3" s="43" t="s">
        <v>124</v>
      </c>
      <c r="I3" s="43" t="s">
        <v>125</v>
      </c>
      <c r="J3" s="43" t="s">
        <v>127</v>
      </c>
      <c r="K3" s="43" t="s">
        <v>128</v>
      </c>
      <c r="L3" s="43" t="s">
        <v>129</v>
      </c>
      <c r="M3" s="43" t="s">
        <v>130</v>
      </c>
      <c r="N3" s="43" t="s">
        <v>131</v>
      </c>
    </row>
    <row r="4" spans="1:53" x14ac:dyDescent="0.3">
      <c r="A4" s="42" t="s">
        <v>112</v>
      </c>
      <c r="B4" s="44">
        <f xml:space="preserve"> BaseFeat_HoE!$E$150</f>
        <v>53.519998131539616</v>
      </c>
      <c r="C4" s="44">
        <f xml:space="preserve"> BaseFeat_HoE!$E$10</f>
        <v>44.224999434708877</v>
      </c>
      <c r="D4" s="44">
        <f xml:space="preserve"> BaseFeat_HoE!$E$24</f>
        <v>48.883669837373425</v>
      </c>
      <c r="E4" s="44">
        <f xml:space="preserve"> BaseFeat_HoE!$E$165</f>
        <v>32.445166051660522</v>
      </c>
      <c r="F4" s="44">
        <f xml:space="preserve"> BaseFeat_HoE!$E$38</f>
        <v>39.841874059207228</v>
      </c>
      <c r="G4" s="44">
        <f xml:space="preserve"> BaseFeat_HoE!$E$52</f>
        <v>55.419922807647431</v>
      </c>
      <c r="H4" s="44">
        <f xml:space="preserve"> BaseFeat_HoE!$E$66</f>
        <v>31.42230146756275</v>
      </c>
      <c r="I4" s="44">
        <f xml:space="preserve"> BaseFeat_HoE!$E$80</f>
        <v>23.931233835387189</v>
      </c>
      <c r="J4" s="44">
        <f xml:space="preserve"> BaseFeat_HoE!$E$179</f>
        <v>25.042553191489361</v>
      </c>
      <c r="K4" s="44">
        <f xml:space="preserve"> BaseFeat_HoE!$E$94</f>
        <v>69.588239689610575</v>
      </c>
      <c r="L4" s="44">
        <f xml:space="preserve"> BaseFeat_HoE!$E$108</f>
        <v>41.204139228598308</v>
      </c>
      <c r="M4" s="44">
        <f xml:space="preserve"> BaseFeat_HoE!$E$122</f>
        <v>47.753396029258099</v>
      </c>
      <c r="N4" s="44">
        <f xml:space="preserve"> BaseFeat_HoE!$E$136</f>
        <v>47.834999477370133</v>
      </c>
    </row>
    <row r="5" spans="1:53" x14ac:dyDescent="0.3">
      <c r="A5" s="42" t="s">
        <v>113</v>
      </c>
      <c r="B5" s="44">
        <f xml:space="preserve"> BaseFeat_HoE!$E$151</f>
        <v>50.769950758321848</v>
      </c>
      <c r="C5" s="44">
        <f xml:space="preserve"> BaseFeat_HoE!$E$11</f>
        <v>49.59499949591693</v>
      </c>
      <c r="D5" s="44">
        <f xml:space="preserve"> BaseFeat_HoE!$E$25</f>
        <v>58.679829584185406</v>
      </c>
      <c r="E5" s="44">
        <f xml:space="preserve"> BaseFeat_HoE!$E$166</f>
        <v>50.03</v>
      </c>
      <c r="F5" s="44">
        <f xml:space="preserve"> BaseFeat_HoE!$E$39</f>
        <v>59.521182199832083</v>
      </c>
      <c r="G5" s="44">
        <f xml:space="preserve"> BaseFeat_HoE!$E$53</f>
        <v>43.337916808341838</v>
      </c>
      <c r="H5" s="44">
        <f xml:space="preserve"> BaseFeat_HoE!$E$67</f>
        <v>35.572861555742769</v>
      </c>
      <c r="I5" s="44">
        <f xml:space="preserve"> BaseFeat_HoE!$E$81</f>
        <v>53.997607875609532</v>
      </c>
      <c r="J5" s="44">
        <f xml:space="preserve"> BaseFeat_HoE!$E$180</f>
        <v>62.314508545294075</v>
      </c>
      <c r="K5" s="44">
        <f xml:space="preserve"> BaseFeat_HoE!$E$95</f>
        <v>63.029754898072504</v>
      </c>
      <c r="L5" s="44">
        <f xml:space="preserve"> BaseFeat_HoE!$E$109</f>
        <v>55.979649874955335</v>
      </c>
      <c r="M5" s="44">
        <f xml:space="preserve"> BaseFeat_HoE!$E$123</f>
        <v>47.769769142379616</v>
      </c>
      <c r="N5" s="44">
        <f xml:space="preserve"> BaseFeat_HoE!$E$137</f>
        <v>26.953981008035061</v>
      </c>
    </row>
    <row r="6" spans="1:53" x14ac:dyDescent="0.3">
      <c r="A6" s="42" t="s">
        <v>114</v>
      </c>
      <c r="B6" s="44">
        <f xml:space="preserve"> BaseFeat_HoE!$E$152</f>
        <v>48.5299484854729</v>
      </c>
      <c r="C6" s="44">
        <f xml:space="preserve"> BaseFeat_HoE!$E$12</f>
        <v>30.913472087770248</v>
      </c>
      <c r="D6" s="44">
        <f xml:space="preserve"> BaseFeat_HoE!$E$26</f>
        <v>36.460030108115511</v>
      </c>
      <c r="E6" s="44">
        <f xml:space="preserve"> BaseFeat_HoE!$E$167</f>
        <v>50.644975812024882</v>
      </c>
      <c r="F6" s="44">
        <f xml:space="preserve"> BaseFeat_HoE!$E$40</f>
        <v>35.625214586255261</v>
      </c>
      <c r="G6" s="44">
        <f xml:space="preserve"> BaseFeat_HoE!$E$54</f>
        <v>42.289935364727611</v>
      </c>
      <c r="H6" s="44">
        <f xml:space="preserve"> BaseFeat_HoE!$E$68</f>
        <v>50.924999509081985</v>
      </c>
      <c r="I6" s="44">
        <f xml:space="preserve"> BaseFeat_HoE!$E$82</f>
        <v>69.289994227161216</v>
      </c>
      <c r="J6" s="44">
        <f xml:space="preserve"> BaseFeat_HoE!$E$181</f>
        <v>49.369708324893658</v>
      </c>
      <c r="K6" s="44">
        <f xml:space="preserve"> BaseFeat_HoE!$E$96</f>
        <v>41.948217810286785</v>
      </c>
      <c r="L6" s="44">
        <f xml:space="preserve"> BaseFeat_HoE!$E$110</f>
        <v>43.572960162509872</v>
      </c>
      <c r="M6" s="44">
        <f xml:space="preserve"> BaseFeat_HoE!$E$124</f>
        <v>50.592070362684055</v>
      </c>
      <c r="N6" s="44">
        <f xml:space="preserve"> BaseFeat_HoE!$E$138</f>
        <v>40.680349022981439</v>
      </c>
    </row>
    <row r="7" spans="1:53" x14ac:dyDescent="0.3">
      <c r="A7" s="42" t="s">
        <v>115</v>
      </c>
      <c r="B7" s="44">
        <f xml:space="preserve"> BaseFeat_HoE!$E$153</f>
        <v>45.319634159779618</v>
      </c>
      <c r="C7" s="44">
        <f xml:space="preserve"> BaseFeat_HoE!$E$13</f>
        <v>52.378930715715242</v>
      </c>
      <c r="D7" s="44">
        <f xml:space="preserve"> BaseFeat_HoE!$E$27</f>
        <v>40.441682656826565</v>
      </c>
      <c r="E7" s="44">
        <f xml:space="preserve"> BaseFeat_HoE!$E$168</f>
        <v>43.355613458706245</v>
      </c>
      <c r="F7" s="44">
        <f xml:space="preserve"> BaseFeat_HoE!$E$41</f>
        <v>42.778550250963001</v>
      </c>
      <c r="G7" s="44">
        <f xml:space="preserve"> BaseFeat_HoE!$E$55</f>
        <v>59.37554339590875</v>
      </c>
      <c r="H7" s="44">
        <f xml:space="preserve"> BaseFeat_HoE!$E$69</f>
        <v>46.627661627532966</v>
      </c>
      <c r="I7" s="44">
        <f xml:space="preserve"> BaseFeat_HoE!$E$83</f>
        <v>48.227660412563488</v>
      </c>
      <c r="J7" s="44">
        <f xml:space="preserve"> BaseFeat_HoE!$E$182</f>
        <v>49.794633999397526</v>
      </c>
      <c r="K7" s="44">
        <f xml:space="preserve"> BaseFeat_HoE!$E$97</f>
        <v>24.196482716798055</v>
      </c>
      <c r="L7" s="44">
        <f xml:space="preserve"> BaseFeat_HoE!$E$111</f>
        <v>45.515551405975394</v>
      </c>
      <c r="M7" s="44">
        <f xml:space="preserve"> BaseFeat_HoE!$E$125</f>
        <v>49.879711307137136</v>
      </c>
      <c r="N7" s="44">
        <f xml:space="preserve"> BaseFeat_HoE!$E$139</f>
        <v>19.015225137674118</v>
      </c>
    </row>
    <row r="8" spans="1:53" x14ac:dyDescent="0.3">
      <c r="A8" s="42" t="s">
        <v>116</v>
      </c>
      <c r="B8" s="44">
        <f>AVERAGE(B4:B7)</f>
        <v>49.534882883778494</v>
      </c>
      <c r="C8" s="44">
        <f t="shared" ref="C8:D8" si="0">AVERAGE(C4:C7)</f>
        <v>44.278100433527825</v>
      </c>
      <c r="D8" s="44">
        <f t="shared" si="0"/>
        <v>46.116303046625227</v>
      </c>
      <c r="E8" s="44">
        <f t="shared" ref="E8:N8" si="1">AVERAGE(E4:E7)</f>
        <v>44.118938830597912</v>
      </c>
      <c r="F8" s="44">
        <f t="shared" si="1"/>
        <v>44.441705274064397</v>
      </c>
      <c r="G8" s="44">
        <f t="shared" si="1"/>
        <v>50.105829594156411</v>
      </c>
      <c r="H8" s="44">
        <f t="shared" si="1"/>
        <v>41.13695603998012</v>
      </c>
      <c r="I8" s="44">
        <f t="shared" si="1"/>
        <v>48.861624087680362</v>
      </c>
      <c r="J8" s="44">
        <f t="shared" si="1"/>
        <v>46.630351015268651</v>
      </c>
      <c r="K8" s="44">
        <f t="shared" si="1"/>
        <v>49.690673778691981</v>
      </c>
      <c r="L8" s="44">
        <f t="shared" si="1"/>
        <v>46.568075168009727</v>
      </c>
      <c r="M8" s="44">
        <f t="shared" si="1"/>
        <v>48.998736710364724</v>
      </c>
      <c r="N8" s="44">
        <f t="shared" si="1"/>
        <v>33.621138661515189</v>
      </c>
    </row>
    <row r="19" spans="1:53" x14ac:dyDescent="0.3">
      <c r="A19" s="69" t="s">
        <v>45</v>
      </c>
      <c r="B19" s="69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</row>
    <row r="20" spans="1:53" x14ac:dyDescent="0.3">
      <c r="A20" s="43"/>
      <c r="B20" s="68" t="s">
        <v>46</v>
      </c>
      <c r="C20" s="68"/>
      <c r="D20" s="68"/>
      <c r="E20" s="68" t="s">
        <v>47</v>
      </c>
      <c r="F20" s="68"/>
      <c r="G20" s="68"/>
      <c r="H20" s="68"/>
      <c r="I20" s="68"/>
      <c r="J20" s="68" t="s">
        <v>48</v>
      </c>
      <c r="K20" s="68"/>
      <c r="L20" s="68"/>
      <c r="M20" s="68"/>
      <c r="N20" s="68"/>
    </row>
    <row r="21" spans="1:53" x14ac:dyDescent="0.3">
      <c r="A21" s="43"/>
      <c r="B21" s="43" t="s">
        <v>126</v>
      </c>
      <c r="C21" s="43" t="s">
        <v>39</v>
      </c>
      <c r="D21" s="43" t="s">
        <v>40</v>
      </c>
      <c r="E21" s="43" t="s">
        <v>121</v>
      </c>
      <c r="F21" s="43" t="s">
        <v>122</v>
      </c>
      <c r="G21" s="43" t="s">
        <v>123</v>
      </c>
      <c r="H21" s="43" t="s">
        <v>124</v>
      </c>
      <c r="I21" s="43" t="s">
        <v>125</v>
      </c>
      <c r="J21" s="43" t="s">
        <v>127</v>
      </c>
      <c r="K21" s="43" t="s">
        <v>128</v>
      </c>
      <c r="L21" s="43" t="s">
        <v>129</v>
      </c>
      <c r="M21" s="43" t="s">
        <v>130</v>
      </c>
      <c r="N21" s="43" t="s">
        <v>131</v>
      </c>
    </row>
    <row r="22" spans="1:53" x14ac:dyDescent="0.3">
      <c r="A22" s="42" t="s">
        <v>117</v>
      </c>
      <c r="B22" s="44">
        <f xml:space="preserve"> BaseFeat_ELR!$E$150</f>
        <v>48.568332476082709</v>
      </c>
      <c r="C22" s="44">
        <f xml:space="preserve"> BaseFeat_ELR!$E$10</f>
        <v>50.40999801626662</v>
      </c>
      <c r="D22" s="44">
        <f xml:space="preserve"> BaseFeat_ELR!$E$24</f>
        <v>53.249631924882628</v>
      </c>
      <c r="E22" s="44">
        <f xml:space="preserve"> BaseFeat_ELR!$E$165</f>
        <v>50.519554631828981</v>
      </c>
      <c r="F22" s="44">
        <f xml:space="preserve"> BaseFeat_ELR!$E$38</f>
        <v>49.744734144135087</v>
      </c>
      <c r="G22" s="44">
        <f xml:space="preserve"> BaseFeat_ELR!$E$52</f>
        <v>48.385999173382935</v>
      </c>
      <c r="H22" s="44">
        <f xml:space="preserve"> BaseFeat_ELR!$E$66</f>
        <v>45.633015768725372</v>
      </c>
      <c r="I22" s="44">
        <f xml:space="preserve"> BaseFeat_ELR!$E$80</f>
        <v>44.745275721074144</v>
      </c>
      <c r="J22" s="44">
        <f xml:space="preserve"> BaseFeat_ELR!$E$179</f>
        <v>46.438136047134442</v>
      </c>
      <c r="K22" s="44">
        <f xml:space="preserve"> BaseFeat_ELR!$E$94</f>
        <v>48.640361804913148</v>
      </c>
      <c r="L22" s="44">
        <f xml:space="preserve"> BaseFeat_ELR!$E$108</f>
        <v>34.496867608883761</v>
      </c>
      <c r="M22" s="44">
        <f xml:space="preserve"> BaseFeat_ELR!$E$122</f>
        <v>48.090463039867117</v>
      </c>
      <c r="N22" s="44">
        <f xml:space="preserve"> BaseFeat_ELR!$E$136</f>
        <v>12.87680780623802</v>
      </c>
    </row>
    <row r="23" spans="1:53" x14ac:dyDescent="0.3">
      <c r="A23" s="42" t="s">
        <v>118</v>
      </c>
      <c r="B23" s="44">
        <f xml:space="preserve"> BaseFeat_ELR!$E$151</f>
        <v>49.834959365907494</v>
      </c>
      <c r="C23" s="44">
        <f xml:space="preserve"> BaseFeat_ELR!$E$11</f>
        <v>52.9150850340136</v>
      </c>
      <c r="D23" s="44">
        <f xml:space="preserve"> BaseFeat_ELR!$E$25</f>
        <v>42.707450245844065</v>
      </c>
      <c r="E23" s="44">
        <f xml:space="preserve"> BaseFeat_ELR!$E$166</f>
        <v>63.241177661811669</v>
      </c>
      <c r="F23" s="44">
        <f xml:space="preserve"> BaseFeat_ELR!$E$39</f>
        <v>21.401975423139348</v>
      </c>
      <c r="G23" s="44">
        <f xml:space="preserve"> BaseFeat_ELR!$E$53</f>
        <v>26.394818195200941</v>
      </c>
      <c r="H23" s="44">
        <f xml:space="preserve"> BaseFeat_ELR!$E$67</f>
        <v>71.620900397850221</v>
      </c>
      <c r="I23" s="44">
        <f xml:space="preserve"> BaseFeat_ELR!$E$81</f>
        <v>57.910351255717622</v>
      </c>
      <c r="J23" s="44">
        <f xml:space="preserve"> BaseFeat_ELR!$E$180</f>
        <v>38.752507656498842</v>
      </c>
      <c r="K23" s="44">
        <f xml:space="preserve"> BaseFeat_ELR!$E$95</f>
        <v>29.098128190584234</v>
      </c>
      <c r="L23" s="44">
        <f xml:space="preserve"> BaseFeat_ELR!$E$109</f>
        <v>41.017345197464657</v>
      </c>
      <c r="M23" s="44">
        <f xml:space="preserve"> BaseFeat_ELR!$E$123</f>
        <v>45.672687465790915</v>
      </c>
      <c r="N23" s="44">
        <f xml:space="preserve"> BaseFeat_ELR!$E$137</f>
        <v>29.706171798116127</v>
      </c>
    </row>
    <row r="24" spans="1:53" x14ac:dyDescent="0.3">
      <c r="A24" s="42" t="s">
        <v>119</v>
      </c>
      <c r="B24" s="44">
        <f xml:space="preserve"> BaseFeat_ELR!$E$152</f>
        <v>37.403719838267897</v>
      </c>
      <c r="C24" s="44">
        <f xml:space="preserve"> BaseFeat_ELR!$E$12</f>
        <v>56.390479567414232</v>
      </c>
      <c r="D24" s="44">
        <f xml:space="preserve"> BaseFeat_ELR!$E$26</f>
        <v>35.83064601646435</v>
      </c>
      <c r="E24" s="44">
        <f xml:space="preserve"> BaseFeat_ELR!$E$167</f>
        <v>38.964999358398558</v>
      </c>
      <c r="F24" s="44">
        <f xml:space="preserve"> BaseFeat_ELR!$E$40</f>
        <v>21.527204226969904</v>
      </c>
      <c r="G24" s="44">
        <f xml:space="preserve"> BaseFeat_ELR!$E$54</f>
        <v>67.114439976169194</v>
      </c>
      <c r="H24" s="44">
        <f xml:space="preserve"> BaseFeat_ELR!$E$68</f>
        <v>61.392905537459285</v>
      </c>
      <c r="I24" s="44">
        <f xml:space="preserve"> BaseFeat_ELR!$E$82</f>
        <v>31.028776330599779</v>
      </c>
      <c r="J24" s="44">
        <f xml:space="preserve"> BaseFeat_ELR!$E$181</f>
        <v>51.804941607952905</v>
      </c>
      <c r="K24" s="44">
        <f xml:space="preserve"> BaseFeat_ELR!$E$96</f>
        <v>40.05555971546238</v>
      </c>
      <c r="L24" s="44">
        <f xml:space="preserve"> BaseFeat_ELR!$E$110</f>
        <v>77.276088221977872</v>
      </c>
      <c r="M24" s="44">
        <f xml:space="preserve"> BaseFeat_ELR!$E$124</f>
        <v>28.69892247043364</v>
      </c>
      <c r="N24" s="44">
        <f xml:space="preserve"> BaseFeat_ELR!$E$138</f>
        <v>62.164909515000403</v>
      </c>
    </row>
    <row r="25" spans="1:53" x14ac:dyDescent="0.3">
      <c r="A25" s="42" t="s">
        <v>120</v>
      </c>
      <c r="B25" s="44">
        <f xml:space="preserve"> BaseFeat_ELR!$E$153</f>
        <v>49.464321811198708</v>
      </c>
      <c r="C25" s="44">
        <f xml:space="preserve"> BaseFeat_ELR!$E$13</f>
        <v>49.789114279975898</v>
      </c>
      <c r="D25" s="44">
        <f xml:space="preserve"> BaseFeat_ELR!$E$27</f>
        <v>49.109768956743004</v>
      </c>
      <c r="E25" s="44">
        <f xml:space="preserve"> BaseFeat_ELR!$E$168</f>
        <v>48.654754569726848</v>
      </c>
      <c r="F25" s="44">
        <f xml:space="preserve"> BaseFeat_ELR!$E$41</f>
        <v>36.42647559821549</v>
      </c>
      <c r="G25" s="44">
        <f xml:space="preserve"> BaseFeat_ELR!$E$55</f>
        <v>49.88975746642614</v>
      </c>
      <c r="H25" s="44">
        <f xml:space="preserve"> BaseFeat_ELR!$E$69</f>
        <v>40.88218242201399</v>
      </c>
      <c r="I25" s="44">
        <f xml:space="preserve"> BaseFeat_ELR!$E$83</f>
        <v>50.491252599267249</v>
      </c>
      <c r="J25" s="44">
        <f xml:space="preserve"> BaseFeat_ELR!$E$182</f>
        <v>49.728534084053884</v>
      </c>
      <c r="K25" s="44">
        <f xml:space="preserve"> BaseFeat_ELR!$E$97</f>
        <v>49.884734890247564</v>
      </c>
      <c r="L25" s="44">
        <f xml:space="preserve"> BaseFeat_ELR!$E$111</f>
        <v>49.387589837028045</v>
      </c>
      <c r="M25" s="44">
        <f xml:space="preserve"> BaseFeat_ELR!$E$125</f>
        <v>49.839486356340288</v>
      </c>
      <c r="N25" s="44">
        <f xml:space="preserve"> BaseFeat_ELR!$E$139</f>
        <v>31.443849465352034</v>
      </c>
    </row>
    <row r="26" spans="1:53" x14ac:dyDescent="0.3">
      <c r="A26" s="42" t="s">
        <v>116</v>
      </c>
      <c r="B26" s="44">
        <f>AVERAGE(B22:B25)</f>
        <v>46.317833372864207</v>
      </c>
      <c r="C26" s="44">
        <f t="shared" ref="C26:N26" si="2">AVERAGE(C22:C25)</f>
        <v>52.376169224417588</v>
      </c>
      <c r="D26" s="44">
        <f t="shared" si="2"/>
        <v>45.224374285983515</v>
      </c>
      <c r="E26" s="44">
        <f t="shared" si="2"/>
        <v>50.345121555441509</v>
      </c>
      <c r="F26" s="44">
        <f t="shared" si="2"/>
        <v>32.275097348114954</v>
      </c>
      <c r="G26" s="44">
        <f t="shared" si="2"/>
        <v>47.946253702794806</v>
      </c>
      <c r="H26" s="44">
        <f t="shared" si="2"/>
        <v>54.882251031512219</v>
      </c>
      <c r="I26" s="44">
        <f t="shared" si="2"/>
        <v>46.043913976664697</v>
      </c>
      <c r="J26" s="44">
        <f t="shared" si="2"/>
        <v>46.681029848910015</v>
      </c>
      <c r="K26" s="44">
        <f t="shared" si="2"/>
        <v>41.919696150301831</v>
      </c>
      <c r="L26" s="44">
        <f t="shared" si="2"/>
        <v>50.544472716338575</v>
      </c>
      <c r="M26" s="44">
        <f t="shared" si="2"/>
        <v>43.075389833107991</v>
      </c>
      <c r="N26" s="44">
        <f t="shared" si="2"/>
        <v>34.04793464617665</v>
      </c>
    </row>
    <row r="37" spans="1:53" x14ac:dyDescent="0.3">
      <c r="A37" s="69" t="s">
        <v>66</v>
      </c>
      <c r="B37" s="69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</row>
    <row r="38" spans="1:53" x14ac:dyDescent="0.3">
      <c r="A38" s="43"/>
      <c r="B38" s="68" t="s">
        <v>67</v>
      </c>
      <c r="C38" s="68"/>
      <c r="D38" s="68"/>
      <c r="E38" s="68" t="s">
        <v>68</v>
      </c>
      <c r="F38" s="68"/>
      <c r="G38" s="68"/>
      <c r="H38" s="68" t="s">
        <v>69</v>
      </c>
      <c r="I38" s="68"/>
      <c r="J38" s="68"/>
      <c r="K38" s="68" t="s">
        <v>70</v>
      </c>
      <c r="L38" s="68"/>
      <c r="M38" s="68"/>
      <c r="N38" s="68" t="s">
        <v>71</v>
      </c>
      <c r="O38" s="68"/>
      <c r="P38" s="68"/>
      <c r="Q38" s="68" t="s">
        <v>72</v>
      </c>
      <c r="R38" s="68"/>
      <c r="S38" s="68"/>
      <c r="T38" s="68" t="s">
        <v>73</v>
      </c>
      <c r="U38" s="68"/>
      <c r="V38" s="68"/>
      <c r="W38" s="68" t="s">
        <v>74</v>
      </c>
      <c r="X38" s="68"/>
      <c r="Y38" s="68"/>
      <c r="Z38" s="68" t="s">
        <v>75</v>
      </c>
      <c r="AA38" s="68"/>
      <c r="AB38" s="68"/>
      <c r="AC38" s="68" t="s">
        <v>76</v>
      </c>
      <c r="AD38" s="68"/>
      <c r="AE38" s="68"/>
      <c r="AF38" s="68" t="s">
        <v>77</v>
      </c>
      <c r="AG38" s="68"/>
      <c r="AH38" s="68"/>
      <c r="AI38" s="68" t="s">
        <v>78</v>
      </c>
      <c r="AJ38" s="68"/>
      <c r="AK38" s="68"/>
      <c r="AL38" s="68" t="s">
        <v>79</v>
      </c>
      <c r="AM38" s="68"/>
      <c r="AN38" s="68"/>
    </row>
    <row r="39" spans="1:53" x14ac:dyDescent="0.3">
      <c r="A39" s="43"/>
      <c r="B39" s="43" t="s">
        <v>132</v>
      </c>
      <c r="C39" s="43" t="s">
        <v>133</v>
      </c>
      <c r="D39" s="43" t="s">
        <v>134</v>
      </c>
      <c r="E39" s="43" t="s">
        <v>132</v>
      </c>
      <c r="F39" s="43" t="s">
        <v>133</v>
      </c>
      <c r="G39" s="43" t="s">
        <v>134</v>
      </c>
      <c r="H39" s="43" t="s">
        <v>132</v>
      </c>
      <c r="I39" s="43" t="s">
        <v>133</v>
      </c>
      <c r="J39" s="43" t="s">
        <v>134</v>
      </c>
      <c r="K39" s="43" t="s">
        <v>132</v>
      </c>
      <c r="L39" s="43" t="s">
        <v>133</v>
      </c>
      <c r="M39" s="43" t="s">
        <v>134</v>
      </c>
      <c r="N39" s="43" t="s">
        <v>132</v>
      </c>
      <c r="O39" s="43" t="s">
        <v>133</v>
      </c>
      <c r="P39" s="43" t="s">
        <v>134</v>
      </c>
      <c r="Q39" s="43" t="s">
        <v>132</v>
      </c>
      <c r="R39" s="43" t="s">
        <v>133</v>
      </c>
      <c r="S39" s="43" t="s">
        <v>134</v>
      </c>
      <c r="T39" s="43" t="s">
        <v>132</v>
      </c>
      <c r="U39" s="43" t="s">
        <v>133</v>
      </c>
      <c r="V39" s="43" t="s">
        <v>134</v>
      </c>
      <c r="W39" s="43" t="s">
        <v>132</v>
      </c>
      <c r="X39" s="43" t="s">
        <v>133</v>
      </c>
      <c r="Y39" s="43" t="s">
        <v>134</v>
      </c>
      <c r="Z39" s="43" t="s">
        <v>132</v>
      </c>
      <c r="AA39" s="43" t="s">
        <v>133</v>
      </c>
      <c r="AB39" s="43" t="s">
        <v>134</v>
      </c>
      <c r="AC39" s="43" t="s">
        <v>132</v>
      </c>
      <c r="AD39" s="43" t="s">
        <v>133</v>
      </c>
      <c r="AE39" s="43" t="s">
        <v>134</v>
      </c>
      <c r="AF39" s="43" t="s">
        <v>132</v>
      </c>
      <c r="AG39" s="43" t="s">
        <v>133</v>
      </c>
      <c r="AH39" s="43" t="s">
        <v>134</v>
      </c>
      <c r="AI39" s="43" t="s">
        <v>132</v>
      </c>
      <c r="AJ39" s="43" t="s">
        <v>133</v>
      </c>
      <c r="AK39" s="43" t="s">
        <v>134</v>
      </c>
      <c r="AL39" s="43" t="s">
        <v>132</v>
      </c>
      <c r="AM39" s="43" t="s">
        <v>133</v>
      </c>
      <c r="AN39" s="43" t="s">
        <v>134</v>
      </c>
    </row>
    <row r="40" spans="1:53" x14ac:dyDescent="0.3">
      <c r="A40" s="42" t="s">
        <v>112</v>
      </c>
      <c r="B40" s="44">
        <f xml:space="preserve"> BaseFeat_HoE!$E$150</f>
        <v>53.519998131539616</v>
      </c>
      <c r="C40" s="44">
        <f xml:space="preserve"> BaseFeat_HoE!$J$150</f>
        <v>49.179926799511996</v>
      </c>
      <c r="D40" s="44">
        <f xml:space="preserve"> BaseFeat_HoE!$O$150</f>
        <v>49.939999999999991</v>
      </c>
      <c r="E40" s="44">
        <f xml:space="preserve"> BaseFeat_HoE!$E$10</f>
        <v>44.224999434708877</v>
      </c>
      <c r="F40" s="44">
        <f xml:space="preserve"> BaseFeat_HoE!$J$10</f>
        <v>45.499997802197797</v>
      </c>
      <c r="G40" s="44">
        <f xml:space="preserve"> BaseFeat_HoE!$O$10</f>
        <v>50.98499558693733</v>
      </c>
      <c r="H40" s="44">
        <f xml:space="preserve"> BaseFeat_HoE!$E$24</f>
        <v>48.883669837373425</v>
      </c>
      <c r="I40" s="44">
        <f xml:space="preserve"> BaseFeat_HoE!$J$24</f>
        <v>42.960297743661314</v>
      </c>
      <c r="J40" s="44">
        <f xml:space="preserve"> BaseFeat_HoE!$O$24</f>
        <v>40.78492583057497</v>
      </c>
      <c r="K40" s="44">
        <f xml:space="preserve"> BaseFeat_HoE!$E$165</f>
        <v>32.445166051660522</v>
      </c>
      <c r="L40" s="44">
        <f xml:space="preserve"> BaseFeat_HoE!$J$165</f>
        <v>41.18489741410707</v>
      </c>
      <c r="M40" s="44">
        <f xml:space="preserve"> BaseFeat_HoE!$O$165</f>
        <v>44.524999438517689</v>
      </c>
      <c r="N40" s="44">
        <f xml:space="preserve"> BaseFeat_HoE!$E$38</f>
        <v>39.841874059207228</v>
      </c>
      <c r="O40" s="44">
        <f xml:space="preserve"> BaseFeat_HoE!$J$38</f>
        <v>26.362271269571778</v>
      </c>
      <c r="P40" s="44">
        <f xml:space="preserve"> BaseFeat_HoE!$O$38</f>
        <v>38.362071567989588</v>
      </c>
      <c r="Q40" s="44">
        <f xml:space="preserve"> BaseFeat_HoE!$E$52</f>
        <v>55.419922807647431</v>
      </c>
      <c r="R40" s="44">
        <f xml:space="preserve"> BaseFeat_HoE!$J$52</f>
        <v>28.287604938271603</v>
      </c>
      <c r="S40" s="44">
        <f xml:space="preserve"> BaseFeat_HoE!$O$52</f>
        <v>40.673863552550706</v>
      </c>
      <c r="T40" s="44">
        <f xml:space="preserve"> BaseFeat_HoE!$E$66</f>
        <v>31.42230146756275</v>
      </c>
      <c r="U40" s="44">
        <f xml:space="preserve"> BaseFeat_HoE!$J$66</f>
        <v>35.140744584252168</v>
      </c>
      <c r="V40" s="44">
        <f xml:space="preserve"> BaseFeat_HoE!$O$66</f>
        <v>43.984749346368083</v>
      </c>
      <c r="W40" s="44">
        <f xml:space="preserve"> BaseFeat_HoE!$E$80</f>
        <v>23.931233835387189</v>
      </c>
      <c r="X40" s="44">
        <f xml:space="preserve"> BaseFeat_HoE!$J$80</f>
        <v>50.470716196136706</v>
      </c>
      <c r="Y40" s="44">
        <f xml:space="preserve"> BaseFeat_HoE!$O$80</f>
        <v>40.666903999050668</v>
      </c>
      <c r="Z40" s="44">
        <f xml:space="preserve"> BaseFeat_HoE!$E$179</f>
        <v>25.042553191489361</v>
      </c>
      <c r="AA40" s="44">
        <f xml:space="preserve"> BaseFeat_HoE!$J$179</f>
        <v>46.38499514929395</v>
      </c>
      <c r="AB40" s="44">
        <f xml:space="preserve"> BaseFeat_HoE!$O$179</f>
        <v>42.864112912632685</v>
      </c>
      <c r="AC40" s="44">
        <f xml:space="preserve"> BaseFeat_HoE!$E$94</f>
        <v>69.588239689610575</v>
      </c>
      <c r="AD40" s="44">
        <f xml:space="preserve"> BaseFeat_HoE!$J$94</f>
        <v>46.711694734598176</v>
      </c>
      <c r="AE40" s="44">
        <f xml:space="preserve"> BaseFeat_HoE!$O$94</f>
        <v>30.405971719829004</v>
      </c>
      <c r="AF40" s="44">
        <f xml:space="preserve"> BaseFeat_HoE!$E$108</f>
        <v>41.204139228598308</v>
      </c>
      <c r="AG40" s="44">
        <f xml:space="preserve"> BaseFeat_HoE!$J$108</f>
        <v>23.747459685863873</v>
      </c>
      <c r="AH40" s="44">
        <f xml:space="preserve"> BaseFeat_HoE!$O$108</f>
        <v>23.029556650246302</v>
      </c>
      <c r="AI40" s="44">
        <f xml:space="preserve"> BaseFeat_HoE!$E$122</f>
        <v>47.753396029258099</v>
      </c>
      <c r="AJ40" s="44">
        <f xml:space="preserve"> BaseFeat_HoE!$J$122</f>
        <v>47.753396029258099</v>
      </c>
      <c r="AK40" s="44">
        <f xml:space="preserve"> BaseFeat_HoE!$O$122</f>
        <v>47.753396029258099</v>
      </c>
      <c r="AL40" s="44">
        <f xml:space="preserve"> BaseFeat_HoE!$E$136</f>
        <v>47.834999477370133</v>
      </c>
      <c r="AM40" s="44">
        <f xml:space="preserve"> BaseFeat_HoE!$J$136</f>
        <v>51.073625061184536</v>
      </c>
      <c r="AN40" s="44">
        <f xml:space="preserve"> BaseFeat_HoE!$O$136</f>
        <v>34.529265418357994</v>
      </c>
    </row>
    <row r="41" spans="1:53" x14ac:dyDescent="0.3">
      <c r="A41" s="42" t="s">
        <v>113</v>
      </c>
      <c r="B41" s="44">
        <f xml:space="preserve"> BaseFeat_HoE!$E$151</f>
        <v>50.769950758321848</v>
      </c>
      <c r="C41" s="44">
        <f xml:space="preserve"> BaseFeat_HoE!$J$151</f>
        <v>48.224364955935719</v>
      </c>
      <c r="D41" s="44">
        <f xml:space="preserve"> BaseFeat_HoE!$O$151</f>
        <v>49.374987341772147</v>
      </c>
      <c r="E41" s="44">
        <f xml:space="preserve"> BaseFeat_HoE!$E$11</f>
        <v>49.59499949591693</v>
      </c>
      <c r="F41" s="44">
        <f xml:space="preserve"> BaseFeat_HoE!$J$11</f>
        <v>41.763045297000126</v>
      </c>
      <c r="G41" s="44">
        <f xml:space="preserve"> BaseFeat_HoE!$O$11</f>
        <v>48.629948591404478</v>
      </c>
      <c r="H41" s="44">
        <f xml:space="preserve"> BaseFeat_HoE!$E$25</f>
        <v>58.679829584185406</v>
      </c>
      <c r="I41" s="44">
        <f xml:space="preserve"> BaseFeat_HoE!$J$25</f>
        <v>61.575940240337772</v>
      </c>
      <c r="J41" s="44">
        <f xml:space="preserve"> BaseFeat_HoE!$O$25</f>
        <v>67.636659275683655</v>
      </c>
      <c r="K41" s="44">
        <f xml:space="preserve"> BaseFeat_HoE!$E$166</f>
        <v>50.03</v>
      </c>
      <c r="L41" s="44">
        <f xml:space="preserve"> BaseFeat_HoE!$J$166</f>
        <v>50.759998029944839</v>
      </c>
      <c r="M41" s="44">
        <f xml:space="preserve"> BaseFeat_HoE!$O$166</f>
        <v>43.454458884416333</v>
      </c>
      <c r="N41" s="44">
        <f xml:space="preserve"> BaseFeat_HoE!$E$39</f>
        <v>59.521182199832083</v>
      </c>
      <c r="O41" s="44">
        <f xml:space="preserve"> BaseFeat_HoE!$J$39</f>
        <v>44.413563090605898</v>
      </c>
      <c r="P41" s="44">
        <f xml:space="preserve"> BaseFeat_HoE!$O$39</f>
        <v>44.413563090605898</v>
      </c>
      <c r="Q41" s="44">
        <f xml:space="preserve"> BaseFeat_HoE!$E$53</f>
        <v>43.337916808341838</v>
      </c>
      <c r="R41" s="44">
        <f xml:space="preserve"> BaseFeat_HoE!$J$53</f>
        <v>38.79723853683668</v>
      </c>
      <c r="S41" s="44">
        <f xml:space="preserve"> BaseFeat_HoE!$O$53</f>
        <v>44.19</v>
      </c>
      <c r="T41" s="44">
        <f xml:space="preserve"> BaseFeat_HoE!$E$67</f>
        <v>35.572861555742769</v>
      </c>
      <c r="U41" s="44">
        <f xml:space="preserve"> BaseFeat_HoE!$J$67</f>
        <v>41.684161418241189</v>
      </c>
      <c r="V41" s="44">
        <f xml:space="preserve"> BaseFeat_HoE!$O$67</f>
        <v>41.684161418241189</v>
      </c>
      <c r="W41" s="44">
        <f xml:space="preserve"> BaseFeat_HoE!$E$81</f>
        <v>53.997607875609532</v>
      </c>
      <c r="X41" s="44">
        <f xml:space="preserve"> BaseFeat_HoE!$J$81</f>
        <v>27.272033619587063</v>
      </c>
      <c r="Y41" s="44">
        <f xml:space="preserve"> BaseFeat_HoE!$O$81</f>
        <v>29.695161828495166</v>
      </c>
      <c r="Z41" s="44">
        <f xml:space="preserve"> BaseFeat_HoE!$E$180</f>
        <v>62.314508545294075</v>
      </c>
      <c r="AA41" s="44">
        <f xml:space="preserve"> BaseFeat_HoE!$J$180</f>
        <v>45.499206593406598</v>
      </c>
      <c r="AB41" s="44">
        <f xml:space="preserve"> BaseFeat_HoE!$O$180</f>
        <v>48.494851015568614</v>
      </c>
      <c r="AC41" s="44">
        <f xml:space="preserve"> BaseFeat_HoE!$E$95</f>
        <v>63.029754898072504</v>
      </c>
      <c r="AD41" s="44">
        <f xml:space="preserve"> BaseFeat_HoE!$J$95</f>
        <v>35.525467440361062</v>
      </c>
      <c r="AE41" s="44">
        <f xml:space="preserve"> BaseFeat_HoE!$O$95</f>
        <v>30.986887508626637</v>
      </c>
      <c r="AF41" s="44">
        <f xml:space="preserve"> BaseFeat_HoE!$E$109</f>
        <v>55.979649874955335</v>
      </c>
      <c r="AG41" s="44">
        <f xml:space="preserve"> BaseFeat_HoE!$J$109</f>
        <v>34.05433922447903</v>
      </c>
      <c r="AH41" s="44">
        <f xml:space="preserve"> BaseFeat_HoE!$O$109</f>
        <v>34.05433922447903</v>
      </c>
      <c r="AI41" s="44">
        <f xml:space="preserve"> BaseFeat_HoE!$E$123</f>
        <v>47.769769142379616</v>
      </c>
      <c r="AJ41" s="44">
        <f xml:space="preserve"> BaseFeat_HoE!$J$123</f>
        <v>47.769769142379616</v>
      </c>
      <c r="AK41" s="44">
        <f xml:space="preserve"> BaseFeat_HoE!$O$123</f>
        <v>47.769769142379616</v>
      </c>
      <c r="AL41" s="44">
        <f xml:space="preserve"> BaseFeat_HoE!$E$137</f>
        <v>26.953981008035061</v>
      </c>
      <c r="AM41" s="44">
        <f xml:space="preserve"> BaseFeat_HoE!$J$137</f>
        <v>35.586940151728008</v>
      </c>
      <c r="AN41" s="44">
        <f xml:space="preserve"> BaseFeat_HoE!$O$137</f>
        <v>34.457600464239079</v>
      </c>
    </row>
    <row r="42" spans="1:53" x14ac:dyDescent="0.3">
      <c r="A42" s="42" t="s">
        <v>114</v>
      </c>
      <c r="B42" s="44">
        <f xml:space="preserve"> BaseFeat_HoE!$E$152</f>
        <v>48.5299484854729</v>
      </c>
      <c r="C42" s="44">
        <f xml:space="preserve"> BaseFeat_HoE!$J$152</f>
        <v>43.699990846681921</v>
      </c>
      <c r="D42" s="44">
        <f xml:space="preserve"> BaseFeat_HoE!$O$152</f>
        <v>51.634999515832284</v>
      </c>
      <c r="E42" s="44">
        <f xml:space="preserve"> BaseFeat_HoE!$E$12</f>
        <v>30.913472087770248</v>
      </c>
      <c r="F42" s="44">
        <f xml:space="preserve"> BaseFeat_HoE!$J$12</f>
        <v>43.909997722614442</v>
      </c>
      <c r="G42" s="44">
        <f xml:space="preserve"> BaseFeat_HoE!$O$12</f>
        <v>42.929403680409969</v>
      </c>
      <c r="H42" s="44">
        <f xml:space="preserve"> BaseFeat_HoE!$E$26</f>
        <v>36.460030108115511</v>
      </c>
      <c r="I42" s="44">
        <f xml:space="preserve"> BaseFeat_HoE!$J$26</f>
        <v>47.341704509451894</v>
      </c>
      <c r="J42" s="44">
        <f xml:space="preserve"> BaseFeat_HoE!$O$26</f>
        <v>58.730484378990376</v>
      </c>
      <c r="K42" s="44">
        <f xml:space="preserve"> BaseFeat_HoE!$E$167</f>
        <v>50.644975812024882</v>
      </c>
      <c r="L42" s="44">
        <f xml:space="preserve"> BaseFeat_HoE!$J$167</f>
        <v>51.584960744402444</v>
      </c>
      <c r="M42" s="44">
        <f xml:space="preserve"> BaseFeat_HoE!$O$167</f>
        <v>46.27346369922212</v>
      </c>
      <c r="N42" s="44">
        <f xml:space="preserve"> BaseFeat_HoE!$E$40</f>
        <v>35.625214586255261</v>
      </c>
      <c r="O42" s="44">
        <f xml:space="preserve"> BaseFeat_HoE!$J$40</f>
        <v>42.961441934747889</v>
      </c>
      <c r="P42" s="44">
        <f xml:space="preserve"> BaseFeat_HoE!$O$40</f>
        <v>35.408172710596865</v>
      </c>
      <c r="Q42" s="44">
        <f xml:space="preserve"> BaseFeat_HoE!$E$54</f>
        <v>42.289935364727611</v>
      </c>
      <c r="R42" s="44">
        <f xml:space="preserve"> BaseFeat_HoE!$J$54</f>
        <v>23.353977758768178</v>
      </c>
      <c r="S42" s="44">
        <f xml:space="preserve"> BaseFeat_HoE!$O$54</f>
        <v>26.150222222222222</v>
      </c>
      <c r="T42" s="44">
        <f xml:space="preserve"> BaseFeat_HoE!$E$68</f>
        <v>50.924999509081985</v>
      </c>
      <c r="U42" s="44">
        <f xml:space="preserve"> BaseFeat_HoE!$J$68</f>
        <v>37.5</v>
      </c>
      <c r="V42" s="44">
        <f xml:space="preserve"> BaseFeat_HoE!$O$68</f>
        <v>51.124995599022007</v>
      </c>
      <c r="W42" s="44">
        <f xml:space="preserve"> BaseFeat_HoE!$E$82</f>
        <v>69.289994227161216</v>
      </c>
      <c r="X42" s="44">
        <f xml:space="preserve"> BaseFeat_HoE!$J$82</f>
        <v>30.294933157286678</v>
      </c>
      <c r="Y42" s="44">
        <f xml:space="preserve"> BaseFeat_HoE!$O$82</f>
        <v>35.425545654139221</v>
      </c>
      <c r="Z42" s="44">
        <f xml:space="preserve"> BaseFeat_HoE!$E$181</f>
        <v>49.369708324893658</v>
      </c>
      <c r="AA42" s="44">
        <f xml:space="preserve"> BaseFeat_HoE!$J$181</f>
        <v>58.598805664562363</v>
      </c>
      <c r="AB42" s="44">
        <f xml:space="preserve"> BaseFeat_HoE!$O$181</f>
        <v>53.689908735332466</v>
      </c>
      <c r="AC42" s="44">
        <f xml:space="preserve"> BaseFeat_HoE!$E$96</f>
        <v>41.948217810286785</v>
      </c>
      <c r="AD42" s="44">
        <f xml:space="preserve"> BaseFeat_HoE!$J$96</f>
        <v>32.279081064356433</v>
      </c>
      <c r="AE42" s="44">
        <f xml:space="preserve"> BaseFeat_HoE!$O$96</f>
        <v>41.948217810286785</v>
      </c>
      <c r="AF42" s="44">
        <f xml:space="preserve"> BaseFeat_HoE!$E$110</f>
        <v>43.572960162509872</v>
      </c>
      <c r="AG42" s="44">
        <f xml:space="preserve"> BaseFeat_HoE!$J$110</f>
        <v>18.659644850329784</v>
      </c>
      <c r="AH42" s="44">
        <f xml:space="preserve"> BaseFeat_HoE!$O$110</f>
        <v>43.518424502712477</v>
      </c>
      <c r="AI42" s="44">
        <f xml:space="preserve"> BaseFeat_HoE!$E$124</f>
        <v>50.592070362684055</v>
      </c>
      <c r="AJ42" s="44">
        <f xml:space="preserve"> BaseFeat_HoE!$J$124</f>
        <v>47.017060506516898</v>
      </c>
      <c r="AK42" s="44">
        <f xml:space="preserve"> BaseFeat_HoE!$O$124</f>
        <v>47.017060506516898</v>
      </c>
      <c r="AL42" s="44">
        <f xml:space="preserve"> BaseFeat_HoE!$E$138</f>
        <v>40.680349022981439</v>
      </c>
      <c r="AM42" s="44">
        <f xml:space="preserve"> BaseFeat_HoE!$J$138</f>
        <v>39.551996131060328</v>
      </c>
      <c r="AN42" s="44">
        <f xml:space="preserve"> BaseFeat_HoE!$O$138</f>
        <v>39.562432007736007</v>
      </c>
    </row>
    <row r="43" spans="1:53" x14ac:dyDescent="0.3">
      <c r="A43" s="42" t="s">
        <v>115</v>
      </c>
      <c r="B43" s="44">
        <f xml:space="preserve"> BaseFeat_HoE!$E$153</f>
        <v>45.319634159779618</v>
      </c>
      <c r="C43" s="44">
        <f xml:space="preserve"> BaseFeat_HoE!$J$153</f>
        <v>44.970140409065785</v>
      </c>
      <c r="D43" s="44">
        <f xml:space="preserve"> BaseFeat_HoE!$O$153</f>
        <v>57.20242424242425</v>
      </c>
      <c r="E43" s="44">
        <f xml:space="preserve"> BaseFeat_HoE!$E$13</f>
        <v>52.378930715715242</v>
      </c>
      <c r="F43" s="44">
        <f xml:space="preserve"> BaseFeat_HoE!$J$13</f>
        <v>43.72155560558307</v>
      </c>
      <c r="G43" s="44">
        <f xml:space="preserve"> BaseFeat_HoE!$O$13</f>
        <v>54.913224690458847</v>
      </c>
      <c r="H43" s="44">
        <f xml:space="preserve"> BaseFeat_HoE!$E$27</f>
        <v>40.441682656826565</v>
      </c>
      <c r="I43" s="44">
        <f xml:space="preserve"> BaseFeat_HoE!$J$27</f>
        <v>40.082454477425792</v>
      </c>
      <c r="J43" s="44">
        <f xml:space="preserve"> BaseFeat_HoE!$O$27</f>
        <v>56.340480709534361</v>
      </c>
      <c r="K43" s="44">
        <f xml:space="preserve"> BaseFeat_HoE!$E$168</f>
        <v>43.355613458706245</v>
      </c>
      <c r="L43" s="44">
        <f xml:space="preserve"> BaseFeat_HoE!$J$168</f>
        <v>63.84701619901648</v>
      </c>
      <c r="M43" s="44">
        <f xml:space="preserve"> BaseFeat_HoE!$O$168</f>
        <v>46.473163495646553</v>
      </c>
      <c r="N43" s="44">
        <f xml:space="preserve"> BaseFeat_HoE!$E$41</f>
        <v>42.778550250963001</v>
      </c>
      <c r="O43" s="44">
        <f xml:space="preserve"> BaseFeat_HoE!$J$41</f>
        <v>45.498146936995852</v>
      </c>
      <c r="P43" s="44">
        <f xml:space="preserve"> BaseFeat_HoE!$O$41</f>
        <v>45.48806585259485</v>
      </c>
      <c r="Q43" s="44">
        <f xml:space="preserve"> BaseFeat_HoE!$E$55</f>
        <v>59.37554339590875</v>
      </c>
      <c r="R43" s="44">
        <f xml:space="preserve"> BaseFeat_HoE!$J$55</f>
        <v>40.460224635892374</v>
      </c>
      <c r="S43" s="44">
        <f xml:space="preserve"> BaseFeat_HoE!$O$55</f>
        <v>40.541779640128169</v>
      </c>
      <c r="T43" s="44">
        <f xml:space="preserve"> BaseFeat_HoE!$E$69</f>
        <v>46.627661627532966</v>
      </c>
      <c r="U43" s="44">
        <f xml:space="preserve"> BaseFeat_HoE!$J$69</f>
        <v>45.024738867509626</v>
      </c>
      <c r="V43" s="44">
        <f xml:space="preserve"> BaseFeat_HoE!$O$69</f>
        <v>45.024738867509626</v>
      </c>
      <c r="W43" s="44">
        <f xml:space="preserve"> BaseFeat_HoE!$E$83</f>
        <v>48.227660412563488</v>
      </c>
      <c r="X43" s="44">
        <f xml:space="preserve"> BaseFeat_HoE!$J$83</f>
        <v>46.706459177147735</v>
      </c>
      <c r="Y43" s="44">
        <f xml:space="preserve"> BaseFeat_HoE!$O$83</f>
        <v>46.706459177147735</v>
      </c>
      <c r="Z43" s="44">
        <f xml:space="preserve"> BaseFeat_HoE!$E$182</f>
        <v>49.794633999397526</v>
      </c>
      <c r="AA43" s="44">
        <f xml:space="preserve"> BaseFeat_HoE!$J$182</f>
        <v>52.870011316484344</v>
      </c>
      <c r="AB43" s="44">
        <f xml:space="preserve"> BaseFeat_HoE!$O$182</f>
        <v>57.913497366830697</v>
      </c>
      <c r="AC43" s="44">
        <f xml:space="preserve"> BaseFeat_HoE!$E$97</f>
        <v>24.196482716798055</v>
      </c>
      <c r="AD43" s="44">
        <f xml:space="preserve"> BaseFeat_HoE!$J$97</f>
        <v>40.504521656354122</v>
      </c>
      <c r="AE43" s="44">
        <f xml:space="preserve"> BaseFeat_HoE!$O$97</f>
        <v>40.504521656354122</v>
      </c>
      <c r="AF43" s="44">
        <f xml:space="preserve"> BaseFeat_HoE!$E$111</f>
        <v>45.515551405975394</v>
      </c>
      <c r="AG43" s="44">
        <f xml:space="preserve"> BaseFeat_HoE!$J$111</f>
        <v>41.731732898263601</v>
      </c>
      <c r="AH43" s="44">
        <f xml:space="preserve"> BaseFeat_HoE!$O$111</f>
        <v>41.731732898263601</v>
      </c>
      <c r="AI43" s="44">
        <f xml:space="preserve"> BaseFeat_HoE!$E$125</f>
        <v>49.879711307137136</v>
      </c>
      <c r="AJ43" s="44">
        <f xml:space="preserve"> BaseFeat_HoE!$J$125</f>
        <v>49.879711307137136</v>
      </c>
      <c r="AK43" s="44">
        <f xml:space="preserve"> BaseFeat_HoE!$O$125</f>
        <v>49.879711307137136</v>
      </c>
      <c r="AL43" s="44">
        <f xml:space="preserve"> BaseFeat_HoE!$E$139</f>
        <v>19.015225137674118</v>
      </c>
      <c r="AM43" s="44">
        <f xml:space="preserve"> BaseFeat_HoE!$J$139</f>
        <v>43.349195558576938</v>
      </c>
      <c r="AN43" s="44">
        <f xml:space="preserve"> BaseFeat_HoE!$O$139</f>
        <v>43.349195558576938</v>
      </c>
    </row>
    <row r="44" spans="1:53" x14ac:dyDescent="0.3">
      <c r="A44" s="42" t="s">
        <v>116</v>
      </c>
      <c r="B44" s="44">
        <f>AVERAGE(B40:B43)</f>
        <v>49.534882883778494</v>
      </c>
      <c r="C44" s="44">
        <f t="shared" ref="C44:M44" si="3">AVERAGE(C40:C43)</f>
        <v>46.518605752798855</v>
      </c>
      <c r="D44" s="44">
        <f t="shared" si="3"/>
        <v>52.038102775007168</v>
      </c>
      <c r="E44" s="44">
        <f t="shared" si="3"/>
        <v>44.278100433527825</v>
      </c>
      <c r="F44" s="44">
        <f t="shared" si="3"/>
        <v>43.723649106848853</v>
      </c>
      <c r="G44" s="44">
        <f t="shared" si="3"/>
        <v>49.364393137302656</v>
      </c>
      <c r="H44" s="44">
        <f t="shared" si="3"/>
        <v>46.116303046625227</v>
      </c>
      <c r="I44" s="44">
        <f t="shared" si="3"/>
        <v>47.990099242719189</v>
      </c>
      <c r="J44" s="44">
        <f t="shared" si="3"/>
        <v>55.873137548695837</v>
      </c>
      <c r="K44" s="44">
        <f t="shared" si="3"/>
        <v>44.118938830597912</v>
      </c>
      <c r="L44" s="44">
        <f t="shared" si="3"/>
        <v>51.844218096867706</v>
      </c>
      <c r="M44" s="44">
        <f t="shared" si="3"/>
        <v>45.181521379450679</v>
      </c>
      <c r="N44" s="44">
        <f t="shared" ref="N44:AN44" si="4">AVERAGE(N40:N43)</f>
        <v>44.441705274064397</v>
      </c>
      <c r="O44" s="44">
        <f t="shared" si="4"/>
        <v>39.808855807980351</v>
      </c>
      <c r="P44" s="44">
        <f t="shared" si="4"/>
        <v>40.917968305446799</v>
      </c>
      <c r="Q44" s="44">
        <f t="shared" si="4"/>
        <v>50.105829594156411</v>
      </c>
      <c r="R44" s="44">
        <f t="shared" si="4"/>
        <v>32.724761467442207</v>
      </c>
      <c r="S44" s="44">
        <f t="shared" si="4"/>
        <v>37.888966353725273</v>
      </c>
      <c r="T44" s="44">
        <f t="shared" si="4"/>
        <v>41.13695603998012</v>
      </c>
      <c r="U44" s="44">
        <f t="shared" si="4"/>
        <v>39.837411217500744</v>
      </c>
      <c r="V44" s="44">
        <f t="shared" si="4"/>
        <v>45.45466130778523</v>
      </c>
      <c r="W44" s="44">
        <f t="shared" si="4"/>
        <v>48.861624087680362</v>
      </c>
      <c r="X44" s="44">
        <f t="shared" si="4"/>
        <v>38.686035537539546</v>
      </c>
      <c r="Y44" s="44">
        <f t="shared" si="4"/>
        <v>38.123517664708196</v>
      </c>
      <c r="Z44" s="44">
        <f t="shared" si="4"/>
        <v>46.630351015268651</v>
      </c>
      <c r="AA44" s="44">
        <f t="shared" si="4"/>
        <v>50.838254680936814</v>
      </c>
      <c r="AB44" s="44">
        <f t="shared" si="4"/>
        <v>50.740592507591117</v>
      </c>
      <c r="AC44" s="44">
        <f t="shared" si="4"/>
        <v>49.690673778691981</v>
      </c>
      <c r="AD44" s="44">
        <f t="shared" si="4"/>
        <v>38.75519122391745</v>
      </c>
      <c r="AE44" s="44">
        <f t="shared" si="4"/>
        <v>35.961399673774139</v>
      </c>
      <c r="AF44" s="44">
        <f t="shared" si="4"/>
        <v>46.568075168009727</v>
      </c>
      <c r="AG44" s="44">
        <f t="shared" si="4"/>
        <v>29.548294164734074</v>
      </c>
      <c r="AH44" s="44">
        <f t="shared" si="4"/>
        <v>35.583513318925355</v>
      </c>
      <c r="AI44" s="44">
        <f t="shared" si="4"/>
        <v>48.998736710364724</v>
      </c>
      <c r="AJ44" s="44">
        <f t="shared" si="4"/>
        <v>48.104984246322942</v>
      </c>
      <c r="AK44" s="44">
        <f t="shared" si="4"/>
        <v>48.104984246322942</v>
      </c>
      <c r="AL44" s="44">
        <f t="shared" si="4"/>
        <v>33.621138661515189</v>
      </c>
      <c r="AM44" s="44">
        <f t="shared" si="4"/>
        <v>42.390439225637451</v>
      </c>
      <c r="AN44" s="44">
        <f t="shared" si="4"/>
        <v>37.974623362227504</v>
      </c>
    </row>
    <row r="45" spans="1:53" x14ac:dyDescent="0.3"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</row>
    <row r="46" spans="1:53" x14ac:dyDescent="0.3">
      <c r="A46" s="42" t="str">
        <f xml:space="preserve"> $B38</f>
        <v>BaseFeat_HoE_Sex-merged</v>
      </c>
      <c r="B46" s="44"/>
      <c r="C46" s="44"/>
      <c r="D46" s="44"/>
      <c r="E46" s="44"/>
      <c r="F46" s="44"/>
      <c r="G46" s="44"/>
      <c r="H46" s="44"/>
      <c r="I46" s="44" t="str">
        <f xml:space="preserve"> $E38</f>
        <v>BaseFeat_HoE_Female</v>
      </c>
      <c r="J46" s="44"/>
      <c r="K46" s="44"/>
      <c r="L46" s="44"/>
      <c r="M46" s="44"/>
      <c r="N46" s="44"/>
      <c r="O46" s="44"/>
      <c r="P46" s="44"/>
      <c r="Q46" s="44" t="str">
        <f xml:space="preserve"> $H38</f>
        <v>BaseFeat_HoE_Male</v>
      </c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</row>
    <row r="47" spans="1:53" x14ac:dyDescent="0.3"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</row>
    <row r="48" spans="1:53" x14ac:dyDescent="0.3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</row>
    <row r="49" spans="1:40" x14ac:dyDescent="0.3"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</row>
    <row r="50" spans="1:40" x14ac:dyDescent="0.3"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</row>
    <row r="51" spans="1:40" x14ac:dyDescent="0.3"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</row>
    <row r="52" spans="1:40" x14ac:dyDescent="0.3"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</row>
    <row r="53" spans="1:40" x14ac:dyDescent="0.3"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</row>
    <row r="54" spans="1:40" x14ac:dyDescent="0.3"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</row>
    <row r="55" spans="1:40" x14ac:dyDescent="0.3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</row>
    <row r="56" spans="1:40" x14ac:dyDescent="0.3"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</row>
    <row r="57" spans="1:40" x14ac:dyDescent="0.3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</row>
    <row r="58" spans="1:40" x14ac:dyDescent="0.3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</row>
    <row r="59" spans="1:40" x14ac:dyDescent="0.3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</row>
    <row r="60" spans="1:40" x14ac:dyDescent="0.3"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</row>
    <row r="61" spans="1:40" x14ac:dyDescent="0.3"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</row>
    <row r="62" spans="1:40" x14ac:dyDescent="0.3"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</row>
    <row r="63" spans="1:40" x14ac:dyDescent="0.3">
      <c r="A63" s="42" t="str">
        <f xml:space="preserve"> $K38</f>
        <v>BaseFeat_HoE_RP-merged</v>
      </c>
      <c r="B63" s="44"/>
      <c r="C63" s="44"/>
      <c r="D63" s="44"/>
      <c r="E63" s="44"/>
      <c r="F63" s="44"/>
      <c r="G63" s="44"/>
      <c r="H63" s="44"/>
      <c r="I63" s="44" t="str">
        <f xml:space="preserve"> $N38</f>
        <v>BaseFeat_HoE_RP1</v>
      </c>
      <c r="J63" s="44"/>
      <c r="K63" s="44"/>
      <c r="L63" s="44"/>
      <c r="M63" s="44"/>
      <c r="N63" s="44"/>
      <c r="O63" s="44"/>
      <c r="P63" s="44"/>
      <c r="Q63" s="44" t="str">
        <f xml:space="preserve"> $Q38</f>
        <v>BaseFeat_HoE_RP2</v>
      </c>
      <c r="R63" s="44"/>
      <c r="S63" s="44"/>
      <c r="T63" s="44"/>
      <c r="U63" s="44"/>
      <c r="V63" s="44"/>
      <c r="W63" s="44"/>
      <c r="X63" s="44"/>
      <c r="Y63" s="44" t="str">
        <f xml:space="preserve"> $T38</f>
        <v>BaseFeat_HoE_RP3</v>
      </c>
      <c r="Z63" s="44"/>
      <c r="AA63" s="44"/>
      <c r="AB63" s="44"/>
      <c r="AC63" s="44"/>
      <c r="AD63" s="44"/>
      <c r="AE63" s="44"/>
      <c r="AF63" s="44"/>
      <c r="AG63" s="44" t="str">
        <f xml:space="preserve"> $W38</f>
        <v>BaseFeat_HoE_RP4</v>
      </c>
      <c r="AH63" s="44"/>
      <c r="AI63" s="44"/>
      <c r="AJ63" s="44"/>
      <c r="AK63" s="44"/>
      <c r="AL63" s="44"/>
      <c r="AM63" s="44"/>
      <c r="AN63" s="44"/>
    </row>
    <row r="64" spans="1:40" x14ac:dyDescent="0.3"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</row>
    <row r="65" spans="1:40" x14ac:dyDescent="0.3"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</row>
    <row r="66" spans="1:40" x14ac:dyDescent="0.3"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</row>
    <row r="67" spans="1:40" x14ac:dyDescent="0.3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</row>
    <row r="68" spans="1:40" x14ac:dyDescent="0.3"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</row>
    <row r="69" spans="1:40" x14ac:dyDescent="0.3"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</row>
    <row r="70" spans="1:40" x14ac:dyDescent="0.3"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</row>
    <row r="71" spans="1:40" x14ac:dyDescent="0.3"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</row>
    <row r="72" spans="1:40" x14ac:dyDescent="0.3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</row>
    <row r="73" spans="1:40" x14ac:dyDescent="0.3"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</row>
    <row r="74" spans="1:40" x14ac:dyDescent="0.3"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</row>
    <row r="75" spans="1:40" x14ac:dyDescent="0.3"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</row>
    <row r="76" spans="1:40" x14ac:dyDescent="0.3"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</row>
    <row r="77" spans="1:40" x14ac:dyDescent="0.3"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</row>
    <row r="78" spans="1:40" x14ac:dyDescent="0.3"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</row>
    <row r="79" spans="1:40" x14ac:dyDescent="0.3"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</row>
    <row r="80" spans="1:40" x14ac:dyDescent="0.3">
      <c r="A80" s="42" t="str">
        <f xml:space="preserve"> $Z38</f>
        <v>BaseFeat_HoE_RF-merged</v>
      </c>
      <c r="B80" s="44"/>
      <c r="C80" s="44"/>
      <c r="D80" s="44"/>
      <c r="E80" s="44"/>
      <c r="F80" s="44"/>
      <c r="G80" s="44"/>
      <c r="H80" s="44"/>
      <c r="I80" s="44" t="str">
        <f xml:space="preserve"> $AC38</f>
        <v>BaseFeat_HoE_RF1</v>
      </c>
      <c r="J80" s="44"/>
      <c r="K80" s="44"/>
      <c r="L80" s="44"/>
      <c r="M80" s="44"/>
      <c r="N80" s="44"/>
      <c r="Q80" s="42" t="str">
        <f xml:space="preserve"> $AF38</f>
        <v>BaseFeat_HoE_RF2</v>
      </c>
      <c r="Y80" s="42" t="str">
        <f xml:space="preserve"> $AI38</f>
        <v>BaseFeat_HoE_RF3</v>
      </c>
      <c r="AG80" s="42" t="str">
        <f xml:space="preserve"> $AL38</f>
        <v>BaseFeat_HoE_RF4</v>
      </c>
    </row>
    <row r="81" spans="2:14" x14ac:dyDescent="0.3"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</row>
    <row r="82" spans="2:14" x14ac:dyDescent="0.3"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</row>
    <row r="83" spans="2:14" x14ac:dyDescent="0.3"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</row>
    <row r="84" spans="2:14" x14ac:dyDescent="0.3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</row>
    <row r="85" spans="2:14" x14ac:dyDescent="0.3"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</row>
    <row r="86" spans="2:14" x14ac:dyDescent="0.3"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</row>
    <row r="87" spans="2:14" x14ac:dyDescent="0.3"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</row>
    <row r="88" spans="2:14" x14ac:dyDescent="0.3"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</row>
    <row r="89" spans="2:14" x14ac:dyDescent="0.3"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</row>
    <row r="90" spans="2:14" x14ac:dyDescent="0.3"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</row>
    <row r="91" spans="2:14" x14ac:dyDescent="0.3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</row>
    <row r="92" spans="2:14" x14ac:dyDescent="0.3"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</row>
    <row r="93" spans="2:14" x14ac:dyDescent="0.3"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</row>
    <row r="94" spans="2:14" x14ac:dyDescent="0.3"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</row>
    <row r="95" spans="2:14" x14ac:dyDescent="0.3"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</row>
    <row r="96" spans="2:14" x14ac:dyDescent="0.3"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</row>
    <row r="97" spans="1:53" x14ac:dyDescent="0.3"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</row>
    <row r="98" spans="1:53" x14ac:dyDescent="0.3">
      <c r="A98" s="69" t="s">
        <v>80</v>
      </c>
      <c r="B98" s="69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</row>
    <row r="99" spans="1:53" x14ac:dyDescent="0.3">
      <c r="A99" s="43"/>
      <c r="B99" s="68" t="s">
        <v>81</v>
      </c>
      <c r="C99" s="68"/>
      <c r="D99" s="68"/>
      <c r="E99" s="68" t="s">
        <v>82</v>
      </c>
      <c r="F99" s="68"/>
      <c r="G99" s="68"/>
      <c r="H99" s="68" t="s">
        <v>83</v>
      </c>
      <c r="I99" s="68"/>
      <c r="J99" s="68"/>
      <c r="K99" s="68" t="s">
        <v>84</v>
      </c>
      <c r="L99" s="68"/>
      <c r="M99" s="68"/>
      <c r="N99" s="68" t="s">
        <v>85</v>
      </c>
      <c r="O99" s="68"/>
      <c r="P99" s="68"/>
      <c r="Q99" s="68" t="s">
        <v>86</v>
      </c>
      <c r="R99" s="68"/>
      <c r="S99" s="68"/>
      <c r="T99" s="68" t="s">
        <v>87</v>
      </c>
      <c r="U99" s="68"/>
      <c r="V99" s="68"/>
      <c r="W99" s="68" t="s">
        <v>88</v>
      </c>
      <c r="X99" s="68"/>
      <c r="Y99" s="68"/>
      <c r="Z99" s="68" t="s">
        <v>89</v>
      </c>
      <c r="AA99" s="68"/>
      <c r="AB99" s="68"/>
      <c r="AC99" s="68" t="s">
        <v>90</v>
      </c>
      <c r="AD99" s="68"/>
      <c r="AE99" s="68"/>
      <c r="AF99" s="68" t="s">
        <v>91</v>
      </c>
      <c r="AG99" s="68"/>
      <c r="AH99" s="68"/>
      <c r="AI99" s="68" t="s">
        <v>92</v>
      </c>
      <c r="AJ99" s="68"/>
      <c r="AK99" s="68"/>
      <c r="AL99" s="68" t="s">
        <v>93</v>
      </c>
      <c r="AM99" s="68"/>
      <c r="AN99" s="68"/>
    </row>
    <row r="100" spans="1:53" x14ac:dyDescent="0.3">
      <c r="A100" s="43"/>
      <c r="B100" s="43" t="s">
        <v>132</v>
      </c>
      <c r="C100" s="43" t="s">
        <v>133</v>
      </c>
      <c r="D100" s="43" t="s">
        <v>134</v>
      </c>
      <c r="E100" s="43" t="s">
        <v>132</v>
      </c>
      <c r="F100" s="43" t="s">
        <v>133</v>
      </c>
      <c r="G100" s="43" t="s">
        <v>134</v>
      </c>
      <c r="H100" s="43" t="s">
        <v>132</v>
      </c>
      <c r="I100" s="43" t="s">
        <v>133</v>
      </c>
      <c r="J100" s="43" t="s">
        <v>134</v>
      </c>
      <c r="K100" s="43" t="s">
        <v>132</v>
      </c>
      <c r="L100" s="43" t="s">
        <v>133</v>
      </c>
      <c r="M100" s="43" t="s">
        <v>134</v>
      </c>
      <c r="N100" s="43" t="s">
        <v>132</v>
      </c>
      <c r="O100" s="43" t="s">
        <v>133</v>
      </c>
      <c r="P100" s="43" t="s">
        <v>134</v>
      </c>
      <c r="Q100" s="43" t="s">
        <v>132</v>
      </c>
      <c r="R100" s="43" t="s">
        <v>133</v>
      </c>
      <c r="S100" s="43" t="s">
        <v>134</v>
      </c>
      <c r="T100" s="43" t="s">
        <v>132</v>
      </c>
      <c r="U100" s="43" t="s">
        <v>133</v>
      </c>
      <c r="V100" s="43" t="s">
        <v>134</v>
      </c>
      <c r="W100" s="43" t="s">
        <v>132</v>
      </c>
      <c r="X100" s="43" t="s">
        <v>133</v>
      </c>
      <c r="Y100" s="43" t="s">
        <v>134</v>
      </c>
      <c r="Z100" s="43" t="s">
        <v>132</v>
      </c>
      <c r="AA100" s="43" t="s">
        <v>133</v>
      </c>
      <c r="AB100" s="43" t="s">
        <v>134</v>
      </c>
      <c r="AC100" s="43" t="s">
        <v>132</v>
      </c>
      <c r="AD100" s="43" t="s">
        <v>133</v>
      </c>
      <c r="AE100" s="43" t="s">
        <v>134</v>
      </c>
      <c r="AF100" s="43" t="s">
        <v>132</v>
      </c>
      <c r="AG100" s="43" t="s">
        <v>133</v>
      </c>
      <c r="AH100" s="43" t="s">
        <v>134</v>
      </c>
      <c r="AI100" s="43" t="s">
        <v>132</v>
      </c>
      <c r="AJ100" s="43" t="s">
        <v>133</v>
      </c>
      <c r="AK100" s="43" t="s">
        <v>134</v>
      </c>
      <c r="AL100" s="43" t="s">
        <v>132</v>
      </c>
      <c r="AM100" s="43" t="s">
        <v>133</v>
      </c>
      <c r="AN100" s="43" t="s">
        <v>134</v>
      </c>
    </row>
    <row r="101" spans="1:53" x14ac:dyDescent="0.3">
      <c r="A101" s="42" t="s">
        <v>117</v>
      </c>
      <c r="B101" s="44">
        <f xml:space="preserve"> BaseFeat_ELR!$E$150</f>
        <v>48.568332476082709</v>
      </c>
      <c r="C101" s="44">
        <f xml:space="preserve"> BaseFeat_ELR!$J$150</f>
        <v>45.593035908596299</v>
      </c>
      <c r="D101" s="44">
        <f xml:space="preserve"> BaseFeat_ELR!$O$150</f>
        <v>56.179998220007121</v>
      </c>
      <c r="E101" s="44">
        <f xml:space="preserve"> BaseFeat_ELR!$E$10</f>
        <v>50.40999801626662</v>
      </c>
      <c r="F101" s="44">
        <f xml:space="preserve"> BaseFeat_ELR!$J$10</f>
        <v>46.552645644040624</v>
      </c>
      <c r="G101" s="44">
        <f xml:space="preserve"> BaseFeat_ELR!$O$10</f>
        <v>49.773982923154193</v>
      </c>
      <c r="H101" s="44">
        <f xml:space="preserve"> BaseFeat_ELR!$E$24</f>
        <v>53.249631924882628</v>
      </c>
      <c r="I101" s="44">
        <f xml:space="preserve"> BaseFeat_ELR!$J$24</f>
        <v>44.530729975593523</v>
      </c>
      <c r="J101" s="44">
        <f xml:space="preserve"> BaseFeat_ELR!$O$24</f>
        <v>55.901296842858422</v>
      </c>
      <c r="K101" s="44">
        <f xml:space="preserve"> BaseFeat_ELR!$E$165</f>
        <v>50.519554631828981</v>
      </c>
      <c r="L101" s="44">
        <f xml:space="preserve"> BaseFeat_ELR!$J$165</f>
        <v>46.114883069296262</v>
      </c>
      <c r="M101" s="44">
        <f xml:space="preserve"> BaseFeat_ELR!$O$165</f>
        <v>49.36495897903373</v>
      </c>
      <c r="N101" s="44">
        <f xml:space="preserve"> BaseFeat_ELR!$E$38</f>
        <v>49.744734144135087</v>
      </c>
      <c r="O101" s="44">
        <f xml:space="preserve"> BaseFeat_ELR!$J$38</f>
        <v>47.627526971823613</v>
      </c>
      <c r="P101" s="44">
        <f xml:space="preserve"> BaseFeat_ELR!$O$38</f>
        <v>47.525669291338581</v>
      </c>
      <c r="Q101" s="44">
        <f xml:space="preserve"> BaseFeat_ELR!$E$52</f>
        <v>48.385999173382935</v>
      </c>
      <c r="R101" s="44">
        <f xml:space="preserve"> BaseFeat_ELR!$J$52</f>
        <v>46.472540413231989</v>
      </c>
      <c r="S101" s="44">
        <f xml:space="preserve"> BaseFeat_ELR!$O$52</f>
        <v>48.886727347105747</v>
      </c>
      <c r="T101" s="44">
        <f xml:space="preserve"> BaseFeat_ELR!$E$66</f>
        <v>45.633015768725372</v>
      </c>
      <c r="U101" s="44">
        <f xml:space="preserve"> BaseFeat_ELR!$J$66</f>
        <v>45.414847161572055</v>
      </c>
      <c r="V101" s="44">
        <f xml:space="preserve"> BaseFeat_ELR!$O$66</f>
        <v>49.444732531095156</v>
      </c>
      <c r="W101" s="44">
        <f xml:space="preserve"> BaseFeat_ELR!$E$80</f>
        <v>44.745275721074144</v>
      </c>
      <c r="X101" s="44">
        <f xml:space="preserve"> BaseFeat_ELR!$J$80</f>
        <v>40.595734643734637</v>
      </c>
      <c r="Y101" s="44">
        <f xml:space="preserve"> BaseFeat_ELR!$O$80</f>
        <v>39.954746164400646</v>
      </c>
      <c r="Z101" s="44">
        <f xml:space="preserve"> BaseFeat_ELR!$E$179</f>
        <v>46.438136047134442</v>
      </c>
      <c r="AA101" s="44">
        <f xml:space="preserve"> BaseFeat_ELR!$J$179</f>
        <v>46.438136047134442</v>
      </c>
      <c r="AB101" s="44">
        <f xml:space="preserve"> BaseFeat_ELR!$O$179</f>
        <v>50.68771947129612</v>
      </c>
      <c r="AC101" s="44">
        <f xml:space="preserve"> BaseFeat_ELR!$E$94</f>
        <v>48.640361804913148</v>
      </c>
      <c r="AD101" s="44">
        <f xml:space="preserve"> BaseFeat_ELR!$J$94</f>
        <v>46.757533808966031</v>
      </c>
      <c r="AE101" s="44">
        <f xml:space="preserve"> BaseFeat_ELR!$O$94</f>
        <v>46.757533808966031</v>
      </c>
      <c r="AF101" s="44">
        <f xml:space="preserve"> BaseFeat_ELR!$E$108</f>
        <v>34.496867608883761</v>
      </c>
      <c r="AG101" s="44">
        <f xml:space="preserve"> BaseFeat_ELR!$J$108</f>
        <v>43.77600359833577</v>
      </c>
      <c r="AH101" s="44">
        <f xml:space="preserve"> BaseFeat_ELR!$O$108</f>
        <v>34.516967425771121</v>
      </c>
      <c r="AI101" s="44">
        <f xml:space="preserve"> BaseFeat_ELR!$E$122</f>
        <v>48.090463039867117</v>
      </c>
      <c r="AJ101" s="44">
        <f xml:space="preserve"> BaseFeat_ELR!$J$122</f>
        <v>48.095089795494651</v>
      </c>
      <c r="AK101" s="44">
        <f xml:space="preserve"> BaseFeat_ELR!$O$122</f>
        <v>56.798374354033456</v>
      </c>
      <c r="AL101" s="44">
        <f xml:space="preserve"> BaseFeat_ELR!$E$136</f>
        <v>12.87680780623802</v>
      </c>
      <c r="AM101" s="44">
        <f xml:space="preserve"> BaseFeat_ELR!$J$136</f>
        <v>46.010150091782748</v>
      </c>
      <c r="AN101" s="44">
        <f xml:space="preserve"> BaseFeat_ELR!$O$136</f>
        <v>12.87680780623802</v>
      </c>
    </row>
    <row r="102" spans="1:53" x14ac:dyDescent="0.3">
      <c r="A102" s="42" t="s">
        <v>118</v>
      </c>
      <c r="B102" s="44">
        <f xml:space="preserve"> BaseFeat_ELR!$E$151</f>
        <v>49.834959365907494</v>
      </c>
      <c r="C102" s="44">
        <f xml:space="preserve"> BaseFeat_ELR!$J$151</f>
        <v>49.939991990388471</v>
      </c>
      <c r="D102" s="44">
        <f xml:space="preserve"> BaseFeat_ELR!$O$151</f>
        <v>46.785831819638858</v>
      </c>
      <c r="E102" s="44">
        <f xml:space="preserve"> BaseFeat_ELR!$E$11</f>
        <v>52.9150850340136</v>
      </c>
      <c r="F102" s="44">
        <f xml:space="preserve"> BaseFeat_ELR!$J$11</f>
        <v>47.814999477151531</v>
      </c>
      <c r="G102" s="44">
        <f xml:space="preserve"> BaseFeat_ELR!$O$11</f>
        <v>53.469812979240693</v>
      </c>
      <c r="H102" s="44">
        <f xml:space="preserve"> BaseFeat_ELR!$E$25</f>
        <v>42.707450245844065</v>
      </c>
      <c r="I102" s="44">
        <f xml:space="preserve"> BaseFeat_ELR!$J$25</f>
        <v>58.186823872406102</v>
      </c>
      <c r="J102" s="44">
        <f xml:space="preserve"> BaseFeat_ELR!$O$25</f>
        <v>49.039997960848289</v>
      </c>
      <c r="K102" s="44">
        <f xml:space="preserve"> BaseFeat_ELR!$E$166</f>
        <v>63.241177661811669</v>
      </c>
      <c r="L102" s="44">
        <f xml:space="preserve"> BaseFeat_ELR!$J$166</f>
        <v>62.924332141438228</v>
      </c>
      <c r="M102" s="44">
        <f xml:space="preserve"> BaseFeat_ELR!$O$166</f>
        <v>56.402638064001422</v>
      </c>
      <c r="N102" s="44">
        <f xml:space="preserve"> BaseFeat_ELR!$E$39</f>
        <v>21.401975423139348</v>
      </c>
      <c r="O102" s="44">
        <f xml:space="preserve"> BaseFeat_ELR!$J$39</f>
        <v>19.199778464708913</v>
      </c>
      <c r="P102" s="44">
        <f xml:space="preserve"> BaseFeat_ELR!$O$39</f>
        <v>48.094987004886164</v>
      </c>
      <c r="Q102" s="44">
        <f xml:space="preserve"> BaseFeat_ELR!$E$53</f>
        <v>26.394818195200941</v>
      </c>
      <c r="R102" s="44">
        <f xml:space="preserve"> BaseFeat_ELR!$J$53</f>
        <v>37.724314297071686</v>
      </c>
      <c r="S102" s="44">
        <f xml:space="preserve"> BaseFeat_ELR!$O$53</f>
        <v>37.538710708577518</v>
      </c>
      <c r="T102" s="44">
        <f xml:space="preserve"> BaseFeat_ELR!$E$67</f>
        <v>71.620900397850221</v>
      </c>
      <c r="U102" s="44">
        <f xml:space="preserve"> BaseFeat_ELR!$J$67</f>
        <v>31.084767572784305</v>
      </c>
      <c r="V102" s="44">
        <f xml:space="preserve"> BaseFeat_ELR!$O$67</f>
        <v>51.71478681233684</v>
      </c>
      <c r="W102" s="44">
        <f xml:space="preserve"> BaseFeat_ELR!$E$81</f>
        <v>57.910351255717622</v>
      </c>
      <c r="X102" s="44">
        <f xml:space="preserve"> BaseFeat_ELR!$J$81</f>
        <v>41.65827776445191</v>
      </c>
      <c r="Y102" s="44">
        <f xml:space="preserve"> BaseFeat_ELR!$O$81</f>
        <v>50.816771591579773</v>
      </c>
      <c r="Z102" s="44">
        <f xml:space="preserve"> BaseFeat_ELR!$E$180</f>
        <v>38.752507656498842</v>
      </c>
      <c r="AA102" s="44">
        <f xml:space="preserve"> BaseFeat_ELR!$J$180</f>
        <v>38.755512003919648</v>
      </c>
      <c r="AB102" s="44">
        <f xml:space="preserve"> BaseFeat_ELR!$O$180</f>
        <v>47.591723558449743</v>
      </c>
      <c r="AC102" s="44">
        <f xml:space="preserve"> BaseFeat_ELR!$E$95</f>
        <v>29.098128190584234</v>
      </c>
      <c r="AD102" s="44">
        <f xml:space="preserve"> BaseFeat_ELR!$J$95</f>
        <v>35.643803646563811</v>
      </c>
      <c r="AE102" s="44">
        <f xml:space="preserve"> BaseFeat_ELR!$O$95</f>
        <v>37.091092098641163</v>
      </c>
      <c r="AF102" s="44">
        <f xml:space="preserve"> BaseFeat_ELR!$E$109</f>
        <v>41.017345197464657</v>
      </c>
      <c r="AG102" s="44">
        <f xml:space="preserve"> BaseFeat_ELR!$J$109</f>
        <v>40.126930906478272</v>
      </c>
      <c r="AH102" s="44">
        <f xml:space="preserve"> BaseFeat_ELR!$O$109</f>
        <v>40.126930906478272</v>
      </c>
      <c r="AI102" s="44">
        <f xml:space="preserve"> BaseFeat_ELR!$E$123</f>
        <v>45.672687465790915</v>
      </c>
      <c r="AJ102" s="44">
        <f xml:space="preserve"> BaseFeat_ELR!$J$123</f>
        <v>40.828402366863905</v>
      </c>
      <c r="AK102" s="44">
        <f xml:space="preserve"> BaseFeat_ELR!$O$123</f>
        <v>45.657614980289104</v>
      </c>
      <c r="AL102" s="44">
        <f xml:space="preserve"> BaseFeat_ELR!$E$137</f>
        <v>29.706171798116127</v>
      </c>
      <c r="AM102" s="44">
        <f xml:space="preserve"> BaseFeat_ELR!$J$137</f>
        <v>36.604539114999362</v>
      </c>
      <c r="AN102" s="44">
        <f xml:space="preserve"> BaseFeat_ELR!$O$137</f>
        <v>29.706171798116127</v>
      </c>
    </row>
    <row r="103" spans="1:53" x14ac:dyDescent="0.3">
      <c r="A103" s="42" t="s">
        <v>119</v>
      </c>
      <c r="B103" s="44">
        <f xml:space="preserve"> BaseFeat_ELR!$E$152</f>
        <v>37.403719838267897</v>
      </c>
      <c r="C103" s="44">
        <f xml:space="preserve"> BaseFeat_ELR!$J$152</f>
        <v>37.210089993284086</v>
      </c>
      <c r="D103" s="44">
        <f xml:space="preserve"> BaseFeat_ELR!$O$152</f>
        <v>53.069932165065005</v>
      </c>
      <c r="E103" s="44">
        <f xml:space="preserve"> BaseFeat_ELR!$E$12</f>
        <v>56.390479567414232</v>
      </c>
      <c r="F103" s="44">
        <f xml:space="preserve"> BaseFeat_ELR!$J$12</f>
        <v>70.359884877771464</v>
      </c>
      <c r="G103" s="44">
        <f xml:space="preserve"> BaseFeat_ELR!$O$12</f>
        <v>59.445046179680944</v>
      </c>
      <c r="H103" s="44">
        <f xml:space="preserve"> BaseFeat_ELR!$E$26</f>
        <v>35.83064601646435</v>
      </c>
      <c r="I103" s="44">
        <f xml:space="preserve"> BaseFeat_ELR!$J$26</f>
        <v>42.444796230859836</v>
      </c>
      <c r="J103" s="44">
        <f xml:space="preserve"> BaseFeat_ELR!$O$26</f>
        <v>43.810799180327862</v>
      </c>
      <c r="K103" s="44">
        <f xml:space="preserve"> BaseFeat_ELR!$E$167</f>
        <v>38.964999358398558</v>
      </c>
      <c r="L103" s="44">
        <f xml:space="preserve"> BaseFeat_ELR!$J$167</f>
        <v>42.65295979369359</v>
      </c>
      <c r="M103" s="44">
        <f xml:space="preserve"> BaseFeat_ELR!$O$167</f>
        <v>45.459980202375718</v>
      </c>
      <c r="N103" s="44">
        <f xml:space="preserve"> BaseFeat_ELR!$E$40</f>
        <v>21.527204226969904</v>
      </c>
      <c r="O103" s="44">
        <f xml:space="preserve"> BaseFeat_ELR!$J$40</f>
        <v>33.541295385024604</v>
      </c>
      <c r="P103" s="44">
        <f xml:space="preserve"> BaseFeat_ELR!$O$40</f>
        <v>37.954428642714575</v>
      </c>
      <c r="Q103" s="44">
        <f xml:space="preserve"> BaseFeat_ELR!$E$54</f>
        <v>67.114439976169194</v>
      </c>
      <c r="R103" s="44">
        <f xml:space="preserve"> BaseFeat_ELR!$J$54</f>
        <v>32.626311763806029</v>
      </c>
      <c r="S103" s="44">
        <f xml:space="preserve"> BaseFeat_ELR!$O$54</f>
        <v>54.152784961027052</v>
      </c>
      <c r="T103" s="44">
        <f xml:space="preserve"> BaseFeat_ELR!$E$68</f>
        <v>61.392905537459285</v>
      </c>
      <c r="U103" s="44">
        <f xml:space="preserve"> BaseFeat_ELR!$J$68</f>
        <v>38.213900300928948</v>
      </c>
      <c r="V103" s="44">
        <f xml:space="preserve"> BaseFeat_ELR!$O$68</f>
        <v>38.213900300928948</v>
      </c>
      <c r="W103" s="44">
        <f xml:space="preserve"> BaseFeat_ELR!$E$82</f>
        <v>31.028776330599779</v>
      </c>
      <c r="X103" s="44">
        <f xml:space="preserve"> BaseFeat_ELR!$J$82</f>
        <v>41.225077013521457</v>
      </c>
      <c r="Y103" s="44">
        <f xml:space="preserve"> BaseFeat_ELR!$O$82</f>
        <v>40.706304801670143</v>
      </c>
      <c r="Z103" s="44">
        <f xml:space="preserve"> BaseFeat_ELR!$E$181</f>
        <v>51.804941607952905</v>
      </c>
      <c r="AA103" s="44">
        <f xml:space="preserve"> BaseFeat_ELR!$J$181</f>
        <v>39.784949101420139</v>
      </c>
      <c r="AB103" s="44">
        <f xml:space="preserve"> BaseFeat_ELR!$O$181</f>
        <v>60.197552104957232</v>
      </c>
      <c r="AC103" s="44">
        <f xml:space="preserve"> BaseFeat_ELR!$E$96</f>
        <v>40.05555971546238</v>
      </c>
      <c r="AD103" s="44">
        <f xml:space="preserve"> BaseFeat_ELR!$J$96</f>
        <v>41.98189835228591</v>
      </c>
      <c r="AE103" s="44">
        <f xml:space="preserve"> BaseFeat_ELR!$O$96</f>
        <v>41.98189835228591</v>
      </c>
      <c r="AF103" s="44">
        <f xml:space="preserve"> BaseFeat_ELR!$E$110</f>
        <v>77.276088221977872</v>
      </c>
      <c r="AG103" s="44">
        <f xml:space="preserve"> BaseFeat_ELR!$J$110</f>
        <v>22.596519057061027</v>
      </c>
      <c r="AH103" s="44">
        <f xml:space="preserve"> BaseFeat_ELR!$O$110</f>
        <v>56.696554352533568</v>
      </c>
      <c r="AI103" s="44">
        <f xml:space="preserve"> BaseFeat_ELR!$E$124</f>
        <v>28.69892247043364</v>
      </c>
      <c r="AJ103" s="44">
        <f xml:space="preserve"> BaseFeat_ELR!$J$124</f>
        <v>46.495452113429643</v>
      </c>
      <c r="AK103" s="44">
        <f xml:space="preserve"> BaseFeat_ELR!$O$124</f>
        <v>46.495452113429643</v>
      </c>
      <c r="AL103" s="44">
        <f xml:space="preserve"> BaseFeat_ELR!$E$138</f>
        <v>62.164909515000403</v>
      </c>
      <c r="AM103" s="44">
        <f xml:space="preserve"> BaseFeat_ELR!$J$138</f>
        <v>36.759387921653968</v>
      </c>
      <c r="AN103" s="44">
        <f xml:space="preserve"> BaseFeat_ELR!$O$138</f>
        <v>63.239644212523721</v>
      </c>
    </row>
    <row r="104" spans="1:53" x14ac:dyDescent="0.3">
      <c r="A104" s="42" t="s">
        <v>120</v>
      </c>
      <c r="B104" s="44">
        <f xml:space="preserve"> BaseFeat_ELR!$E$153</f>
        <v>49.464321811198708</v>
      </c>
      <c r="C104" s="44">
        <f xml:space="preserve"> BaseFeat_ELR!$J$153</f>
        <v>49.464321811198708</v>
      </c>
      <c r="D104" s="44">
        <f xml:space="preserve"> BaseFeat_ELR!$O$153</f>
        <v>56.318063199005856</v>
      </c>
      <c r="E104" s="44">
        <f xml:space="preserve"> BaseFeat_ELR!$E$13</f>
        <v>49.789114279975898</v>
      </c>
      <c r="F104" s="44">
        <f xml:space="preserve"> BaseFeat_ELR!$J$13</f>
        <v>49.789114279975898</v>
      </c>
      <c r="G104" s="44">
        <f xml:space="preserve"> BaseFeat_ELR!$O$13</f>
        <v>49.789114279975898</v>
      </c>
      <c r="H104" s="44">
        <f xml:space="preserve"> BaseFeat_ELR!$E$27</f>
        <v>49.109768956743004</v>
      </c>
      <c r="I104" s="44">
        <f xml:space="preserve"> BaseFeat_ELR!$J$27</f>
        <v>49.114593934459599</v>
      </c>
      <c r="J104" s="44">
        <f xml:space="preserve"> BaseFeat_ELR!$O$27</f>
        <v>49.114593934459599</v>
      </c>
      <c r="K104" s="44">
        <f xml:space="preserve"> BaseFeat_ELR!$E$168</f>
        <v>48.654754569726848</v>
      </c>
      <c r="L104" s="44">
        <f xml:space="preserve"> BaseFeat_ELR!$J$168</f>
        <v>48.654754569726848</v>
      </c>
      <c r="M104" s="44">
        <f xml:space="preserve"> BaseFeat_ELR!$O$168</f>
        <v>48.645283483976996</v>
      </c>
      <c r="N104" s="44">
        <f xml:space="preserve"> BaseFeat_ELR!$E$41</f>
        <v>36.42647559821549</v>
      </c>
      <c r="O104" s="44">
        <f xml:space="preserve"> BaseFeat_ELR!$J$41</f>
        <v>46.898895497026338</v>
      </c>
      <c r="P104" s="44">
        <f xml:space="preserve"> BaseFeat_ELR!$O$41</f>
        <v>46.898895497026338</v>
      </c>
      <c r="Q104" s="44">
        <f xml:space="preserve"> BaseFeat_ELR!$E$55</f>
        <v>49.88975746642614</v>
      </c>
      <c r="R104" s="44">
        <f xml:space="preserve"> BaseFeat_ELR!$J$55</f>
        <v>49.88975746642614</v>
      </c>
      <c r="S104" s="44">
        <f xml:space="preserve"> BaseFeat_ELR!$O$55</f>
        <v>49.88975746642614</v>
      </c>
      <c r="T104" s="44">
        <f xml:space="preserve"> BaseFeat_ELR!$E$69</f>
        <v>40.88218242201399</v>
      </c>
      <c r="U104" s="44">
        <f xml:space="preserve"> BaseFeat_ELR!$J$69</f>
        <v>49.819349658771579</v>
      </c>
      <c r="V104" s="44">
        <f xml:space="preserve"> BaseFeat_ELR!$O$69</f>
        <v>49.819349658771579</v>
      </c>
      <c r="W104" s="44">
        <f xml:space="preserve"> BaseFeat_ELR!$E$83</f>
        <v>50.491252599267249</v>
      </c>
      <c r="X104" s="44">
        <f xml:space="preserve"> BaseFeat_ELR!$J$83</f>
        <v>47.731549236880618</v>
      </c>
      <c r="Y104" s="44">
        <f xml:space="preserve"> BaseFeat_ELR!$O$83</f>
        <v>47.731549236880618</v>
      </c>
      <c r="Z104" s="44">
        <f xml:space="preserve"> BaseFeat_ELR!$E$182</f>
        <v>49.728534084053884</v>
      </c>
      <c r="AA104" s="44">
        <f xml:space="preserve"> BaseFeat_ELR!$J$182</f>
        <v>49.728534084053884</v>
      </c>
      <c r="AB104" s="44">
        <f xml:space="preserve"> BaseFeat_ELR!$O$182</f>
        <v>49.728534084053884</v>
      </c>
      <c r="AC104" s="44">
        <f xml:space="preserve"> BaseFeat_ELR!$E$97</f>
        <v>49.884734890247564</v>
      </c>
      <c r="AD104" s="44">
        <f xml:space="preserve"> BaseFeat_ELR!$J$97</f>
        <v>49.884734890247564</v>
      </c>
      <c r="AE104" s="44">
        <f xml:space="preserve"> BaseFeat_ELR!$O$97</f>
        <v>49.884734890247564</v>
      </c>
      <c r="AF104" s="44">
        <f xml:space="preserve"> BaseFeat_ELR!$E$111</f>
        <v>49.387589837028045</v>
      </c>
      <c r="AG104" s="44">
        <f xml:space="preserve"> BaseFeat_ELR!$J$111</f>
        <v>49.387589837028045</v>
      </c>
      <c r="AH104" s="44">
        <f xml:space="preserve"> BaseFeat_ELR!$O$111</f>
        <v>49.387589837028045</v>
      </c>
      <c r="AI104" s="44">
        <f xml:space="preserve"> BaseFeat_ELR!$E$125</f>
        <v>49.839486356340288</v>
      </c>
      <c r="AJ104" s="44">
        <f xml:space="preserve"> BaseFeat_ELR!$J$125</f>
        <v>49.839486356340288</v>
      </c>
      <c r="AK104" s="44">
        <f xml:space="preserve"> BaseFeat_ELR!$O$125</f>
        <v>49.839486356340288</v>
      </c>
      <c r="AL104" s="44">
        <f xml:space="preserve"> BaseFeat_ELR!$E$139</f>
        <v>31.443849465352034</v>
      </c>
      <c r="AM104" s="44">
        <f xml:space="preserve"> BaseFeat_ELR!$J$139</f>
        <v>49.718423169750608</v>
      </c>
      <c r="AN104" s="44">
        <f xml:space="preserve"> BaseFeat_ELR!$O$139</f>
        <v>49.718423169750608</v>
      </c>
    </row>
    <row r="105" spans="1:53" x14ac:dyDescent="0.3">
      <c r="A105" s="42" t="s">
        <v>116</v>
      </c>
      <c r="B105" s="44">
        <f>AVERAGE(B101:B104)</f>
        <v>46.317833372864207</v>
      </c>
      <c r="C105" s="44">
        <f t="shared" ref="C105:AN105" si="5">AVERAGE(C101:C104)</f>
        <v>45.551859925866893</v>
      </c>
      <c r="D105" s="44">
        <f t="shared" si="5"/>
        <v>53.088456350929206</v>
      </c>
      <c r="E105" s="44">
        <f t="shared" si="5"/>
        <v>52.376169224417588</v>
      </c>
      <c r="F105" s="44">
        <f t="shared" si="5"/>
        <v>53.629161069734884</v>
      </c>
      <c r="G105" s="44">
        <f t="shared" si="5"/>
        <v>53.119489090512936</v>
      </c>
      <c r="H105" s="44">
        <f t="shared" si="5"/>
        <v>45.224374285983515</v>
      </c>
      <c r="I105" s="44">
        <f t="shared" si="5"/>
        <v>48.569236003329763</v>
      </c>
      <c r="J105" s="44">
        <f t="shared" si="5"/>
        <v>49.466671979623541</v>
      </c>
      <c r="K105" s="44">
        <f t="shared" si="5"/>
        <v>50.345121555441509</v>
      </c>
      <c r="L105" s="44">
        <f t="shared" si="5"/>
        <v>50.086732393538725</v>
      </c>
      <c r="M105" s="44">
        <f t="shared" si="5"/>
        <v>49.968215182346967</v>
      </c>
      <c r="N105" s="44">
        <f t="shared" si="5"/>
        <v>32.275097348114954</v>
      </c>
      <c r="O105" s="44">
        <f t="shared" si="5"/>
        <v>36.816874079645864</v>
      </c>
      <c r="P105" s="44">
        <f t="shared" si="5"/>
        <v>45.118495108991411</v>
      </c>
      <c r="Q105" s="44">
        <f t="shared" si="5"/>
        <v>47.946253702794806</v>
      </c>
      <c r="R105" s="44">
        <f t="shared" si="5"/>
        <v>41.678230985133965</v>
      </c>
      <c r="S105" s="44">
        <f t="shared" si="5"/>
        <v>47.616995120784111</v>
      </c>
      <c r="T105" s="44">
        <f t="shared" si="5"/>
        <v>54.882251031512219</v>
      </c>
      <c r="U105" s="44">
        <f t="shared" si="5"/>
        <v>41.133216173514221</v>
      </c>
      <c r="V105" s="44">
        <f t="shared" si="5"/>
        <v>47.298192325783134</v>
      </c>
      <c r="W105" s="44">
        <f t="shared" si="5"/>
        <v>46.043913976664697</v>
      </c>
      <c r="X105" s="44">
        <f t="shared" si="5"/>
        <v>42.802659664647159</v>
      </c>
      <c r="Y105" s="44">
        <f t="shared" si="5"/>
        <v>44.802342948632798</v>
      </c>
      <c r="Z105" s="44">
        <f t="shared" si="5"/>
        <v>46.681029848910015</v>
      </c>
      <c r="AA105" s="44">
        <f t="shared" si="5"/>
        <v>43.676782809132028</v>
      </c>
      <c r="AB105" s="44">
        <f t="shared" si="5"/>
        <v>52.051382304689241</v>
      </c>
      <c r="AC105" s="44">
        <f t="shared" si="5"/>
        <v>41.919696150301831</v>
      </c>
      <c r="AD105" s="44">
        <f t="shared" si="5"/>
        <v>43.566992674515831</v>
      </c>
      <c r="AE105" s="44">
        <f t="shared" si="5"/>
        <v>43.928814787535167</v>
      </c>
      <c r="AF105" s="44">
        <f t="shared" si="5"/>
        <v>50.544472716338575</v>
      </c>
      <c r="AG105" s="44">
        <f t="shared" si="5"/>
        <v>38.971760849725783</v>
      </c>
      <c r="AH105" s="44">
        <f t="shared" si="5"/>
        <v>45.182010630452751</v>
      </c>
      <c r="AI105" s="44">
        <f t="shared" si="5"/>
        <v>43.075389833107991</v>
      </c>
      <c r="AJ105" s="44">
        <f t="shared" si="5"/>
        <v>46.314607658032116</v>
      </c>
      <c r="AK105" s="44">
        <f t="shared" si="5"/>
        <v>49.69773195102313</v>
      </c>
      <c r="AL105" s="44">
        <f t="shared" si="5"/>
        <v>34.04793464617665</v>
      </c>
      <c r="AM105" s="44">
        <f t="shared" si="5"/>
        <v>42.27312507454667</v>
      </c>
      <c r="AN105" s="44">
        <f t="shared" si="5"/>
        <v>38.885261746657122</v>
      </c>
    </row>
    <row r="106" spans="1:53" x14ac:dyDescent="0.3"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</row>
    <row r="107" spans="1:53" x14ac:dyDescent="0.3">
      <c r="A107" s="42" t="str">
        <f xml:space="preserve"> $B99</f>
        <v>BaseFeat_ELR_Sex-merged</v>
      </c>
      <c r="B107" s="44"/>
      <c r="C107" s="44"/>
      <c r="D107" s="44"/>
      <c r="E107" s="44"/>
      <c r="F107" s="44"/>
      <c r="G107" s="44"/>
      <c r="H107" s="44"/>
      <c r="I107" s="44" t="str">
        <f xml:space="preserve"> $E99</f>
        <v>BaseFeat_ELR_Female</v>
      </c>
      <c r="J107" s="44"/>
      <c r="K107" s="44"/>
      <c r="L107" s="44"/>
      <c r="M107" s="44"/>
      <c r="N107" s="44"/>
      <c r="O107" s="44"/>
      <c r="P107" s="44"/>
      <c r="Q107" s="44" t="str">
        <f xml:space="preserve"> $H99</f>
        <v>BaseFeat_ELR_Male</v>
      </c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</row>
    <row r="108" spans="1:53" x14ac:dyDescent="0.3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</row>
    <row r="109" spans="1:53" x14ac:dyDescent="0.3"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</row>
    <row r="110" spans="1:53" x14ac:dyDescent="0.3"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</row>
    <row r="111" spans="1:53" x14ac:dyDescent="0.3"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</row>
    <row r="112" spans="1:53" x14ac:dyDescent="0.3"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</row>
    <row r="113" spans="1:40" x14ac:dyDescent="0.3"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</row>
    <row r="114" spans="1:40" x14ac:dyDescent="0.3"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</row>
    <row r="115" spans="1:40" x14ac:dyDescent="0.3"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</row>
    <row r="116" spans="1:40" x14ac:dyDescent="0.3"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</row>
    <row r="117" spans="1:40" x14ac:dyDescent="0.3"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</row>
    <row r="118" spans="1:40" x14ac:dyDescent="0.3"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</row>
    <row r="119" spans="1:40" x14ac:dyDescent="0.3"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</row>
    <row r="120" spans="1:40" x14ac:dyDescent="0.3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</row>
    <row r="121" spans="1:40" x14ac:dyDescent="0.3"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</row>
    <row r="122" spans="1:40" x14ac:dyDescent="0.3"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</row>
    <row r="123" spans="1:40" x14ac:dyDescent="0.3"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</row>
    <row r="124" spans="1:40" x14ac:dyDescent="0.3">
      <c r="A124" s="42" t="str">
        <f xml:space="preserve"> $K99</f>
        <v>BaseFeat_ELR_RP-merged</v>
      </c>
      <c r="B124" s="44"/>
      <c r="C124" s="44"/>
      <c r="D124" s="44"/>
      <c r="E124" s="44"/>
      <c r="F124" s="44"/>
      <c r="G124" s="44"/>
      <c r="H124" s="44"/>
      <c r="I124" s="44" t="str">
        <f xml:space="preserve"> $N99</f>
        <v>BaseFeat_ELR_RP1</v>
      </c>
      <c r="J124" s="44"/>
      <c r="K124" s="44"/>
      <c r="L124" s="44"/>
      <c r="M124" s="44"/>
      <c r="N124" s="44"/>
      <c r="O124" s="44"/>
      <c r="P124" s="44"/>
      <c r="Q124" s="44" t="str">
        <f xml:space="preserve"> $Q99</f>
        <v>BaseFeat_ELR_RP2</v>
      </c>
      <c r="R124" s="44"/>
      <c r="S124" s="44"/>
      <c r="T124" s="44"/>
      <c r="U124" s="44"/>
      <c r="V124" s="44"/>
      <c r="W124" s="44"/>
      <c r="X124" s="44"/>
      <c r="Y124" s="44" t="str">
        <f xml:space="preserve"> $T99</f>
        <v>BaseFeat_ELR_RP3</v>
      </c>
      <c r="Z124" s="44"/>
      <c r="AA124" s="44"/>
      <c r="AB124" s="44"/>
      <c r="AC124" s="44"/>
      <c r="AD124" s="44"/>
      <c r="AE124" s="44"/>
      <c r="AF124" s="44"/>
      <c r="AG124" s="44" t="str">
        <f xml:space="preserve"> $W99</f>
        <v>BaseFeat_ELR_RP4</v>
      </c>
      <c r="AH124" s="44"/>
      <c r="AI124" s="44"/>
      <c r="AJ124" s="44"/>
      <c r="AK124" s="44"/>
      <c r="AL124" s="44"/>
      <c r="AM124" s="44"/>
      <c r="AN124" s="44"/>
    </row>
    <row r="125" spans="1:40" x14ac:dyDescent="0.3"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</row>
    <row r="126" spans="1:40" x14ac:dyDescent="0.3"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</row>
    <row r="127" spans="1:40" x14ac:dyDescent="0.3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</row>
    <row r="128" spans="1:40" x14ac:dyDescent="0.3"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</row>
    <row r="129" spans="1:40" x14ac:dyDescent="0.3"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</row>
    <row r="130" spans="1:40" x14ac:dyDescent="0.3"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</row>
    <row r="131" spans="1:40" x14ac:dyDescent="0.3"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</row>
    <row r="132" spans="1:40" x14ac:dyDescent="0.3"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</row>
    <row r="133" spans="1:40" x14ac:dyDescent="0.3"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</row>
    <row r="134" spans="1:40" x14ac:dyDescent="0.3"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</row>
    <row r="135" spans="1:40" x14ac:dyDescent="0.3"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</row>
    <row r="136" spans="1:40" x14ac:dyDescent="0.3"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</row>
    <row r="137" spans="1:40" x14ac:dyDescent="0.3"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</row>
    <row r="138" spans="1:40" x14ac:dyDescent="0.3"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</row>
    <row r="139" spans="1:40" x14ac:dyDescent="0.3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</row>
    <row r="140" spans="1:40" x14ac:dyDescent="0.3"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</row>
    <row r="141" spans="1:40" x14ac:dyDescent="0.3">
      <c r="A141" s="42" t="str">
        <f xml:space="preserve"> $Z99</f>
        <v>BaseFeat_ELR_RF-merged</v>
      </c>
      <c r="B141" s="44"/>
      <c r="C141" s="44"/>
      <c r="D141" s="44"/>
      <c r="E141" s="44"/>
      <c r="F141" s="44"/>
      <c r="G141" s="44"/>
      <c r="H141" s="44"/>
      <c r="I141" s="44" t="str">
        <f xml:space="preserve"> $AC99</f>
        <v>BaseFeat_ELR_RF1</v>
      </c>
      <c r="J141" s="44"/>
      <c r="K141" s="44"/>
      <c r="L141" s="44"/>
      <c r="M141" s="44"/>
      <c r="N141" s="44"/>
      <c r="Q141" s="42" t="str">
        <f xml:space="preserve"> $AF99</f>
        <v>BaseFeat_ELR_RF2</v>
      </c>
      <c r="Y141" s="42" t="str">
        <f xml:space="preserve"> $AI99</f>
        <v>BaseFeat_ELR_RF3</v>
      </c>
      <c r="AG141" s="42" t="str">
        <f xml:space="preserve"> $AL99</f>
        <v>BaseFeat_ELR_RF4</v>
      </c>
    </row>
    <row r="142" spans="1:40" x14ac:dyDescent="0.3"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</row>
    <row r="143" spans="1:40" x14ac:dyDescent="0.3"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</row>
    <row r="144" spans="1:40" x14ac:dyDescent="0.3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</row>
    <row r="145" spans="1:53" x14ac:dyDescent="0.3"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</row>
    <row r="146" spans="1:53" x14ac:dyDescent="0.3"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</row>
    <row r="147" spans="1:53" x14ac:dyDescent="0.3"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</row>
    <row r="148" spans="1:53" x14ac:dyDescent="0.3"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</row>
    <row r="149" spans="1:53" x14ac:dyDescent="0.3"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</row>
    <row r="150" spans="1:53" x14ac:dyDescent="0.3"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</row>
    <row r="151" spans="1:53" x14ac:dyDescent="0.3"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</row>
    <row r="152" spans="1:53" x14ac:dyDescent="0.3"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</row>
    <row r="153" spans="1:53" x14ac:dyDescent="0.3"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</row>
    <row r="154" spans="1:53" x14ac:dyDescent="0.3"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</row>
    <row r="155" spans="1:53" x14ac:dyDescent="0.3"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</row>
    <row r="156" spans="1:53" x14ac:dyDescent="0.3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</row>
    <row r="159" spans="1:53" x14ac:dyDescent="0.3">
      <c r="A159" s="69" t="s">
        <v>55</v>
      </c>
      <c r="B159" s="69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</row>
    <row r="160" spans="1:53" x14ac:dyDescent="0.3">
      <c r="B160" s="68" t="s">
        <v>52</v>
      </c>
      <c r="C160" s="68"/>
      <c r="D160" s="68"/>
      <c r="E160" s="68"/>
      <c r="F160" s="68" t="s">
        <v>53</v>
      </c>
      <c r="G160" s="68"/>
      <c r="H160" s="68"/>
      <c r="I160" s="68"/>
      <c r="J160" s="68" t="s">
        <v>54</v>
      </c>
      <c r="K160" s="68"/>
      <c r="L160" s="68"/>
      <c r="M160" s="68"/>
      <c r="N160" s="68" t="s">
        <v>56</v>
      </c>
      <c r="O160" s="68"/>
      <c r="P160" s="68"/>
      <c r="Q160" s="68"/>
      <c r="R160" s="68" t="s">
        <v>57</v>
      </c>
      <c r="S160" s="68"/>
      <c r="T160" s="68"/>
      <c r="U160" s="68"/>
      <c r="V160" s="68" t="s">
        <v>58</v>
      </c>
      <c r="W160" s="68"/>
      <c r="X160" s="68"/>
      <c r="Y160" s="68"/>
      <c r="Z160" s="68" t="s">
        <v>59</v>
      </c>
      <c r="AA160" s="68"/>
      <c r="AB160" s="68"/>
      <c r="AC160" s="68"/>
      <c r="AD160" s="68" t="s">
        <v>60</v>
      </c>
      <c r="AE160" s="68"/>
      <c r="AF160" s="68"/>
      <c r="AG160" s="68"/>
      <c r="AH160" s="68" t="s">
        <v>61</v>
      </c>
      <c r="AI160" s="68"/>
      <c r="AJ160" s="68"/>
      <c r="AK160" s="68"/>
      <c r="AL160" s="68" t="s">
        <v>62</v>
      </c>
      <c r="AM160" s="68"/>
      <c r="AN160" s="68"/>
      <c r="AO160" s="68"/>
      <c r="AP160" s="68" t="s">
        <v>63</v>
      </c>
      <c r="AQ160" s="68"/>
      <c r="AR160" s="68"/>
      <c r="AS160" s="68"/>
      <c r="AT160" s="68" t="s">
        <v>64</v>
      </c>
      <c r="AU160" s="68"/>
      <c r="AV160" s="68"/>
      <c r="AW160" s="68"/>
      <c r="AX160" s="68" t="s">
        <v>65</v>
      </c>
      <c r="AY160" s="68"/>
      <c r="AZ160" s="68"/>
      <c r="BA160" s="68"/>
    </row>
    <row r="161" spans="1:53" s="43" customFormat="1" x14ac:dyDescent="0.3">
      <c r="B161" s="43" t="s">
        <v>94</v>
      </c>
      <c r="C161" s="43" t="s">
        <v>95</v>
      </c>
      <c r="D161" s="43" t="s">
        <v>96</v>
      </c>
      <c r="E161" s="43" t="s">
        <v>97</v>
      </c>
      <c r="F161" s="43" t="s">
        <v>94</v>
      </c>
      <c r="G161" s="43" t="s">
        <v>95</v>
      </c>
      <c r="H161" s="43" t="s">
        <v>96</v>
      </c>
      <c r="I161" s="43" t="s">
        <v>97</v>
      </c>
      <c r="J161" s="43" t="s">
        <v>94</v>
      </c>
      <c r="K161" s="43" t="s">
        <v>95</v>
      </c>
      <c r="L161" s="43" t="s">
        <v>96</v>
      </c>
      <c r="M161" s="43" t="s">
        <v>97</v>
      </c>
      <c r="N161" s="43" t="s">
        <v>94</v>
      </c>
      <c r="O161" s="43" t="s">
        <v>95</v>
      </c>
      <c r="P161" s="43" t="s">
        <v>96</v>
      </c>
      <c r="Q161" s="43" t="s">
        <v>97</v>
      </c>
      <c r="R161" s="43" t="s">
        <v>94</v>
      </c>
      <c r="S161" s="43" t="s">
        <v>95</v>
      </c>
      <c r="T161" s="43" t="s">
        <v>96</v>
      </c>
      <c r="U161" s="43" t="s">
        <v>97</v>
      </c>
      <c r="V161" s="43" t="s">
        <v>94</v>
      </c>
      <c r="W161" s="43" t="s">
        <v>95</v>
      </c>
      <c r="X161" s="43" t="s">
        <v>96</v>
      </c>
      <c r="Y161" s="43" t="s">
        <v>97</v>
      </c>
      <c r="Z161" s="43" t="s">
        <v>94</v>
      </c>
      <c r="AA161" s="43" t="s">
        <v>95</v>
      </c>
      <c r="AB161" s="43" t="s">
        <v>96</v>
      </c>
      <c r="AC161" s="43" t="s">
        <v>97</v>
      </c>
      <c r="AD161" s="43" t="s">
        <v>94</v>
      </c>
      <c r="AE161" s="43" t="s">
        <v>95</v>
      </c>
      <c r="AF161" s="43" t="s">
        <v>96</v>
      </c>
      <c r="AG161" s="43" t="s">
        <v>97</v>
      </c>
      <c r="AH161" s="43" t="s">
        <v>94</v>
      </c>
      <c r="AI161" s="43" t="s">
        <v>95</v>
      </c>
      <c r="AJ161" s="43" t="s">
        <v>96</v>
      </c>
      <c r="AK161" s="43" t="s">
        <v>97</v>
      </c>
      <c r="AL161" s="43" t="s">
        <v>94</v>
      </c>
      <c r="AM161" s="43" t="s">
        <v>95</v>
      </c>
      <c r="AN161" s="43" t="s">
        <v>96</v>
      </c>
      <c r="AO161" s="43" t="s">
        <v>97</v>
      </c>
      <c r="AP161" s="43" t="s">
        <v>94</v>
      </c>
      <c r="AQ161" s="43" t="s">
        <v>95</v>
      </c>
      <c r="AR161" s="43" t="s">
        <v>96</v>
      </c>
      <c r="AS161" s="43" t="s">
        <v>97</v>
      </c>
      <c r="AT161" s="43" t="s">
        <v>94</v>
      </c>
      <c r="AU161" s="43" t="s">
        <v>95</v>
      </c>
      <c r="AV161" s="43" t="s">
        <v>96</v>
      </c>
      <c r="AW161" s="43" t="s">
        <v>97</v>
      </c>
      <c r="AX161" s="43" t="s">
        <v>94</v>
      </c>
      <c r="AY161" s="43" t="s">
        <v>95</v>
      </c>
      <c r="AZ161" s="43" t="s">
        <v>96</v>
      </c>
      <c r="BA161" s="43" t="s">
        <v>97</v>
      </c>
    </row>
    <row r="162" spans="1:53" s="44" customFormat="1" x14ac:dyDescent="0.3">
      <c r="A162" s="44" t="s">
        <v>112</v>
      </c>
      <c r="B162" s="44">
        <f xml:space="preserve"> BaseFeat_HoE!$J$150</f>
        <v>49.179926799511996</v>
      </c>
      <c r="C162" s="44">
        <f xml:space="preserve"> PCA_HoE!$J$150</f>
        <v>49.024885262621112</v>
      </c>
      <c r="D162" s="44">
        <f xml:space="preserve"> BaseFeat_HoE!$O$150</f>
        <v>49.939999999999991</v>
      </c>
      <c r="E162" s="44">
        <f xml:space="preserve"> PCA_HoE!$O$150</f>
        <v>44.884839033084546</v>
      </c>
      <c r="F162" s="44">
        <f xml:space="preserve"> BaseFeat_HoE!$J$10</f>
        <v>45.499997802197797</v>
      </c>
      <c r="G162" s="44">
        <f xml:space="preserve"> PCA_HoE!$J$10</f>
        <v>42.203208150693044</v>
      </c>
      <c r="H162" s="44">
        <f xml:space="preserve"> BaseFeat_HoE!$O$10</f>
        <v>50.98499558693733</v>
      </c>
      <c r="I162" s="44">
        <f xml:space="preserve"> PCA_HoE!$O$10</f>
        <v>47.490000000000009</v>
      </c>
      <c r="J162" s="44">
        <f xml:space="preserve"> BaseFeat_HoE!$J$24</f>
        <v>42.960297743661314</v>
      </c>
      <c r="K162" s="44">
        <f xml:space="preserve"> PCA_HoE!$J$24</f>
        <v>43.457389304197818</v>
      </c>
      <c r="L162" s="44">
        <f xml:space="preserve"> BaseFeat_HoE!$O$24</f>
        <v>40.78492583057497</v>
      </c>
      <c r="M162" s="44">
        <f xml:space="preserve"> PCA_HoE!$O$24</f>
        <v>47.579409663865547</v>
      </c>
      <c r="N162" s="44">
        <f xml:space="preserve"> BaseFeat_HoE!$J$165</f>
        <v>41.18489741410707</v>
      </c>
      <c r="O162" s="44">
        <f xml:space="preserve"> PCA_HoE!$J$165</f>
        <v>40.444821362343923</v>
      </c>
      <c r="P162" s="44">
        <f xml:space="preserve"> BaseFeat_HoE!$O$165</f>
        <v>44.524999438517689</v>
      </c>
      <c r="Q162" s="44">
        <f xml:space="preserve"> PCA_HoE!$O$165</f>
        <v>34.74137285940423</v>
      </c>
      <c r="R162" s="44">
        <f xml:space="preserve"> BaseFeat_HoE!$J$38</f>
        <v>26.362271269571778</v>
      </c>
      <c r="S162" s="44">
        <f xml:space="preserve"> PCA_HoE!$J$38</f>
        <v>26.362271269571778</v>
      </c>
      <c r="T162" s="44">
        <f xml:space="preserve"> BaseFeat_HoE!$O$38</f>
        <v>38.362071567989588</v>
      </c>
      <c r="U162" s="44">
        <f xml:space="preserve"> PCA_HoE!$O$38</f>
        <v>26.514429857464364</v>
      </c>
      <c r="V162" s="44">
        <f xml:space="preserve"> BaseFeat_HoE!$J$52</f>
        <v>28.287604938271603</v>
      </c>
      <c r="W162" s="44">
        <f xml:space="preserve"> PCA_HoE!$J$52</f>
        <v>28.287604938271603</v>
      </c>
      <c r="X162" s="44">
        <f xml:space="preserve"> BaseFeat_HoE!$O$52</f>
        <v>40.673863552550706</v>
      </c>
      <c r="Y162" s="44">
        <f xml:space="preserve"> PCA_HoE!$O$52</f>
        <v>42.965566091625732</v>
      </c>
      <c r="Z162" s="44">
        <f xml:space="preserve"> BaseFeat_HoE!$J$66</f>
        <v>35.140744584252168</v>
      </c>
      <c r="AA162" s="44">
        <f xml:space="preserve"> PCA_HoE!$J$66</f>
        <v>35.140744584252168</v>
      </c>
      <c r="AB162" s="44">
        <f xml:space="preserve"> BaseFeat_HoE!$O$66</f>
        <v>43.984749346368083</v>
      </c>
      <c r="AC162" s="44">
        <f xml:space="preserve"> PCA_HoE!$O$66</f>
        <v>47.394024686148327</v>
      </c>
      <c r="AD162" s="44">
        <f xml:space="preserve"> BaseFeat_HoE!$J$80</f>
        <v>50.470716196136706</v>
      </c>
      <c r="AE162" s="44">
        <f xml:space="preserve"> PCA_HoE!$J$80</f>
        <v>40.666903999050668</v>
      </c>
      <c r="AF162" s="44">
        <f xml:space="preserve"> BaseFeat_HoE!$O$80</f>
        <v>40.666903999050668</v>
      </c>
      <c r="AG162" s="44">
        <f xml:space="preserve"> PCA_HoE!$O$80</f>
        <v>56.661580381471381</v>
      </c>
      <c r="AH162" s="44">
        <f xml:space="preserve"> BaseFeat_HoE!$J$179</f>
        <v>46.38499514929395</v>
      </c>
      <c r="AI162" s="44">
        <f xml:space="preserve"> PCA_HoE!$J$179</f>
        <v>56.009285841813956</v>
      </c>
      <c r="AJ162" s="44">
        <f xml:space="preserve"> BaseFeat_HoE!$O$179</f>
        <v>42.864112912632685</v>
      </c>
      <c r="AK162" s="44">
        <f xml:space="preserve"> PCA_HoE!$O$179</f>
        <v>45.054986128065693</v>
      </c>
      <c r="AL162" s="44">
        <f xml:space="preserve"> BaseFeat_HoE!$J$94</f>
        <v>46.711694734598176</v>
      </c>
      <c r="AM162" s="44">
        <f xml:space="preserve"> PCA_HoE!$J$94</f>
        <v>40.383927506855841</v>
      </c>
      <c r="AN162" s="44">
        <f xml:space="preserve"> BaseFeat_HoE!$O$94</f>
        <v>30.405971719829004</v>
      </c>
      <c r="AO162" s="44">
        <f xml:space="preserve"> PCA_HoE!$O$94</f>
        <v>40.383927506855841</v>
      </c>
      <c r="AP162" s="44">
        <f xml:space="preserve"> BaseFeat_HoE!$J$108</f>
        <v>23.747459685863873</v>
      </c>
      <c r="AQ162" s="44">
        <f xml:space="preserve"> PCA_HoE!$J$108</f>
        <v>23.592418300653595</v>
      </c>
      <c r="AR162" s="44">
        <f xml:space="preserve"> BaseFeat_HoE!$O$108</f>
        <v>23.029556650246302</v>
      </c>
      <c r="AS162" s="44">
        <f xml:space="preserve"> PCA_HoE!$O$108</f>
        <v>24.423644136807816</v>
      </c>
      <c r="AT162" s="44">
        <f xml:space="preserve"> BaseFeat_HoE!$J$122</f>
        <v>47.753396029258099</v>
      </c>
      <c r="AU162" s="44">
        <f xml:space="preserve"> PCA_HoE!$J$122</f>
        <v>47.753396029258099</v>
      </c>
      <c r="AV162" s="44">
        <f xml:space="preserve"> BaseFeat_HoE!$O$122</f>
        <v>47.753396029258099</v>
      </c>
      <c r="AW162" s="44">
        <f xml:space="preserve"> PCA_HoE!$O$122</f>
        <v>47.753396029258099</v>
      </c>
      <c r="AX162" s="44">
        <f xml:space="preserve"> BaseFeat_HoE!$J$136</f>
        <v>51.073625061184536</v>
      </c>
      <c r="AY162" s="44">
        <f xml:space="preserve"> PCA_HoE!$J$136</f>
        <v>50.843618841577339</v>
      </c>
      <c r="AZ162" s="44">
        <f xml:space="preserve"> BaseFeat_HoE!$O$136</f>
        <v>34.529265418357994</v>
      </c>
      <c r="BA162" s="44">
        <f xml:space="preserve"> PCA_HoE!$O$136</f>
        <v>52.334999522308209</v>
      </c>
    </row>
    <row r="163" spans="1:53" s="44" customFormat="1" x14ac:dyDescent="0.3">
      <c r="A163" s="44" t="s">
        <v>113</v>
      </c>
      <c r="B163" s="44">
        <f xml:space="preserve"> BaseFeat_HoE!$J$151</f>
        <v>48.224364955935719</v>
      </c>
      <c r="C163" s="44">
        <f xml:space="preserve"> PCA_HoE!$J$151</f>
        <v>49.239601949634441</v>
      </c>
      <c r="D163" s="44">
        <f xml:space="preserve"> BaseFeat_HoE!$O$151</f>
        <v>49.374987341772147</v>
      </c>
      <c r="E163" s="44">
        <f xml:space="preserve"> PCA_HoE!$O$151</f>
        <v>44.209918570459173</v>
      </c>
      <c r="F163" s="44">
        <f xml:space="preserve"> BaseFeat_HoE!$J$11</f>
        <v>41.763045297000126</v>
      </c>
      <c r="G163" s="44">
        <f xml:space="preserve"> PCA_HoE!$J$11</f>
        <v>45.959595871808801</v>
      </c>
      <c r="H163" s="44">
        <f xml:space="preserve"> BaseFeat_HoE!$O$11</f>
        <v>48.629948591404478</v>
      </c>
      <c r="I163" s="44">
        <f xml:space="preserve"> PCA_HoE!$O$11</f>
        <v>44.393741557856828</v>
      </c>
      <c r="J163" s="44">
        <f xml:space="preserve"> BaseFeat_HoE!$J$25</f>
        <v>61.575940240337772</v>
      </c>
      <c r="K163" s="44">
        <f xml:space="preserve"> PCA_HoE!$J$25</f>
        <v>55.674995958688818</v>
      </c>
      <c r="L163" s="44">
        <f xml:space="preserve"> BaseFeat_HoE!$O$25</f>
        <v>67.636659275683655</v>
      </c>
      <c r="M163" s="44">
        <f xml:space="preserve"> PCA_HoE!$O$25</f>
        <v>62.904751609569985</v>
      </c>
      <c r="N163" s="44">
        <f xml:space="preserve"> BaseFeat_HoE!$J$166</f>
        <v>50.759998029944839</v>
      </c>
      <c r="O163" s="44">
        <f xml:space="preserve"> PCA_HoE!$J$166</f>
        <v>40.320622529644261</v>
      </c>
      <c r="P163" s="44">
        <f xml:space="preserve"> BaseFeat_HoE!$O$166</f>
        <v>43.454458884416333</v>
      </c>
      <c r="Q163" s="44">
        <f xml:space="preserve"> PCA_HoE!$O$166</f>
        <v>52.439382151029747</v>
      </c>
      <c r="R163" s="44">
        <f xml:space="preserve"> BaseFeat_HoE!$J$39</f>
        <v>44.413563090605898</v>
      </c>
      <c r="S163" s="44">
        <f xml:space="preserve"> PCA_HoE!$J$39</f>
        <v>44.413563090605898</v>
      </c>
      <c r="T163" s="44">
        <f xml:space="preserve"> BaseFeat_HoE!$O$39</f>
        <v>44.413563090605898</v>
      </c>
      <c r="U163" s="44">
        <f xml:space="preserve"> PCA_HoE!$O$39</f>
        <v>47.066604552673375</v>
      </c>
      <c r="V163" s="44">
        <f xml:space="preserve"> BaseFeat_HoE!$J$53</f>
        <v>38.79723853683668</v>
      </c>
      <c r="W163" s="44">
        <f xml:space="preserve"> PCA_HoE!$J$53</f>
        <v>38.79723853683668</v>
      </c>
      <c r="X163" s="44">
        <f xml:space="preserve"> BaseFeat_HoE!$O$53</f>
        <v>44.19</v>
      </c>
      <c r="Y163" s="44">
        <f xml:space="preserve"> PCA_HoE!$O$53</f>
        <v>44.174999434069051</v>
      </c>
      <c r="Z163" s="44">
        <f xml:space="preserve"> BaseFeat_HoE!$J$67</f>
        <v>41.684161418241189</v>
      </c>
      <c r="AA163" s="44">
        <f xml:space="preserve"> PCA_HoE!$J$67</f>
        <v>41.684161418241189</v>
      </c>
      <c r="AB163" s="44">
        <f xml:space="preserve"> BaseFeat_HoE!$O$67</f>
        <v>41.684161418241189</v>
      </c>
      <c r="AC163" s="44">
        <f xml:space="preserve"> PCA_HoE!$O$67</f>
        <v>40.158901892430286</v>
      </c>
      <c r="AD163" s="44">
        <f xml:space="preserve"> BaseFeat_HoE!$J$81</f>
        <v>27.272033619587063</v>
      </c>
      <c r="AE163" s="44">
        <f xml:space="preserve"> PCA_HoE!$J$81</f>
        <v>16.0915688101895</v>
      </c>
      <c r="AF163" s="44">
        <f xml:space="preserve"> BaseFeat_HoE!$O$81</f>
        <v>29.695161828495166</v>
      </c>
      <c r="AG163" s="44">
        <f xml:space="preserve"> PCA_HoE!$O$81</f>
        <v>41.967429785225391</v>
      </c>
      <c r="AH163" s="44">
        <f xml:space="preserve"> BaseFeat_HoE!$J$180</f>
        <v>45.499206593406598</v>
      </c>
      <c r="AI163" s="44">
        <f xml:space="preserve"> PCA_HoE!$J$180</f>
        <v>49.669991946849201</v>
      </c>
      <c r="AJ163" s="44">
        <f xml:space="preserve"> BaseFeat_HoE!$O$180</f>
        <v>48.494851015568614</v>
      </c>
      <c r="AK163" s="44">
        <f xml:space="preserve"> PCA_HoE!$O$180</f>
        <v>46.754550315474283</v>
      </c>
      <c r="AL163" s="44">
        <f xml:space="preserve"> BaseFeat_HoE!$J$95</f>
        <v>35.525467440361062</v>
      </c>
      <c r="AM163" s="44">
        <f xml:space="preserve"> PCA_HoE!$J$95</f>
        <v>35.525467440361062</v>
      </c>
      <c r="AN163" s="44">
        <f xml:space="preserve"> BaseFeat_HoE!$O$95</f>
        <v>30.986887508626637</v>
      </c>
      <c r="AO163" s="44">
        <f xml:space="preserve"> PCA_HoE!$O$95</f>
        <v>36.956055728391718</v>
      </c>
      <c r="AP163" s="44">
        <f xml:space="preserve"> BaseFeat_HoE!$J$109</f>
        <v>34.05433922447903</v>
      </c>
      <c r="AQ163" s="44">
        <f xml:space="preserve"> PCA_HoE!$J$109</f>
        <v>34.05433922447903</v>
      </c>
      <c r="AR163" s="44">
        <f xml:space="preserve"> BaseFeat_HoE!$O$109</f>
        <v>34.05433922447903</v>
      </c>
      <c r="AS163" s="44">
        <f xml:space="preserve"> PCA_HoE!$O$109</f>
        <v>34.038683029823169</v>
      </c>
      <c r="AT163" s="44">
        <f xml:space="preserve"> BaseFeat_HoE!$J$123</f>
        <v>47.769769142379616</v>
      </c>
      <c r="AU163" s="44">
        <f xml:space="preserve"> PCA_HoE!$J$123</f>
        <v>47.769769142379616</v>
      </c>
      <c r="AV163" s="44">
        <f xml:space="preserve"> BaseFeat_HoE!$O$123</f>
        <v>47.769769142379616</v>
      </c>
      <c r="AW163" s="44">
        <f xml:space="preserve"> PCA_HoE!$O$123</f>
        <v>47.769769142379616</v>
      </c>
      <c r="AX163" s="44">
        <f xml:space="preserve"> BaseFeat_HoE!$J$137</f>
        <v>35.586940151728008</v>
      </c>
      <c r="AY163" s="44">
        <f xml:space="preserve"> PCA_HoE!$J$137</f>
        <v>34.848526753693875</v>
      </c>
      <c r="AZ163" s="44">
        <f xml:space="preserve"> BaseFeat_HoE!$O$137</f>
        <v>34.457600464239079</v>
      </c>
      <c r="BA163" s="44">
        <f xml:space="preserve"> PCA_HoE!$O$137</f>
        <v>34.979082463913102</v>
      </c>
    </row>
    <row r="164" spans="1:53" s="44" customFormat="1" x14ac:dyDescent="0.3">
      <c r="A164" s="44" t="s">
        <v>114</v>
      </c>
      <c r="B164" s="44">
        <f xml:space="preserve"> BaseFeat_HoE!$J$152</f>
        <v>43.699990846681921</v>
      </c>
      <c r="C164" s="44">
        <f xml:space="preserve"> PCA_HoE!$J$152</f>
        <v>48.324995344024835</v>
      </c>
      <c r="D164" s="44">
        <f xml:space="preserve"> BaseFeat_HoE!$O$152</f>
        <v>51.634999515832284</v>
      </c>
      <c r="E164" s="44">
        <f xml:space="preserve"> PCA_HoE!$O$152</f>
        <v>50.204999502041638</v>
      </c>
      <c r="F164" s="44">
        <f xml:space="preserve"> BaseFeat_HoE!$J$12</f>
        <v>43.909997722614442</v>
      </c>
      <c r="G164" s="44">
        <f xml:space="preserve"> PCA_HoE!$J$12</f>
        <v>32.749596221240289</v>
      </c>
      <c r="H164" s="44">
        <f xml:space="preserve"> BaseFeat_HoE!$O$12</f>
        <v>42.929403680409969</v>
      </c>
      <c r="I164" s="44">
        <f xml:space="preserve"> PCA_HoE!$O$12</f>
        <v>46.944999467461926</v>
      </c>
      <c r="J164" s="44">
        <f xml:space="preserve"> BaseFeat_HoE!$J$26</f>
        <v>47.341704509451894</v>
      </c>
      <c r="K164" s="44">
        <f xml:space="preserve"> PCA_HoE!$J$26</f>
        <v>45.556966970262273</v>
      </c>
      <c r="L164" s="44">
        <f xml:space="preserve"> BaseFeat_HoE!$O$26</f>
        <v>58.730484378990376</v>
      </c>
      <c r="M164" s="44">
        <f xml:space="preserve"> PCA_HoE!$O$26</f>
        <v>57.069956194147537</v>
      </c>
      <c r="N164" s="44">
        <f xml:space="preserve"> BaseFeat_HoE!$J$167</f>
        <v>51.584960744402444</v>
      </c>
      <c r="O164" s="44">
        <f xml:space="preserve"> PCA_HoE!$J$167</f>
        <v>49.67</v>
      </c>
      <c r="P164" s="44">
        <f xml:space="preserve"> BaseFeat_HoE!$O$167</f>
        <v>46.27346369922212</v>
      </c>
      <c r="Q164" s="44">
        <f xml:space="preserve"> PCA_HoE!$O$167</f>
        <v>43.782050696506055</v>
      </c>
      <c r="R164" s="44">
        <f xml:space="preserve"> BaseFeat_HoE!$J$40</f>
        <v>42.961441934747889</v>
      </c>
      <c r="S164" s="44">
        <f xml:space="preserve"> PCA_HoE!$J$40</f>
        <v>42.961441934747889</v>
      </c>
      <c r="T164" s="44">
        <f xml:space="preserve"> BaseFeat_HoE!$O$40</f>
        <v>35.408172710596865</v>
      </c>
      <c r="U164" s="44">
        <f xml:space="preserve"> PCA_HoE!$O$40</f>
        <v>50.672168508287299</v>
      </c>
      <c r="V164" s="44">
        <f xml:space="preserve"> BaseFeat_HoE!$J$54</f>
        <v>23.353977758768178</v>
      </c>
      <c r="W164" s="44">
        <f xml:space="preserve"> PCA_HoE!$J$54</f>
        <v>23.364651560495936</v>
      </c>
      <c r="X164" s="44">
        <f xml:space="preserve"> BaseFeat_HoE!$O$54</f>
        <v>26.150222222222222</v>
      </c>
      <c r="Y164" s="44">
        <f xml:space="preserve"> PCA_HoE!$O$54</f>
        <v>45.905168344700662</v>
      </c>
      <c r="Z164" s="44">
        <f xml:space="preserve"> BaseFeat_HoE!$J$68</f>
        <v>37.5</v>
      </c>
      <c r="AA164" s="44">
        <f xml:space="preserve"> PCA_HoE!$J$68</f>
        <v>37.5</v>
      </c>
      <c r="AB164" s="44">
        <f xml:space="preserve"> BaseFeat_HoE!$O$68</f>
        <v>51.124995599022007</v>
      </c>
      <c r="AC164" s="44">
        <f xml:space="preserve"> PCA_HoE!$O$68</f>
        <v>37.5</v>
      </c>
      <c r="AD164" s="44">
        <f xml:space="preserve"> BaseFeat_HoE!$J$82</f>
        <v>30.294933157286678</v>
      </c>
      <c r="AE164" s="44">
        <f xml:space="preserve"> PCA_HoE!$J$82</f>
        <v>30.284933135215454</v>
      </c>
      <c r="AF164" s="44">
        <f xml:space="preserve"> BaseFeat_HoE!$O$82</f>
        <v>35.425545654139221</v>
      </c>
      <c r="AG164" s="44">
        <f xml:space="preserve"> PCA_HoE!$O$82</f>
        <v>44.579979811574695</v>
      </c>
      <c r="AH164" s="44">
        <f xml:space="preserve"> BaseFeat_HoE!$J$181</f>
        <v>58.598805664562363</v>
      </c>
      <c r="AI164" s="44">
        <f xml:space="preserve"> PCA_HoE!$J$181</f>
        <v>58.192286941580754</v>
      </c>
      <c r="AJ164" s="44">
        <f xml:space="preserve"> BaseFeat_HoE!$O$181</f>
        <v>53.689908735332466</v>
      </c>
      <c r="AK164" s="44">
        <f xml:space="preserve"> PCA_HoE!$O$181</f>
        <v>48.424999483737736</v>
      </c>
      <c r="AL164" s="44">
        <f xml:space="preserve"> BaseFeat_HoE!$J$96</f>
        <v>32.279081064356433</v>
      </c>
      <c r="AM164" s="44">
        <f xml:space="preserve"> PCA_HoE!$J$96</f>
        <v>32.967231980617804</v>
      </c>
      <c r="AN164" s="44">
        <f xml:space="preserve"> BaseFeat_HoE!$O$96</f>
        <v>41.948217810286785</v>
      </c>
      <c r="AO164" s="44">
        <f xml:space="preserve"> PCA_HoE!$O$96</f>
        <v>41.948217810286785</v>
      </c>
      <c r="AP164" s="44">
        <f xml:space="preserve"> BaseFeat_HoE!$J$110</f>
        <v>18.659644850329784</v>
      </c>
      <c r="AQ164" s="44">
        <f xml:space="preserve"> PCA_HoE!$J$110</f>
        <v>18.659644850329784</v>
      </c>
      <c r="AR164" s="44">
        <f xml:space="preserve"> BaseFeat_HoE!$O$110</f>
        <v>43.518424502712477</v>
      </c>
      <c r="AS164" s="44">
        <f xml:space="preserve"> PCA_HoE!$O$110</f>
        <v>43.572960162509872</v>
      </c>
      <c r="AT164" s="44">
        <f xml:space="preserve"> BaseFeat_HoE!$J$124</f>
        <v>47.017060506516898</v>
      </c>
      <c r="AU164" s="44">
        <f xml:space="preserve"> PCA_HoE!$J$124</f>
        <v>47.017060506516898</v>
      </c>
      <c r="AV164" s="44">
        <f xml:space="preserve"> BaseFeat_HoE!$O$124</f>
        <v>47.017060506516898</v>
      </c>
      <c r="AW164" s="44">
        <f xml:space="preserve"> PCA_HoE!$O$124</f>
        <v>46.921697111299913</v>
      </c>
      <c r="AX164" s="44">
        <f xml:space="preserve"> BaseFeat_HoE!$J$138</f>
        <v>39.551996131060328</v>
      </c>
      <c r="AY164" s="44">
        <f xml:space="preserve"> PCA_HoE!$J$138</f>
        <v>39.562432007736007</v>
      </c>
      <c r="AZ164" s="44">
        <f xml:space="preserve"> BaseFeat_HoE!$O$138</f>
        <v>39.562432007736007</v>
      </c>
      <c r="BA164" s="44">
        <f xml:space="preserve"> PCA_HoE!$O$138</f>
        <v>50.234318702100126</v>
      </c>
    </row>
    <row r="165" spans="1:53" s="44" customFormat="1" x14ac:dyDescent="0.3">
      <c r="A165" s="44" t="s">
        <v>115</v>
      </c>
      <c r="B165" s="44">
        <f xml:space="preserve"> BaseFeat_HoE!$J$153</f>
        <v>44.970140409065785</v>
      </c>
      <c r="C165" s="44">
        <f xml:space="preserve"> PCA_HoE!$J$153</f>
        <v>43.443505831729134</v>
      </c>
      <c r="D165" s="44">
        <f xml:space="preserve"> BaseFeat_HoE!$O$153</f>
        <v>57.20242424242425</v>
      </c>
      <c r="E165" s="44">
        <f xml:space="preserve"> PCA_HoE!$O$153</f>
        <v>56.132977398113539</v>
      </c>
      <c r="F165" s="44">
        <f xml:space="preserve"> BaseFeat_HoE!$J$13</f>
        <v>43.72155560558307</v>
      </c>
      <c r="G165" s="44">
        <f xml:space="preserve"> PCA_HoE!$J$13</f>
        <v>43.717730496453903</v>
      </c>
      <c r="H165" s="44">
        <f xml:space="preserve"> BaseFeat_HoE!$O$13</f>
        <v>54.913224690458847</v>
      </c>
      <c r="I165" s="44">
        <f xml:space="preserve"> PCA_HoE!$O$13</f>
        <v>46.680265524625263</v>
      </c>
      <c r="J165" s="44">
        <f xml:space="preserve"> BaseFeat_HoE!$J$27</f>
        <v>40.082454477425792</v>
      </c>
      <c r="K165" s="44">
        <f xml:space="preserve"> PCA_HoE!$J$27</f>
        <v>39.992781804548862</v>
      </c>
      <c r="L165" s="44">
        <f xml:space="preserve"> BaseFeat_HoE!$O$27</f>
        <v>56.340480709534361</v>
      </c>
      <c r="M165" s="44">
        <f xml:space="preserve"> PCA_HoE!$O$27</f>
        <v>54.761485808159172</v>
      </c>
      <c r="N165" s="44">
        <f xml:space="preserve"> BaseFeat_HoE!$J$168</f>
        <v>63.84701619901648</v>
      </c>
      <c r="O165" s="44">
        <f xml:space="preserve"> PCA_HoE!$J$168</f>
        <v>43.355613458706245</v>
      </c>
      <c r="P165" s="44">
        <f xml:space="preserve"> BaseFeat_HoE!$O$168</f>
        <v>46.473163495646553</v>
      </c>
      <c r="Q165" s="44">
        <f xml:space="preserve"> PCA_HoE!$O$168</f>
        <v>49.268972095383056</v>
      </c>
      <c r="R165" s="44">
        <f xml:space="preserve"> BaseFeat_HoE!$J$41</f>
        <v>45.498146936995852</v>
      </c>
      <c r="S165" s="44">
        <f xml:space="preserve"> PCA_HoE!$J$41</f>
        <v>45.498146936995852</v>
      </c>
      <c r="T165" s="44">
        <f xml:space="preserve"> BaseFeat_HoE!$O$41</f>
        <v>45.48806585259485</v>
      </c>
      <c r="U165" s="44">
        <f xml:space="preserve"> PCA_HoE!$O$41</f>
        <v>47.723208198264139</v>
      </c>
      <c r="V165" s="44">
        <f xml:space="preserve"> BaseFeat_HoE!$J$55</f>
        <v>40.460224635892374</v>
      </c>
      <c r="W165" s="44">
        <f xml:space="preserve"> PCA_HoE!$J$55</f>
        <v>38.522479896238657</v>
      </c>
      <c r="X165" s="44">
        <f xml:space="preserve"> BaseFeat_HoE!$O$55</f>
        <v>40.541779640128169</v>
      </c>
      <c r="Y165" s="44">
        <f xml:space="preserve"> PCA_HoE!$O$55</f>
        <v>31.424770087509945</v>
      </c>
      <c r="Z165" s="44">
        <f xml:space="preserve"> BaseFeat_HoE!$J$69</f>
        <v>45.024738867509626</v>
      </c>
      <c r="AA165" s="44">
        <f xml:space="preserve"> PCA_HoE!$J$69</f>
        <v>45.024738867509626</v>
      </c>
      <c r="AB165" s="44">
        <f xml:space="preserve"> BaseFeat_HoE!$O$69</f>
        <v>45.024738867509626</v>
      </c>
      <c r="AC165" s="44">
        <f xml:space="preserve"> PCA_HoE!$O$69</f>
        <v>45.024738867509626</v>
      </c>
      <c r="AD165" s="44">
        <f xml:space="preserve"> BaseFeat_HoE!$J$83</f>
        <v>46.706459177147735</v>
      </c>
      <c r="AE165" s="44">
        <f xml:space="preserve"> PCA_HoE!$J$83</f>
        <v>46.706459177147735</v>
      </c>
      <c r="AF165" s="44">
        <f xml:space="preserve"> BaseFeat_HoE!$O$83</f>
        <v>46.706459177147735</v>
      </c>
      <c r="AG165" s="44">
        <f xml:space="preserve"> PCA_HoE!$O$83</f>
        <v>51.33054322429907</v>
      </c>
      <c r="AH165" s="44">
        <f xml:space="preserve"> BaseFeat_HoE!$J$182</f>
        <v>52.870011316484344</v>
      </c>
      <c r="AI165" s="44">
        <f xml:space="preserve"> PCA_HoE!$J$182</f>
        <v>51.361665855794492</v>
      </c>
      <c r="AJ165" s="44">
        <f xml:space="preserve"> BaseFeat_HoE!$O$182</f>
        <v>57.913497366830697</v>
      </c>
      <c r="AK165" s="44">
        <f xml:space="preserve"> PCA_HoE!$O$182</f>
        <v>42.162011146685636</v>
      </c>
      <c r="AL165" s="44">
        <f xml:space="preserve"> BaseFeat_HoE!$J$97</f>
        <v>40.504521656354122</v>
      </c>
      <c r="AM165" s="44">
        <f xml:space="preserve"> PCA_HoE!$J$97</f>
        <v>40.504521656354122</v>
      </c>
      <c r="AN165" s="44">
        <f xml:space="preserve"> BaseFeat_HoE!$O$97</f>
        <v>40.504521656354122</v>
      </c>
      <c r="AO165" s="44">
        <f xml:space="preserve"> PCA_HoE!$O$97</f>
        <v>40.504521656354122</v>
      </c>
      <c r="AP165" s="44">
        <f xml:space="preserve"> BaseFeat_HoE!$J$111</f>
        <v>41.731732898263601</v>
      </c>
      <c r="AQ165" s="44">
        <f xml:space="preserve"> PCA_HoE!$J$111</f>
        <v>41.731732898263601</v>
      </c>
      <c r="AR165" s="44">
        <f xml:space="preserve"> BaseFeat_HoE!$O$111</f>
        <v>41.731732898263601</v>
      </c>
      <c r="AS165" s="44">
        <f xml:space="preserve"> PCA_HoE!$O$111</f>
        <v>45.392378015199917</v>
      </c>
      <c r="AT165" s="44">
        <f xml:space="preserve"> BaseFeat_HoE!$J$125</f>
        <v>49.879711307137136</v>
      </c>
      <c r="AU165" s="44">
        <f xml:space="preserve"> PCA_HoE!$J$125</f>
        <v>49.879711307137136</v>
      </c>
      <c r="AV165" s="44">
        <f xml:space="preserve"> BaseFeat_HoE!$O$125</f>
        <v>49.879711307137136</v>
      </c>
      <c r="AW165" s="44">
        <f xml:space="preserve"> PCA_HoE!$O$125</f>
        <v>49.879711307137136</v>
      </c>
      <c r="AX165" s="44">
        <f xml:space="preserve"> BaseFeat_HoE!$J$139</f>
        <v>43.349195558576938</v>
      </c>
      <c r="AY165" s="44">
        <f xml:space="preserve"> PCA_HoE!$J$139</f>
        <v>43.349195558576938</v>
      </c>
      <c r="AZ165" s="44">
        <f xml:space="preserve"> BaseFeat_HoE!$O$139</f>
        <v>43.349195558576938</v>
      </c>
      <c r="BA165" s="44">
        <f xml:space="preserve"> PCA_HoE!$O$139</f>
        <v>48.43651294748787</v>
      </c>
    </row>
    <row r="166" spans="1:53" s="44" customFormat="1" x14ac:dyDescent="0.3">
      <c r="A166" s="44" t="s">
        <v>116</v>
      </c>
      <c r="B166" s="44">
        <f>AVERAGE(B162:B165)</f>
        <v>46.518605752798855</v>
      </c>
      <c r="C166" s="44">
        <f t="shared" ref="C166:E166" si="6">AVERAGE(C162:C165)</f>
        <v>47.508247097002382</v>
      </c>
      <c r="D166" s="44">
        <f t="shared" si="6"/>
        <v>52.038102775007168</v>
      </c>
      <c r="E166" s="44">
        <f t="shared" si="6"/>
        <v>48.858183625924724</v>
      </c>
      <c r="F166" s="44">
        <f>AVERAGE(F162:F165)</f>
        <v>43.723649106848853</v>
      </c>
      <c r="G166" s="44">
        <f t="shared" ref="G166" si="7">AVERAGE(G162:G165)</f>
        <v>41.157532685049006</v>
      </c>
      <c r="H166" s="44">
        <f t="shared" ref="H166" si="8">AVERAGE(H162:H165)</f>
        <v>49.364393137302656</v>
      </c>
      <c r="I166" s="44">
        <f t="shared" ref="I166" si="9">AVERAGE(I162:I165)</f>
        <v>46.377251637486012</v>
      </c>
      <c r="J166" s="44">
        <f>AVERAGE(J162:J165)</f>
        <v>47.990099242719189</v>
      </c>
      <c r="K166" s="44">
        <f t="shared" ref="K166" si="10">AVERAGE(K162:K165)</f>
        <v>46.170533509424438</v>
      </c>
      <c r="L166" s="44">
        <f t="shared" ref="L166" si="11">AVERAGE(L162:L165)</f>
        <v>55.873137548695837</v>
      </c>
      <c r="M166" s="44">
        <f t="shared" ref="M166" si="12">AVERAGE(M162:M165)</f>
        <v>55.578900818935558</v>
      </c>
      <c r="N166" s="44">
        <f>AVERAGE(N162:N165)</f>
        <v>51.844218096867706</v>
      </c>
      <c r="O166" s="44">
        <f t="shared" ref="O166" si="13">AVERAGE(O162:O165)</f>
        <v>43.447764337673611</v>
      </c>
      <c r="P166" s="44">
        <f t="shared" ref="P166" si="14">AVERAGE(P162:P165)</f>
        <v>45.181521379450679</v>
      </c>
      <c r="Q166" s="44">
        <f t="shared" ref="Q166" si="15">AVERAGE(Q162:Q165)</f>
        <v>45.05794445058077</v>
      </c>
      <c r="R166" s="44">
        <f>AVERAGE(R162:R165)</f>
        <v>39.808855807980351</v>
      </c>
      <c r="S166" s="44">
        <f t="shared" ref="S166" si="16">AVERAGE(S162:S165)</f>
        <v>39.808855807980351</v>
      </c>
      <c r="T166" s="44">
        <f t="shared" ref="T166" si="17">AVERAGE(T162:T165)</f>
        <v>40.917968305446799</v>
      </c>
      <c r="U166" s="44">
        <f t="shared" ref="U166" si="18">AVERAGE(U162:U165)</f>
        <v>42.994102779172295</v>
      </c>
      <c r="V166" s="44">
        <f>AVERAGE(V162:V165)</f>
        <v>32.724761467442207</v>
      </c>
      <c r="W166" s="44">
        <f t="shared" ref="W166" si="19">AVERAGE(W162:W165)</f>
        <v>32.24299373296072</v>
      </c>
      <c r="X166" s="44">
        <f t="shared" ref="X166" si="20">AVERAGE(X162:X165)</f>
        <v>37.888966353725273</v>
      </c>
      <c r="Y166" s="44">
        <f t="shared" ref="Y166" si="21">AVERAGE(Y162:Y165)</f>
        <v>41.117625989476352</v>
      </c>
      <c r="Z166" s="44">
        <f>AVERAGE(Z162:Z165)</f>
        <v>39.837411217500744</v>
      </c>
      <c r="AA166" s="44">
        <f t="shared" ref="AA166" si="22">AVERAGE(AA162:AA165)</f>
        <v>39.837411217500744</v>
      </c>
      <c r="AB166" s="44">
        <f t="shared" ref="AB166" si="23">AVERAGE(AB162:AB165)</f>
        <v>45.45466130778523</v>
      </c>
      <c r="AC166" s="44">
        <f t="shared" ref="AC166" si="24">AVERAGE(AC162:AC165)</f>
        <v>42.519416361522062</v>
      </c>
      <c r="AD166" s="44">
        <f>AVERAGE(AD162:AD165)</f>
        <v>38.686035537539546</v>
      </c>
      <c r="AE166" s="44">
        <f t="shared" ref="AE166" si="25">AVERAGE(AE162:AE165)</f>
        <v>33.437466280400841</v>
      </c>
      <c r="AF166" s="44">
        <f t="shared" ref="AF166" si="26">AVERAGE(AF162:AF165)</f>
        <v>38.123517664708196</v>
      </c>
      <c r="AG166" s="44">
        <f t="shared" ref="AG166" si="27">AVERAGE(AG162:AG165)</f>
        <v>48.634883300642635</v>
      </c>
      <c r="AH166" s="44">
        <f>AVERAGE(AH162:AH165)</f>
        <v>50.838254680936814</v>
      </c>
      <c r="AI166" s="44">
        <f t="shared" ref="AI166" si="28">AVERAGE(AI162:AI165)</f>
        <v>53.808307646509597</v>
      </c>
      <c r="AJ166" s="44">
        <f t="shared" ref="AJ166" si="29">AVERAGE(AJ162:AJ165)</f>
        <v>50.740592507591117</v>
      </c>
      <c r="AK166" s="44">
        <f t="shared" ref="AK166" si="30">AVERAGE(AK162:AK165)</f>
        <v>45.599136768490837</v>
      </c>
      <c r="AL166" s="44">
        <f>AVERAGE(AL162:AL165)</f>
        <v>38.75519122391745</v>
      </c>
      <c r="AM166" s="44">
        <f t="shared" ref="AM166" si="31">AVERAGE(AM162:AM165)</f>
        <v>37.345287146047205</v>
      </c>
      <c r="AN166" s="44">
        <f t="shared" ref="AN166" si="32">AVERAGE(AN162:AN165)</f>
        <v>35.961399673774139</v>
      </c>
      <c r="AO166" s="44">
        <f t="shared" ref="AO166" si="33">AVERAGE(AO162:AO165)</f>
        <v>39.948180675472116</v>
      </c>
      <c r="AP166" s="44">
        <f>AVERAGE(AP162:AP165)</f>
        <v>29.548294164734074</v>
      </c>
      <c r="AQ166" s="44">
        <f t="shared" ref="AQ166" si="34">AVERAGE(AQ162:AQ165)</f>
        <v>29.509533818431503</v>
      </c>
      <c r="AR166" s="44">
        <f t="shared" ref="AR166" si="35">AVERAGE(AR162:AR165)</f>
        <v>35.583513318925355</v>
      </c>
      <c r="AS166" s="44">
        <f t="shared" ref="AS166" si="36">AVERAGE(AS162:AS165)</f>
        <v>36.856916336085192</v>
      </c>
      <c r="AT166" s="44">
        <f>AVERAGE(AT162:AT165)</f>
        <v>48.104984246322942</v>
      </c>
      <c r="AU166" s="44">
        <f t="shared" ref="AU166" si="37">AVERAGE(AU162:AU165)</f>
        <v>48.104984246322942</v>
      </c>
      <c r="AV166" s="44">
        <f t="shared" ref="AV166" si="38">AVERAGE(AV162:AV165)</f>
        <v>48.104984246322942</v>
      </c>
      <c r="AW166" s="44">
        <f t="shared" ref="AW166" si="39">AVERAGE(AW162:AW165)</f>
        <v>48.081143397518694</v>
      </c>
      <c r="AX166" s="44">
        <f>AVERAGE(AX162:AX165)</f>
        <v>42.390439225637451</v>
      </c>
      <c r="AY166" s="44">
        <f t="shared" ref="AY166" si="40">AVERAGE(AY162:AY165)</f>
        <v>42.150943290396043</v>
      </c>
      <c r="AZ166" s="44">
        <f t="shared" ref="AZ166" si="41">AVERAGE(AZ162:AZ165)</f>
        <v>37.974623362227504</v>
      </c>
      <c r="BA166" s="44">
        <f t="shared" ref="BA166" si="42">AVERAGE(BA162:BA165)</f>
        <v>46.496228408952327</v>
      </c>
    </row>
    <row r="167" spans="1:53" x14ac:dyDescent="0.3"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</row>
    <row r="168" spans="1:53" x14ac:dyDescent="0.3">
      <c r="A168" s="42" t="str">
        <f xml:space="preserve"> $B160</f>
        <v>HoE_Sex-merged</v>
      </c>
      <c r="B168" s="44"/>
      <c r="C168" s="44"/>
      <c r="D168" s="44"/>
      <c r="E168" s="44"/>
      <c r="F168" s="44"/>
      <c r="G168" s="44"/>
      <c r="H168" s="44"/>
      <c r="I168" s="44" t="str">
        <f xml:space="preserve"> $F160</f>
        <v>HoE_Female</v>
      </c>
      <c r="J168" s="44"/>
      <c r="K168" s="44"/>
      <c r="L168" s="44"/>
      <c r="M168" s="44"/>
      <c r="N168" s="44"/>
      <c r="O168" s="44"/>
      <c r="P168" s="44"/>
      <c r="Q168" s="44" t="str">
        <f xml:space="preserve"> $J160</f>
        <v>HoE_Male</v>
      </c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</row>
    <row r="169" spans="1:53" x14ac:dyDescent="0.3"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</row>
    <row r="170" spans="1:53" x14ac:dyDescent="0.3"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</row>
    <row r="171" spans="1:53" x14ac:dyDescent="0.3"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</row>
    <row r="172" spans="1:53" x14ac:dyDescent="0.3"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</row>
    <row r="173" spans="1:53" x14ac:dyDescent="0.3"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</row>
    <row r="174" spans="1:53" x14ac:dyDescent="0.3"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</row>
    <row r="175" spans="1:53" x14ac:dyDescent="0.3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</row>
    <row r="176" spans="1:53" x14ac:dyDescent="0.3"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</row>
    <row r="177" spans="1:40" x14ac:dyDescent="0.3"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</row>
    <row r="178" spans="1:40" x14ac:dyDescent="0.3"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</row>
    <row r="179" spans="1:40" x14ac:dyDescent="0.3"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</row>
    <row r="180" spans="1:40" x14ac:dyDescent="0.3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</row>
    <row r="181" spans="1:40" x14ac:dyDescent="0.3"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</row>
    <row r="182" spans="1:40" x14ac:dyDescent="0.3"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</row>
    <row r="183" spans="1:40" x14ac:dyDescent="0.3"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</row>
    <row r="184" spans="1:40" x14ac:dyDescent="0.3"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</row>
    <row r="185" spans="1:40" x14ac:dyDescent="0.3">
      <c r="A185" s="42" t="str">
        <f xml:space="preserve"> $N160</f>
        <v>HoE_RP-merged</v>
      </c>
      <c r="B185" s="44"/>
      <c r="C185" s="44"/>
      <c r="D185" s="44"/>
      <c r="E185" s="44"/>
      <c r="F185" s="44"/>
      <c r="G185" s="44"/>
      <c r="H185" s="44"/>
      <c r="I185" s="44" t="str">
        <f xml:space="preserve"> $R160</f>
        <v>HoE_RP1</v>
      </c>
      <c r="J185" s="44"/>
      <c r="K185" s="44"/>
      <c r="L185" s="44"/>
      <c r="M185" s="44"/>
      <c r="N185" s="44"/>
      <c r="O185" s="44"/>
      <c r="P185" s="44"/>
      <c r="Q185" s="44" t="str">
        <f xml:space="preserve"> $V160</f>
        <v>HoE_RP2</v>
      </c>
      <c r="R185" s="44"/>
      <c r="S185" s="44"/>
      <c r="T185" s="44"/>
      <c r="U185" s="44"/>
      <c r="V185" s="44"/>
      <c r="W185" s="44"/>
      <c r="X185" s="44"/>
      <c r="Y185" s="44" t="str">
        <f xml:space="preserve"> $Z160</f>
        <v>HoE_RP3</v>
      </c>
      <c r="Z185" s="44"/>
      <c r="AA185" s="44"/>
      <c r="AB185" s="44"/>
      <c r="AC185" s="44"/>
      <c r="AD185" s="44"/>
      <c r="AE185" s="44"/>
      <c r="AF185" s="44"/>
      <c r="AG185" s="44" t="str">
        <f xml:space="preserve"> $AD160</f>
        <v>HoE_RP4</v>
      </c>
      <c r="AH185" s="44"/>
      <c r="AI185" s="44"/>
      <c r="AJ185" s="44"/>
      <c r="AK185" s="44"/>
      <c r="AL185" s="44"/>
      <c r="AM185" s="44"/>
      <c r="AN185" s="44"/>
    </row>
    <row r="186" spans="1:40" x14ac:dyDescent="0.3"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</row>
    <row r="187" spans="1:40" x14ac:dyDescent="0.3"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</row>
    <row r="188" spans="1:40" x14ac:dyDescent="0.3"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</row>
    <row r="189" spans="1:40" x14ac:dyDescent="0.3"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</row>
    <row r="190" spans="1:40" x14ac:dyDescent="0.3"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</row>
    <row r="191" spans="1:40" x14ac:dyDescent="0.3"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</row>
    <row r="192" spans="1:40" x14ac:dyDescent="0.3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</row>
    <row r="193" spans="1:40" x14ac:dyDescent="0.3"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</row>
    <row r="194" spans="1:40" x14ac:dyDescent="0.3"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</row>
    <row r="195" spans="1:40" x14ac:dyDescent="0.3"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</row>
    <row r="196" spans="1:40" x14ac:dyDescent="0.3"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</row>
    <row r="197" spans="1:40" x14ac:dyDescent="0.3"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</row>
    <row r="198" spans="1:40" x14ac:dyDescent="0.3"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</row>
    <row r="199" spans="1:40" x14ac:dyDescent="0.3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</row>
    <row r="200" spans="1:40" x14ac:dyDescent="0.3"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</row>
    <row r="201" spans="1:40" x14ac:dyDescent="0.3"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</row>
    <row r="202" spans="1:40" x14ac:dyDescent="0.3">
      <c r="A202" s="42" t="str">
        <f xml:space="preserve"> $AH160</f>
        <v>HoE_RF-merged</v>
      </c>
      <c r="B202" s="44"/>
      <c r="C202" s="44"/>
      <c r="D202" s="44"/>
      <c r="E202" s="44"/>
      <c r="F202" s="44"/>
      <c r="G202" s="44"/>
      <c r="H202" s="44"/>
      <c r="I202" s="44" t="str">
        <f xml:space="preserve"> $AL160</f>
        <v>HoE_RF1</v>
      </c>
      <c r="J202" s="44"/>
      <c r="K202" s="44"/>
      <c r="L202" s="44"/>
      <c r="M202" s="44"/>
      <c r="N202" s="44"/>
      <c r="Q202" s="42" t="str">
        <f xml:space="preserve"> $AP160</f>
        <v>HoE_RF2</v>
      </c>
      <c r="Y202" s="42" t="str">
        <f xml:space="preserve"> $AT160</f>
        <v>HoE_RF3</v>
      </c>
      <c r="AG202" s="42" t="str">
        <f xml:space="preserve"> $AX160</f>
        <v>HoE_RF4</v>
      </c>
    </row>
    <row r="203" spans="1:40" x14ac:dyDescent="0.3"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</row>
    <row r="204" spans="1:40" x14ac:dyDescent="0.3"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</row>
    <row r="205" spans="1:40" x14ac:dyDescent="0.3"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</row>
    <row r="206" spans="1:40" x14ac:dyDescent="0.3"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</row>
    <row r="207" spans="1:40" x14ac:dyDescent="0.3"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</row>
    <row r="208" spans="1:40" x14ac:dyDescent="0.3"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</row>
    <row r="209" spans="1:53" x14ac:dyDescent="0.3"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</row>
    <row r="210" spans="1:53" x14ac:dyDescent="0.3"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</row>
    <row r="211" spans="1:53" x14ac:dyDescent="0.3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</row>
    <row r="212" spans="1:53" x14ac:dyDescent="0.3"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</row>
    <row r="213" spans="1:53" x14ac:dyDescent="0.3"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</row>
    <row r="214" spans="1:53" x14ac:dyDescent="0.3"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</row>
    <row r="215" spans="1:53" x14ac:dyDescent="0.3"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</row>
    <row r="216" spans="1:53" x14ac:dyDescent="0.3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</row>
    <row r="217" spans="1:53" x14ac:dyDescent="0.3"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</row>
    <row r="220" spans="1:53" x14ac:dyDescent="0.3">
      <c r="A220" s="69" t="s">
        <v>98</v>
      </c>
      <c r="B220" s="69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</row>
    <row r="221" spans="1:53" x14ac:dyDescent="0.3">
      <c r="B221" s="68" t="s">
        <v>99</v>
      </c>
      <c r="C221" s="68"/>
      <c r="D221" s="68"/>
      <c r="E221" s="68"/>
      <c r="F221" s="68" t="s">
        <v>100</v>
      </c>
      <c r="G221" s="68"/>
      <c r="H221" s="68"/>
      <c r="I221" s="68"/>
      <c r="J221" s="68" t="s">
        <v>101</v>
      </c>
      <c r="K221" s="68"/>
      <c r="L221" s="68"/>
      <c r="M221" s="68"/>
      <c r="N221" s="68" t="s">
        <v>102</v>
      </c>
      <c r="O221" s="68"/>
      <c r="P221" s="68"/>
      <c r="Q221" s="68"/>
      <c r="R221" s="68" t="s">
        <v>103</v>
      </c>
      <c r="S221" s="68"/>
      <c r="T221" s="68"/>
      <c r="U221" s="68"/>
      <c r="V221" s="68" t="s">
        <v>104</v>
      </c>
      <c r="W221" s="68"/>
      <c r="X221" s="68"/>
      <c r="Y221" s="68"/>
      <c r="Z221" s="68" t="s">
        <v>105</v>
      </c>
      <c r="AA221" s="68"/>
      <c r="AB221" s="68"/>
      <c r="AC221" s="68"/>
      <c r="AD221" s="68" t="s">
        <v>106</v>
      </c>
      <c r="AE221" s="68"/>
      <c r="AF221" s="68"/>
      <c r="AG221" s="68"/>
      <c r="AH221" s="68" t="s">
        <v>107</v>
      </c>
      <c r="AI221" s="68"/>
      <c r="AJ221" s="68"/>
      <c r="AK221" s="68"/>
      <c r="AL221" s="68" t="s">
        <v>108</v>
      </c>
      <c r="AM221" s="68"/>
      <c r="AN221" s="68"/>
      <c r="AO221" s="68"/>
      <c r="AP221" s="68" t="s">
        <v>109</v>
      </c>
      <c r="AQ221" s="68"/>
      <c r="AR221" s="68"/>
      <c r="AS221" s="68"/>
      <c r="AT221" s="68" t="s">
        <v>110</v>
      </c>
      <c r="AU221" s="68"/>
      <c r="AV221" s="68"/>
      <c r="AW221" s="68"/>
      <c r="AX221" s="68" t="s">
        <v>111</v>
      </c>
      <c r="AY221" s="68"/>
      <c r="AZ221" s="68"/>
      <c r="BA221" s="68"/>
    </row>
    <row r="222" spans="1:53" s="43" customFormat="1" x14ac:dyDescent="0.3">
      <c r="B222" s="43" t="s">
        <v>94</v>
      </c>
      <c r="C222" s="43" t="s">
        <v>95</v>
      </c>
      <c r="D222" s="43" t="s">
        <v>96</v>
      </c>
      <c r="E222" s="43" t="s">
        <v>97</v>
      </c>
      <c r="F222" s="43" t="s">
        <v>94</v>
      </c>
      <c r="G222" s="43" t="s">
        <v>95</v>
      </c>
      <c r="H222" s="43" t="s">
        <v>96</v>
      </c>
      <c r="I222" s="43" t="s">
        <v>97</v>
      </c>
      <c r="J222" s="43" t="s">
        <v>94</v>
      </c>
      <c r="K222" s="43" t="s">
        <v>95</v>
      </c>
      <c r="L222" s="43" t="s">
        <v>96</v>
      </c>
      <c r="M222" s="43" t="s">
        <v>97</v>
      </c>
      <c r="N222" s="43" t="s">
        <v>94</v>
      </c>
      <c r="O222" s="43" t="s">
        <v>95</v>
      </c>
      <c r="P222" s="43" t="s">
        <v>96</v>
      </c>
      <c r="Q222" s="43" t="s">
        <v>97</v>
      </c>
      <c r="R222" s="43" t="s">
        <v>94</v>
      </c>
      <c r="S222" s="43" t="s">
        <v>95</v>
      </c>
      <c r="T222" s="43" t="s">
        <v>96</v>
      </c>
      <c r="U222" s="43" t="s">
        <v>97</v>
      </c>
      <c r="V222" s="43" t="s">
        <v>94</v>
      </c>
      <c r="W222" s="43" t="s">
        <v>95</v>
      </c>
      <c r="X222" s="43" t="s">
        <v>96</v>
      </c>
      <c r="Y222" s="43" t="s">
        <v>97</v>
      </c>
      <c r="Z222" s="43" t="s">
        <v>94</v>
      </c>
      <c r="AA222" s="43" t="s">
        <v>95</v>
      </c>
      <c r="AB222" s="43" t="s">
        <v>96</v>
      </c>
      <c r="AC222" s="43" t="s">
        <v>97</v>
      </c>
      <c r="AD222" s="43" t="s">
        <v>94</v>
      </c>
      <c r="AE222" s="43" t="s">
        <v>95</v>
      </c>
      <c r="AF222" s="43" t="s">
        <v>96</v>
      </c>
      <c r="AG222" s="43" t="s">
        <v>97</v>
      </c>
      <c r="AH222" s="43" t="s">
        <v>94</v>
      </c>
      <c r="AI222" s="43" t="s">
        <v>95</v>
      </c>
      <c r="AJ222" s="43" t="s">
        <v>96</v>
      </c>
      <c r="AK222" s="43" t="s">
        <v>97</v>
      </c>
      <c r="AL222" s="43" t="s">
        <v>94</v>
      </c>
      <c r="AM222" s="43" t="s">
        <v>95</v>
      </c>
      <c r="AN222" s="43" t="s">
        <v>96</v>
      </c>
      <c r="AO222" s="43" t="s">
        <v>97</v>
      </c>
      <c r="AP222" s="43" t="s">
        <v>94</v>
      </c>
      <c r="AQ222" s="43" t="s">
        <v>95</v>
      </c>
      <c r="AR222" s="43" t="s">
        <v>96</v>
      </c>
      <c r="AS222" s="43" t="s">
        <v>97</v>
      </c>
      <c r="AT222" s="43" t="s">
        <v>94</v>
      </c>
      <c r="AU222" s="43" t="s">
        <v>95</v>
      </c>
      <c r="AV222" s="43" t="s">
        <v>96</v>
      </c>
      <c r="AW222" s="43" t="s">
        <v>97</v>
      </c>
      <c r="AX222" s="43" t="s">
        <v>94</v>
      </c>
      <c r="AY222" s="43" t="s">
        <v>95</v>
      </c>
      <c r="AZ222" s="43" t="s">
        <v>96</v>
      </c>
      <c r="BA222" s="43" t="s">
        <v>97</v>
      </c>
    </row>
    <row r="223" spans="1:53" x14ac:dyDescent="0.3">
      <c r="A223" s="42" t="s">
        <v>117</v>
      </c>
      <c r="B223" s="44">
        <f xml:space="preserve"> BaseFeat_ELR!$J$150</f>
        <v>45.593035908596299</v>
      </c>
      <c r="C223" s="44">
        <f xml:space="preserve"> PCA_ELR!$J$150</f>
        <v>45.593035908596299</v>
      </c>
      <c r="D223" s="44">
        <f xml:space="preserve"> BaseFeat_ELR!$O$150</f>
        <v>56.179998220007121</v>
      </c>
      <c r="E223" s="44">
        <f xml:space="preserve"> PCA_ELR!$O$150</f>
        <v>46.144140845070424</v>
      </c>
      <c r="F223" s="44">
        <f xml:space="preserve"> BaseFeat_ELR!$J$10</f>
        <v>46.552645644040624</v>
      </c>
      <c r="G223" s="44">
        <f xml:space="preserve"> PCA_ELR!$J$10</f>
        <v>46.552645644040624</v>
      </c>
      <c r="H223" s="44">
        <f xml:space="preserve"> BaseFeat_ELR!$O$10</f>
        <v>49.773982923154193</v>
      </c>
      <c r="I223" s="44">
        <f xml:space="preserve"> PCA_ELR!$O$10</f>
        <v>46.548310883044692</v>
      </c>
      <c r="J223" s="44">
        <f xml:space="preserve"> BaseFeat_ELR!$J$24</f>
        <v>44.530729975593523</v>
      </c>
      <c r="K223" s="44">
        <f xml:space="preserve"> PCA_ELR!$J$24</f>
        <v>44.530729975593523</v>
      </c>
      <c r="L223" s="44">
        <f xml:space="preserve"> BaseFeat_ELR!$O$24</f>
        <v>55.901296842858422</v>
      </c>
      <c r="M223" s="44">
        <f xml:space="preserve"> PCA_ELR!$O$24</f>
        <v>44.880431830829167</v>
      </c>
      <c r="N223" s="44">
        <f xml:space="preserve"> BaseFeat_ELR!$J$165</f>
        <v>46.114883069296262</v>
      </c>
      <c r="O223" s="44">
        <f xml:space="preserve"> PCA_ELR!$J$165</f>
        <v>46.114883069296262</v>
      </c>
      <c r="P223" s="44">
        <f xml:space="preserve"> BaseFeat_ELR!$O$165</f>
        <v>49.36495897903373</v>
      </c>
      <c r="Q223" s="44">
        <f xml:space="preserve"> PCA_ELR!$O$165</f>
        <v>48.205799626633478</v>
      </c>
      <c r="R223" s="44">
        <f xml:space="preserve"> BaseFeat_ELR!$J$38</f>
        <v>47.627526971823613</v>
      </c>
      <c r="S223" s="44">
        <f xml:space="preserve"> PCA_ELR!$J$38</f>
        <v>47.627526971823613</v>
      </c>
      <c r="T223" s="44">
        <f xml:space="preserve"> BaseFeat_ELR!$O$38</f>
        <v>47.525669291338581</v>
      </c>
      <c r="U223" s="44">
        <f xml:space="preserve"> PCA_ELR!$O$38</f>
        <v>47.627526971823613</v>
      </c>
      <c r="V223" s="44">
        <f xml:space="preserve"> BaseFeat_ELR!$J$52</f>
        <v>46.472540413231989</v>
      </c>
      <c r="W223" s="44">
        <f xml:space="preserve"> PCA_ELR!$J$52</f>
        <v>46.472540413231989</v>
      </c>
      <c r="X223" s="44">
        <f xml:space="preserve"> BaseFeat_ELR!$O$52</f>
        <v>48.886727347105747</v>
      </c>
      <c r="Y223" s="44">
        <f xml:space="preserve"> PCA_ELR!$O$52</f>
        <v>46.472540413231989</v>
      </c>
      <c r="Z223" s="44">
        <f xml:space="preserve"> BaseFeat_ELR!$J$66</f>
        <v>45.414847161572055</v>
      </c>
      <c r="AA223" s="44">
        <f xml:space="preserve"> PCA_ELR!$J$66</f>
        <v>45.414847161572055</v>
      </c>
      <c r="AB223" s="44">
        <f xml:space="preserve"> BaseFeat_ELR!$O$66</f>
        <v>49.444732531095156</v>
      </c>
      <c r="AC223" s="44">
        <f xml:space="preserve"> PCA_ELR!$O$66</f>
        <v>45.414847161572055</v>
      </c>
      <c r="AD223" s="44">
        <f xml:space="preserve"> BaseFeat_ELR!$J$80</f>
        <v>40.595734643734637</v>
      </c>
      <c r="AE223" s="44">
        <f xml:space="preserve"> PCA_ELR!$J$80</f>
        <v>40.945681208871562</v>
      </c>
      <c r="AF223" s="44">
        <f xml:space="preserve"> BaseFeat_ELR!$O$80</f>
        <v>39.954746164400646</v>
      </c>
      <c r="AG223" s="44">
        <f xml:space="preserve"> PCA_ELR!$O$80</f>
        <v>24.323719226856564</v>
      </c>
      <c r="AH223" s="44">
        <f xml:space="preserve"> BaseFeat_ELR!$J$179</f>
        <v>46.438136047134442</v>
      </c>
      <c r="AI223" s="44">
        <f xml:space="preserve"> PCA_ELR!$J$179</f>
        <v>46.438136047134442</v>
      </c>
      <c r="AJ223" s="44">
        <f xml:space="preserve"> BaseFeat_ELR!$O$179</f>
        <v>50.68771947129612</v>
      </c>
      <c r="AK223" s="44">
        <f xml:space="preserve"> PCA_ELR!$O$179</f>
        <v>46.433822584101144</v>
      </c>
      <c r="AL223" s="44">
        <f xml:space="preserve"> BaseFeat_ELR!$J$94</f>
        <v>46.757533808966031</v>
      </c>
      <c r="AM223" s="44">
        <f xml:space="preserve"> PCA_ELR!$J$94</f>
        <v>46.757533808966031</v>
      </c>
      <c r="AN223" s="44">
        <f xml:space="preserve"> BaseFeat_ELR!$O$94</f>
        <v>46.757533808966031</v>
      </c>
      <c r="AO223" s="44">
        <f xml:space="preserve"> PCA_ELR!$O$94</f>
        <v>46.757533808966031</v>
      </c>
      <c r="AP223" s="44">
        <f xml:space="preserve"> BaseFeat_ELR!$J$108</f>
        <v>43.77600359833577</v>
      </c>
      <c r="AQ223" s="44">
        <f xml:space="preserve"> PCA_ELR!$J$108</f>
        <v>43.77600359833577</v>
      </c>
      <c r="AR223" s="44">
        <f xml:space="preserve"> BaseFeat_ELR!$O$108</f>
        <v>34.516967425771121</v>
      </c>
      <c r="AS223" s="44">
        <f xml:space="preserve"> PCA_ELR!$O$108</f>
        <v>43.77600359833577</v>
      </c>
      <c r="AT223" s="44">
        <f xml:space="preserve"> BaseFeat_ELR!$J$122</f>
        <v>48.095089795494651</v>
      </c>
      <c r="AU223" s="44">
        <f xml:space="preserve"> PCA_ELR!$J$122</f>
        <v>48.095089795494651</v>
      </c>
      <c r="AV223" s="44">
        <f xml:space="preserve"> BaseFeat_ELR!$O$122</f>
        <v>56.798374354033456</v>
      </c>
      <c r="AW223" s="44">
        <f xml:space="preserve"> PCA_ELR!$O$122</f>
        <v>48.095089795494651</v>
      </c>
      <c r="AX223" s="44">
        <f xml:space="preserve"> BaseFeat_ELR!$J$136</f>
        <v>46.010150091782748</v>
      </c>
      <c r="AY223" s="44">
        <f xml:space="preserve"> PCA_ELR!$J$136</f>
        <v>46.010150091782748</v>
      </c>
      <c r="AZ223" s="44">
        <f xml:space="preserve"> BaseFeat_ELR!$O$136</f>
        <v>12.87680780623802</v>
      </c>
      <c r="BA223" s="44">
        <f xml:space="preserve"> PCA_ELR!$O$136</f>
        <v>46.010150091782748</v>
      </c>
    </row>
    <row r="224" spans="1:53" x14ac:dyDescent="0.3">
      <c r="A224" s="42" t="s">
        <v>118</v>
      </c>
      <c r="B224" s="44">
        <f xml:space="preserve"> BaseFeat_ELR!$J$151</f>
        <v>49.939991990388471</v>
      </c>
      <c r="C224" s="44">
        <f xml:space="preserve"> PCA_ELR!$J$151</f>
        <v>46.780805641628369</v>
      </c>
      <c r="D224" s="44">
        <f xml:space="preserve"> BaseFeat_ELR!$O$151</f>
        <v>46.785831819638858</v>
      </c>
      <c r="E224" s="44">
        <f xml:space="preserve"> PCA_ELR!$O$151</f>
        <v>49.169949155989414</v>
      </c>
      <c r="F224" s="44">
        <f xml:space="preserve"> BaseFeat_ELR!$J$11</f>
        <v>47.814999477151531</v>
      </c>
      <c r="G224" s="44">
        <f xml:space="preserve"> PCA_ELR!$J$11</f>
        <v>51.869998072103328</v>
      </c>
      <c r="H224" s="44">
        <f xml:space="preserve"> BaseFeat_ELR!$O$11</f>
        <v>53.469812979240693</v>
      </c>
      <c r="I224" s="44">
        <f xml:space="preserve"> PCA_ELR!$O$11</f>
        <v>47.649991605456449</v>
      </c>
      <c r="J224" s="44">
        <f xml:space="preserve"> BaseFeat_ELR!$J$25</f>
        <v>58.186823872406102</v>
      </c>
      <c r="K224" s="44">
        <f xml:space="preserve"> PCA_ELR!$J$25</f>
        <v>58.383767620674924</v>
      </c>
      <c r="L224" s="44">
        <f xml:space="preserve"> BaseFeat_ELR!$O$25</f>
        <v>49.039997960848289</v>
      </c>
      <c r="M224" s="44">
        <f xml:space="preserve"> PCA_ELR!$O$25</f>
        <v>50.104999501047793</v>
      </c>
      <c r="N224" s="44">
        <f xml:space="preserve"> BaseFeat_ELR!$J$166</f>
        <v>62.924332141438228</v>
      </c>
      <c r="O224" s="44">
        <f xml:space="preserve"> PCA_ELR!$J$166</f>
        <v>62.274025369299935</v>
      </c>
      <c r="P224" s="44">
        <f xml:space="preserve"> BaseFeat_ELR!$O$166</f>
        <v>56.402638064001422</v>
      </c>
      <c r="Q224" s="44">
        <f xml:space="preserve"> PCA_ELR!$O$166</f>
        <v>62.157918341102722</v>
      </c>
      <c r="R224" s="44">
        <f xml:space="preserve"> BaseFeat_ELR!$J$39</f>
        <v>19.199778464708913</v>
      </c>
      <c r="S224" s="44">
        <f xml:space="preserve"> PCA_ELR!$J$39</f>
        <v>19.199778464708913</v>
      </c>
      <c r="T224" s="44">
        <f xml:space="preserve"> BaseFeat_ELR!$O$39</f>
        <v>48.094987004886164</v>
      </c>
      <c r="U224" s="44">
        <f xml:space="preserve"> PCA_ELR!$O$39</f>
        <v>19.498857287963435</v>
      </c>
      <c r="V224" s="44">
        <f xml:space="preserve"> BaseFeat_ELR!$J$53</f>
        <v>37.724314297071686</v>
      </c>
      <c r="W224" s="44">
        <f xml:space="preserve"> PCA_ELR!$J$53</f>
        <v>37.724314297071686</v>
      </c>
      <c r="X224" s="44">
        <f xml:space="preserve"> BaseFeat_ELR!$O$53</f>
        <v>37.538710708577518</v>
      </c>
      <c r="Y224" s="44">
        <f xml:space="preserve"> PCA_ELR!$O$53</f>
        <v>48.44252861709807</v>
      </c>
      <c r="Z224" s="44">
        <f xml:space="preserve"> BaseFeat_ELR!$J$67</f>
        <v>31.084767572784305</v>
      </c>
      <c r="AA224" s="44">
        <f xml:space="preserve"> PCA_ELR!$J$67</f>
        <v>31.084767572784305</v>
      </c>
      <c r="AB224" s="44">
        <f xml:space="preserve"> BaseFeat_ELR!$O$67</f>
        <v>51.71478681233684</v>
      </c>
      <c r="AC224" s="44">
        <f xml:space="preserve"> PCA_ELR!$O$67</f>
        <v>31.673320707070708</v>
      </c>
      <c r="AD224" s="44">
        <f xml:space="preserve"> BaseFeat_ELR!$J$81</f>
        <v>41.65827776445191</v>
      </c>
      <c r="AE224" s="44">
        <f xml:space="preserve"> PCA_ELR!$J$81</f>
        <v>41.610570570570573</v>
      </c>
      <c r="AF224" s="44">
        <f xml:space="preserve"> BaseFeat_ELR!$O$81</f>
        <v>50.816771591579773</v>
      </c>
      <c r="AG224" s="44">
        <f xml:space="preserve"> PCA_ELR!$O$81</f>
        <v>46.033509948096892</v>
      </c>
      <c r="AH224" s="44">
        <f xml:space="preserve"> BaseFeat_ELR!$J$180</f>
        <v>38.755512003919648</v>
      </c>
      <c r="AI224" s="44">
        <f xml:space="preserve"> PCA_ELR!$J$180</f>
        <v>38.755512003919648</v>
      </c>
      <c r="AJ224" s="44">
        <f xml:space="preserve"> BaseFeat_ELR!$O$180</f>
        <v>47.591723558449743</v>
      </c>
      <c r="AK224" s="44">
        <f xml:space="preserve"> PCA_ELR!$O$180</f>
        <v>52.73543533870204</v>
      </c>
      <c r="AL224" s="44">
        <f xml:space="preserve"> BaseFeat_ELR!$J$95</f>
        <v>35.643803646563811</v>
      </c>
      <c r="AM224" s="44">
        <f xml:space="preserve"> PCA_ELR!$J$95</f>
        <v>35.643803646563811</v>
      </c>
      <c r="AN224" s="44">
        <f xml:space="preserve"> BaseFeat_ELR!$O$95</f>
        <v>37.091092098641163</v>
      </c>
      <c r="AO224" s="44">
        <f xml:space="preserve"> PCA_ELR!$O$95</f>
        <v>35.643803646563811</v>
      </c>
      <c r="AP224" s="44">
        <f xml:space="preserve"> BaseFeat_ELR!$J$109</f>
        <v>40.126930906478272</v>
      </c>
      <c r="AQ224" s="44">
        <f xml:space="preserve"> PCA_ELR!$J$109</f>
        <v>40.126930906478272</v>
      </c>
      <c r="AR224" s="44">
        <f xml:space="preserve"> BaseFeat_ELR!$O$109</f>
        <v>40.126930906478272</v>
      </c>
      <c r="AS224" s="44">
        <f xml:space="preserve"> PCA_ELR!$O$109</f>
        <v>40.126930906478272</v>
      </c>
      <c r="AT224" s="44">
        <f xml:space="preserve"> BaseFeat_ELR!$J$123</f>
        <v>40.828402366863905</v>
      </c>
      <c r="AU224" s="44">
        <f xml:space="preserve"> PCA_ELR!$J$123</f>
        <v>40.828402366863905</v>
      </c>
      <c r="AV224" s="44">
        <f xml:space="preserve"> BaseFeat_ELR!$O$123</f>
        <v>45.657614980289104</v>
      </c>
      <c r="AW224" s="44">
        <f xml:space="preserve"> PCA_ELR!$O$123</f>
        <v>50.583350464518674</v>
      </c>
      <c r="AX224" s="44">
        <f xml:space="preserve"> BaseFeat_ELR!$J$137</f>
        <v>36.604539114999362</v>
      </c>
      <c r="AY224" s="44">
        <f xml:space="preserve"> PCA_ELR!$J$137</f>
        <v>36.604539114999362</v>
      </c>
      <c r="AZ224" s="44">
        <f xml:space="preserve"> BaseFeat_ELR!$O$137</f>
        <v>29.706171798116127</v>
      </c>
      <c r="BA224" s="44">
        <f xml:space="preserve"> PCA_ELR!$O$137</f>
        <v>51.899803732922848</v>
      </c>
    </row>
    <row r="225" spans="1:53" x14ac:dyDescent="0.3">
      <c r="A225" s="42" t="s">
        <v>119</v>
      </c>
      <c r="B225" s="44">
        <f xml:space="preserve"> BaseFeat_ELR!$J$152</f>
        <v>37.210089993284086</v>
      </c>
      <c r="C225" s="44">
        <f xml:space="preserve"> PCA_ELR!$J$152</f>
        <v>37.087239148018327</v>
      </c>
      <c r="D225" s="44">
        <f xml:space="preserve"> BaseFeat_ELR!$O$152</f>
        <v>53.069932165065005</v>
      </c>
      <c r="E225" s="44">
        <f xml:space="preserve"> PCA_ELR!$O$152</f>
        <v>53.484894830326262</v>
      </c>
      <c r="F225" s="44">
        <f xml:space="preserve"> BaseFeat_ELR!$J$12</f>
        <v>70.359884877771464</v>
      </c>
      <c r="G225" s="44">
        <f xml:space="preserve"> PCA_ELR!$J$12</f>
        <v>67.180000000000007</v>
      </c>
      <c r="H225" s="44">
        <f xml:space="preserve"> BaseFeat_ELR!$O$12</f>
        <v>59.445046179680944</v>
      </c>
      <c r="I225" s="44">
        <f xml:space="preserve"> PCA_ELR!$O$12</f>
        <v>51.749302415458942</v>
      </c>
      <c r="J225" s="44">
        <f xml:space="preserve"> BaseFeat_ELR!$J$26</f>
        <v>42.444796230859836</v>
      </c>
      <c r="K225" s="44">
        <f xml:space="preserve"> PCA_ELR!$J$26</f>
        <v>42.505236414961189</v>
      </c>
      <c r="L225" s="44">
        <f xml:space="preserve"> BaseFeat_ELR!$O$26</f>
        <v>43.810799180327862</v>
      </c>
      <c r="M225" s="44">
        <f xml:space="preserve"> PCA_ELR!$O$26</f>
        <v>45.428435643564356</v>
      </c>
      <c r="N225" s="44">
        <f xml:space="preserve"> BaseFeat_ELR!$J$167</f>
        <v>42.65295979369359</v>
      </c>
      <c r="O225" s="44">
        <f xml:space="preserve"> PCA_ELR!$J$167</f>
        <v>42.378150070788109</v>
      </c>
      <c r="P225" s="44">
        <f xml:space="preserve"> BaseFeat_ELR!$O$167</f>
        <v>45.459980202375718</v>
      </c>
      <c r="Q225" s="44">
        <f xml:space="preserve"> PCA_ELR!$O$167</f>
        <v>39.469625126646399</v>
      </c>
      <c r="R225" s="44">
        <f xml:space="preserve"> BaseFeat_ELR!$J$40</f>
        <v>33.541295385024604</v>
      </c>
      <c r="S225" s="44">
        <f xml:space="preserve"> PCA_ELR!$J$40</f>
        <v>37.369502957090724</v>
      </c>
      <c r="T225" s="44">
        <f xml:space="preserve"> BaseFeat_ELR!$O$40</f>
        <v>37.954428642714575</v>
      </c>
      <c r="U225" s="44">
        <f xml:space="preserve"> PCA_ELR!$O$40</f>
        <v>26.063115845539279</v>
      </c>
      <c r="V225" s="44">
        <f xml:space="preserve"> BaseFeat_ELR!$J$54</f>
        <v>32.626311763806029</v>
      </c>
      <c r="W225" s="44">
        <f xml:space="preserve"> PCA_ELR!$J$54</f>
        <v>32.626311763806029</v>
      </c>
      <c r="X225" s="44">
        <f xml:space="preserve"> BaseFeat_ELR!$O$54</f>
        <v>54.152784961027052</v>
      </c>
      <c r="Y225" s="44">
        <f xml:space="preserve"> PCA_ELR!$O$54</f>
        <v>38.484921397947254</v>
      </c>
      <c r="Z225" s="44">
        <f xml:space="preserve"> BaseFeat_ELR!$J$68</f>
        <v>38.213900300928948</v>
      </c>
      <c r="AA225" s="44">
        <f xml:space="preserve"> PCA_ELR!$J$68</f>
        <v>38.213900300928948</v>
      </c>
      <c r="AB225" s="44">
        <f xml:space="preserve"> BaseFeat_ELR!$O$68</f>
        <v>38.213900300928948</v>
      </c>
      <c r="AC225" s="44">
        <f xml:space="preserve"> PCA_ELR!$O$68</f>
        <v>38.668251874838369</v>
      </c>
      <c r="AD225" s="44">
        <f xml:space="preserve"> BaseFeat_ELR!$J$82</f>
        <v>41.225077013521457</v>
      </c>
      <c r="AE225" s="44">
        <f xml:space="preserve"> PCA_ELR!$J$82</f>
        <v>41.214771257203338</v>
      </c>
      <c r="AF225" s="44">
        <f xml:space="preserve"> BaseFeat_ELR!$O$82</f>
        <v>40.706304801670143</v>
      </c>
      <c r="AG225" s="44">
        <f xml:space="preserve"> PCA_ELR!$O$82</f>
        <v>48.874160359991819</v>
      </c>
      <c r="AH225" s="44">
        <f xml:space="preserve"> BaseFeat_ELR!$J$181</f>
        <v>39.784949101420139</v>
      </c>
      <c r="AI225" s="44">
        <f xml:space="preserve"> PCA_ELR!$J$181</f>
        <v>40.299997518610432</v>
      </c>
      <c r="AJ225" s="44">
        <f xml:space="preserve"> BaseFeat_ELR!$O$181</f>
        <v>60.197552104957232</v>
      </c>
      <c r="AK225" s="44">
        <f xml:space="preserve"> PCA_ELR!$O$181</f>
        <v>58.904877344877342</v>
      </c>
      <c r="AL225" s="44">
        <f xml:space="preserve"> BaseFeat_ELR!$J$96</f>
        <v>41.98189835228591</v>
      </c>
      <c r="AM225" s="44">
        <f xml:space="preserve"> PCA_ELR!$J$96</f>
        <v>41.98189835228591</v>
      </c>
      <c r="AN225" s="44">
        <f xml:space="preserve"> BaseFeat_ELR!$O$96</f>
        <v>41.98189835228591</v>
      </c>
      <c r="AO225" s="44">
        <f xml:space="preserve"> PCA_ELR!$O$96</f>
        <v>59.928689413531323</v>
      </c>
      <c r="AP225" s="44">
        <f xml:space="preserve"> BaseFeat_ELR!$J$110</f>
        <v>22.596519057061027</v>
      </c>
      <c r="AQ225" s="44">
        <f xml:space="preserve"> PCA_ELR!$J$110</f>
        <v>22.596519057061027</v>
      </c>
      <c r="AR225" s="44">
        <f xml:space="preserve"> BaseFeat_ELR!$O$110</f>
        <v>56.696554352533568</v>
      </c>
      <c r="AS225" s="44">
        <f xml:space="preserve"> PCA_ELR!$O$110</f>
        <v>22.773680297397767</v>
      </c>
      <c r="AT225" s="44">
        <f xml:space="preserve"> BaseFeat_ELR!$J$124</f>
        <v>46.495452113429643</v>
      </c>
      <c r="AU225" s="44">
        <f xml:space="preserve"> PCA_ELR!$J$124</f>
        <v>46.495452113429643</v>
      </c>
      <c r="AV225" s="44">
        <f xml:space="preserve"> BaseFeat_ELR!$O$124</f>
        <v>46.495452113429643</v>
      </c>
      <c r="AW225" s="44">
        <f xml:space="preserve"> PCA_ELR!$O$124</f>
        <v>46.495452113429643</v>
      </c>
      <c r="AX225" s="44">
        <f xml:space="preserve"> BaseFeat_ELR!$J$138</f>
        <v>36.759387921653968</v>
      </c>
      <c r="AY225" s="44">
        <f xml:space="preserve"> PCA_ELR!$J$138</f>
        <v>36.759387921653968</v>
      </c>
      <c r="AZ225" s="44">
        <f xml:space="preserve"> BaseFeat_ELR!$O$138</f>
        <v>63.239644212523721</v>
      </c>
      <c r="BA225" s="44">
        <f xml:space="preserve"> PCA_ELR!$O$138</f>
        <v>45.442512331469914</v>
      </c>
    </row>
    <row r="226" spans="1:53" x14ac:dyDescent="0.3">
      <c r="A226" s="42" t="s">
        <v>120</v>
      </c>
      <c r="B226" s="44">
        <f xml:space="preserve"> BaseFeat_ELR!$J$153</f>
        <v>49.464321811198708</v>
      </c>
      <c r="C226" s="44">
        <f xml:space="preserve"> PCA_ELR!$J$153</f>
        <v>49.464321811198708</v>
      </c>
      <c r="D226" s="44">
        <f xml:space="preserve"> BaseFeat_ELR!$O$153</f>
        <v>56.318063199005856</v>
      </c>
      <c r="E226" s="44">
        <f xml:space="preserve"> PCA_ELR!$O$153</f>
        <v>49.464321811198708</v>
      </c>
      <c r="F226" s="44">
        <f xml:space="preserve"> BaseFeat_ELR!$J$13</f>
        <v>49.789114279975898</v>
      </c>
      <c r="G226" s="44">
        <f xml:space="preserve"> PCA_ELR!$J$13</f>
        <v>49.789114279975898</v>
      </c>
      <c r="H226" s="44">
        <f xml:space="preserve"> BaseFeat_ELR!$O$13</f>
        <v>49.789114279975898</v>
      </c>
      <c r="I226" s="44">
        <f xml:space="preserve"> PCA_ELR!$O$13</f>
        <v>49.789114279975898</v>
      </c>
      <c r="J226" s="44">
        <f xml:space="preserve"> BaseFeat_ELR!$J$27</f>
        <v>49.114593934459599</v>
      </c>
      <c r="K226" s="44">
        <f xml:space="preserve"> PCA_ELR!$J$27</f>
        <v>49.114593934459599</v>
      </c>
      <c r="L226" s="44">
        <f xml:space="preserve"> BaseFeat_ELR!$O$27</f>
        <v>49.114593934459599</v>
      </c>
      <c r="M226" s="44">
        <f xml:space="preserve"> PCA_ELR!$O$27</f>
        <v>49.114593934459599</v>
      </c>
      <c r="N226" s="44">
        <f xml:space="preserve"> BaseFeat_ELR!$J$168</f>
        <v>48.654754569726848</v>
      </c>
      <c r="O226" s="44">
        <f xml:space="preserve"> PCA_ELR!$J$168</f>
        <v>48.654754569726848</v>
      </c>
      <c r="P226" s="44">
        <f xml:space="preserve"> BaseFeat_ELR!$O$168</f>
        <v>48.645283483976996</v>
      </c>
      <c r="Q226" s="44">
        <f xml:space="preserve"> PCA_ELR!$O$168</f>
        <v>48.247272350564586</v>
      </c>
      <c r="R226" s="44">
        <f xml:space="preserve"> BaseFeat_ELR!$J$41</f>
        <v>46.898895497026338</v>
      </c>
      <c r="S226" s="44">
        <f xml:space="preserve"> PCA_ELR!$J$41</f>
        <v>46.898895497026338</v>
      </c>
      <c r="T226" s="44">
        <f xml:space="preserve"> BaseFeat_ELR!$O$41</f>
        <v>46.898895497026338</v>
      </c>
      <c r="U226" s="44">
        <f xml:space="preserve"> PCA_ELR!$O$41</f>
        <v>46.898895497026338</v>
      </c>
      <c r="V226" s="44">
        <f xml:space="preserve"> BaseFeat_ELR!$J$55</f>
        <v>49.88975746642614</v>
      </c>
      <c r="W226" s="44">
        <f xml:space="preserve"> PCA_ELR!$J$55</f>
        <v>49.88975746642614</v>
      </c>
      <c r="X226" s="44">
        <f xml:space="preserve"> BaseFeat_ELR!$O$55</f>
        <v>49.88975746642614</v>
      </c>
      <c r="Y226" s="44">
        <f xml:space="preserve"> PCA_ELR!$O$55</f>
        <v>49.88975746642614</v>
      </c>
      <c r="Z226" s="44">
        <f xml:space="preserve"> BaseFeat_ELR!$J$69</f>
        <v>49.819349658771579</v>
      </c>
      <c r="AA226" s="44">
        <f xml:space="preserve"> PCA_ELR!$J$69</f>
        <v>49.819349658771579</v>
      </c>
      <c r="AB226" s="44">
        <f xml:space="preserve"> BaseFeat_ELR!$O$69</f>
        <v>49.819349658771579</v>
      </c>
      <c r="AC226" s="44">
        <f xml:space="preserve"> PCA_ELR!$O$69</f>
        <v>49.819349658771579</v>
      </c>
      <c r="AD226" s="44">
        <f xml:space="preserve"> BaseFeat_ELR!$J$83</f>
        <v>47.731549236880618</v>
      </c>
      <c r="AE226" s="44">
        <f xml:space="preserve"> PCA_ELR!$J$83</f>
        <v>47.731549236880618</v>
      </c>
      <c r="AF226" s="44">
        <f xml:space="preserve"> BaseFeat_ELR!$O$83</f>
        <v>47.731549236880618</v>
      </c>
      <c r="AG226" s="44">
        <f xml:space="preserve"> PCA_ELR!$O$83</f>
        <v>47.731549236880618</v>
      </c>
      <c r="AH226" s="44">
        <f xml:space="preserve"> BaseFeat_ELR!$J$182</f>
        <v>49.728534084053884</v>
      </c>
      <c r="AI226" s="44">
        <f xml:space="preserve"> PCA_ELR!$J$182</f>
        <v>49.728534084053884</v>
      </c>
      <c r="AJ226" s="44">
        <f xml:space="preserve"> BaseFeat_ELR!$O$182</f>
        <v>49.728534084053884</v>
      </c>
      <c r="AK226" s="44">
        <f xml:space="preserve"> PCA_ELR!$O$182</f>
        <v>49.728534084053884</v>
      </c>
      <c r="AL226" s="44">
        <f xml:space="preserve"> BaseFeat_ELR!$J$97</f>
        <v>49.884734890247564</v>
      </c>
      <c r="AM226" s="44">
        <f xml:space="preserve"> PCA_ELR!$J$97</f>
        <v>49.884734890247564</v>
      </c>
      <c r="AN226" s="44">
        <f xml:space="preserve"> BaseFeat_ELR!$O$97</f>
        <v>49.884734890247564</v>
      </c>
      <c r="AO226" s="44">
        <f xml:space="preserve"> PCA_ELR!$O$97</f>
        <v>49.884734890247564</v>
      </c>
      <c r="AP226" s="44">
        <f xml:space="preserve"> BaseFeat_ELR!$J$111</f>
        <v>49.387589837028045</v>
      </c>
      <c r="AQ226" s="44">
        <f xml:space="preserve"> PCA_ELR!$J$111</f>
        <v>49.387589837028045</v>
      </c>
      <c r="AR226" s="44">
        <f xml:space="preserve"> BaseFeat_ELR!$O$111</f>
        <v>49.387589837028045</v>
      </c>
      <c r="AS226" s="44">
        <f xml:space="preserve"> PCA_ELR!$O$111</f>
        <v>49.387589837028045</v>
      </c>
      <c r="AT226" s="44">
        <f xml:space="preserve"> BaseFeat_ELR!$J$125</f>
        <v>49.839486356340288</v>
      </c>
      <c r="AU226" s="44">
        <f xml:space="preserve"> PCA_ELR!$J$125</f>
        <v>49.839486356340288</v>
      </c>
      <c r="AV226" s="44">
        <f xml:space="preserve"> BaseFeat_ELR!$O$125</f>
        <v>49.839486356340288</v>
      </c>
      <c r="AW226" s="44">
        <f xml:space="preserve"> PCA_ELR!$O$125</f>
        <v>49.839486356340288</v>
      </c>
      <c r="AX226" s="44">
        <f xml:space="preserve"> BaseFeat_ELR!$J$139</f>
        <v>49.718423169750608</v>
      </c>
      <c r="AY226" s="44">
        <f xml:space="preserve"> PCA_ELR!$J$139</f>
        <v>49.718423169750608</v>
      </c>
      <c r="AZ226" s="44">
        <f xml:space="preserve"> BaseFeat_ELR!$O$139</f>
        <v>49.718423169750608</v>
      </c>
      <c r="BA226" s="44">
        <f xml:space="preserve"> PCA_ELR!$O$139</f>
        <v>49.718423169750608</v>
      </c>
    </row>
    <row r="227" spans="1:53" x14ac:dyDescent="0.3">
      <c r="A227" s="42" t="s">
        <v>116</v>
      </c>
      <c r="B227" s="44">
        <f>AVERAGE(B223:B226)</f>
        <v>45.551859925866893</v>
      </c>
      <c r="C227" s="44">
        <f t="shared" ref="C227" si="43">AVERAGE(C223:C226)</f>
        <v>44.731350627360428</v>
      </c>
      <c r="D227" s="44">
        <f t="shared" ref="D227" si="44">AVERAGE(D223:D226)</f>
        <v>53.088456350929206</v>
      </c>
      <c r="E227" s="44">
        <f t="shared" ref="E227" si="45">AVERAGE(E223:E226)</f>
        <v>49.565826660646202</v>
      </c>
      <c r="F227" s="44">
        <f>AVERAGE(F223:F226)</f>
        <v>53.629161069734884</v>
      </c>
      <c r="G227" s="44">
        <f t="shared" ref="G227" si="46">AVERAGE(G223:G226)</f>
        <v>53.84793949902997</v>
      </c>
      <c r="H227" s="44">
        <f t="shared" ref="H227" si="47">AVERAGE(H223:H226)</f>
        <v>53.119489090512936</v>
      </c>
      <c r="I227" s="44">
        <f t="shared" ref="I227" si="48">AVERAGE(I223:I226)</f>
        <v>48.934179795984001</v>
      </c>
      <c r="J227" s="44">
        <f>AVERAGE(J223:J226)</f>
        <v>48.569236003329763</v>
      </c>
      <c r="K227" s="44">
        <f t="shared" ref="K227" si="49">AVERAGE(K223:K226)</f>
        <v>48.633581986422314</v>
      </c>
      <c r="L227" s="44">
        <f t="shared" ref="L227" si="50">AVERAGE(L223:L226)</f>
        <v>49.466671979623541</v>
      </c>
      <c r="M227" s="44">
        <f t="shared" ref="M227" si="51">AVERAGE(M223:M226)</f>
        <v>47.382115227475225</v>
      </c>
      <c r="N227" s="44">
        <f>AVERAGE(N223:N226)</f>
        <v>50.086732393538725</v>
      </c>
      <c r="O227" s="44">
        <f t="shared" ref="O227" si="52">AVERAGE(O223:O226)</f>
        <v>49.855453269777783</v>
      </c>
      <c r="P227" s="44">
        <f t="shared" ref="P227" si="53">AVERAGE(P223:P226)</f>
        <v>49.968215182346967</v>
      </c>
      <c r="Q227" s="44">
        <f t="shared" ref="Q227" si="54">AVERAGE(Q223:Q226)</f>
        <v>49.520153861236793</v>
      </c>
      <c r="R227" s="44">
        <f>AVERAGE(R223:R226)</f>
        <v>36.816874079645864</v>
      </c>
      <c r="S227" s="44">
        <f t="shared" ref="S227" si="55">AVERAGE(S223:S226)</f>
        <v>37.773925972662397</v>
      </c>
      <c r="T227" s="44">
        <f t="shared" ref="T227" si="56">AVERAGE(T223:T226)</f>
        <v>45.118495108991411</v>
      </c>
      <c r="U227" s="44">
        <f t="shared" ref="U227" si="57">AVERAGE(U223:U226)</f>
        <v>35.022098900588162</v>
      </c>
      <c r="V227" s="44">
        <f>AVERAGE(V223:V226)</f>
        <v>41.678230985133965</v>
      </c>
      <c r="W227" s="44">
        <f t="shared" ref="W227" si="58">AVERAGE(W223:W226)</f>
        <v>41.678230985133965</v>
      </c>
      <c r="X227" s="44">
        <f t="shared" ref="X227" si="59">AVERAGE(X223:X226)</f>
        <v>47.616995120784111</v>
      </c>
      <c r="Y227" s="44">
        <f t="shared" ref="Y227" si="60">AVERAGE(Y223:Y226)</f>
        <v>45.822436973675863</v>
      </c>
      <c r="Z227" s="44">
        <f>AVERAGE(Z223:Z226)</f>
        <v>41.133216173514221</v>
      </c>
      <c r="AA227" s="44">
        <f t="shared" ref="AA227" si="61">AVERAGE(AA223:AA226)</f>
        <v>41.133216173514221</v>
      </c>
      <c r="AB227" s="44">
        <f t="shared" ref="AB227" si="62">AVERAGE(AB223:AB226)</f>
        <v>47.298192325783134</v>
      </c>
      <c r="AC227" s="44">
        <f t="shared" ref="AC227" si="63">AVERAGE(AC223:AC226)</f>
        <v>41.393942350563179</v>
      </c>
      <c r="AD227" s="44">
        <f>AVERAGE(AD223:AD226)</f>
        <v>42.802659664647159</v>
      </c>
      <c r="AE227" s="44">
        <f t="shared" ref="AE227" si="64">AVERAGE(AE223:AE226)</f>
        <v>42.875643068381521</v>
      </c>
      <c r="AF227" s="44">
        <f t="shared" ref="AF227" si="65">AVERAGE(AF223:AF226)</f>
        <v>44.802342948632798</v>
      </c>
      <c r="AG227" s="44">
        <f t="shared" ref="AG227" si="66">AVERAGE(AG223:AG226)</f>
        <v>41.740734692956472</v>
      </c>
      <c r="AH227" s="44">
        <f>AVERAGE(AH223:AH226)</f>
        <v>43.676782809132028</v>
      </c>
      <c r="AI227" s="44">
        <f t="shared" ref="AI227" si="67">AVERAGE(AI223:AI226)</f>
        <v>43.8055449134296</v>
      </c>
      <c r="AJ227" s="44">
        <f t="shared" ref="AJ227" si="68">AVERAGE(AJ223:AJ226)</f>
        <v>52.051382304689241</v>
      </c>
      <c r="AK227" s="44">
        <f t="shared" ref="AK227" si="69">AVERAGE(AK223:AK226)</f>
        <v>51.950667337933602</v>
      </c>
      <c r="AL227" s="44">
        <f>AVERAGE(AL223:AL226)</f>
        <v>43.566992674515831</v>
      </c>
      <c r="AM227" s="44">
        <f t="shared" ref="AM227" si="70">AVERAGE(AM223:AM226)</f>
        <v>43.566992674515831</v>
      </c>
      <c r="AN227" s="44">
        <f t="shared" ref="AN227" si="71">AVERAGE(AN223:AN226)</f>
        <v>43.928814787535167</v>
      </c>
      <c r="AO227" s="44">
        <f t="shared" ref="AO227" si="72">AVERAGE(AO223:AO226)</f>
        <v>48.053690439827179</v>
      </c>
      <c r="AP227" s="44">
        <f>AVERAGE(AP223:AP226)</f>
        <v>38.971760849725783</v>
      </c>
      <c r="AQ227" s="44">
        <f t="shared" ref="AQ227" si="73">AVERAGE(AQ223:AQ226)</f>
        <v>38.971760849725783</v>
      </c>
      <c r="AR227" s="44">
        <f t="shared" ref="AR227" si="74">AVERAGE(AR223:AR226)</f>
        <v>45.182010630452751</v>
      </c>
      <c r="AS227" s="44">
        <f t="shared" ref="AS227" si="75">AVERAGE(AS223:AS226)</f>
        <v>39.016051159809962</v>
      </c>
      <c r="AT227" s="44">
        <f>AVERAGE(AT223:AT226)</f>
        <v>46.314607658032116</v>
      </c>
      <c r="AU227" s="44">
        <f t="shared" ref="AU227" si="76">AVERAGE(AU223:AU226)</f>
        <v>46.314607658032116</v>
      </c>
      <c r="AV227" s="44">
        <f t="shared" ref="AV227" si="77">AVERAGE(AV223:AV226)</f>
        <v>49.69773195102313</v>
      </c>
      <c r="AW227" s="44">
        <f t="shared" ref="AW227" si="78">AVERAGE(AW223:AW226)</f>
        <v>48.753344682445814</v>
      </c>
      <c r="AX227" s="44">
        <f>AVERAGE(AX223:AX226)</f>
        <v>42.27312507454667</v>
      </c>
      <c r="AY227" s="44">
        <f t="shared" ref="AY227" si="79">AVERAGE(AY223:AY226)</f>
        <v>42.27312507454667</v>
      </c>
      <c r="AZ227" s="44">
        <f t="shared" ref="AZ227" si="80">AVERAGE(AZ223:AZ226)</f>
        <v>38.885261746657122</v>
      </c>
      <c r="BA227" s="44">
        <f t="shared" ref="BA227" si="81">AVERAGE(BA223:BA226)</f>
        <v>48.267722331481536</v>
      </c>
    </row>
    <row r="229" spans="1:53" x14ac:dyDescent="0.3">
      <c r="A229" s="42" t="str">
        <f xml:space="preserve"> $B221</f>
        <v>ELR_Sex-merged</v>
      </c>
      <c r="B229" s="44"/>
      <c r="C229" s="44"/>
      <c r="D229" s="44"/>
      <c r="E229" s="44"/>
      <c r="F229" s="44"/>
      <c r="G229" s="44"/>
      <c r="H229" s="44"/>
      <c r="I229" s="44" t="str">
        <f xml:space="preserve"> $F221</f>
        <v>ELR_Female</v>
      </c>
      <c r="J229" s="44"/>
      <c r="K229" s="44"/>
      <c r="L229" s="44"/>
      <c r="M229" s="44"/>
      <c r="N229" s="44"/>
      <c r="O229" s="44"/>
      <c r="P229" s="44"/>
      <c r="Q229" s="44" t="str">
        <f xml:space="preserve"> $J221</f>
        <v>ELR_Male</v>
      </c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</row>
    <row r="230" spans="1:53" x14ac:dyDescent="0.3"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</row>
    <row r="231" spans="1:53" x14ac:dyDescent="0.3"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</row>
    <row r="232" spans="1:53" x14ac:dyDescent="0.3"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</row>
    <row r="233" spans="1:53" x14ac:dyDescent="0.3"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</row>
    <row r="234" spans="1:53" x14ac:dyDescent="0.3"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</row>
    <row r="235" spans="1:53" x14ac:dyDescent="0.3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</row>
    <row r="236" spans="1:53" x14ac:dyDescent="0.3"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</row>
    <row r="237" spans="1:53" x14ac:dyDescent="0.3"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</row>
    <row r="238" spans="1:53" x14ac:dyDescent="0.3"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</row>
    <row r="239" spans="1:53" x14ac:dyDescent="0.3"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</row>
    <row r="240" spans="1:53" x14ac:dyDescent="0.3"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</row>
    <row r="241" spans="1:40" x14ac:dyDescent="0.3"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</row>
    <row r="242" spans="1:40" x14ac:dyDescent="0.3"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</row>
    <row r="243" spans="1:40" x14ac:dyDescent="0.3"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</row>
    <row r="244" spans="1:40" x14ac:dyDescent="0.3"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</row>
    <row r="245" spans="1:40" x14ac:dyDescent="0.3"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</row>
    <row r="246" spans="1:40" x14ac:dyDescent="0.3">
      <c r="A246" s="42" t="str">
        <f xml:space="preserve"> $N221</f>
        <v>ELR_RP-merged</v>
      </c>
      <c r="B246" s="44"/>
      <c r="C246" s="44"/>
      <c r="D246" s="44"/>
      <c r="E246" s="44"/>
      <c r="F246" s="44"/>
      <c r="G246" s="44"/>
      <c r="H246" s="44"/>
      <c r="I246" s="44" t="str">
        <f xml:space="preserve"> $R221</f>
        <v>ELR_RP1</v>
      </c>
      <c r="J246" s="44"/>
      <c r="K246" s="44"/>
      <c r="L246" s="44"/>
      <c r="M246" s="44"/>
      <c r="N246" s="44"/>
      <c r="O246" s="44"/>
      <c r="P246" s="44"/>
      <c r="Q246" s="44" t="str">
        <f xml:space="preserve"> $V221</f>
        <v>ELR_RP2</v>
      </c>
      <c r="R246" s="44"/>
      <c r="S246" s="44"/>
      <c r="T246" s="44"/>
      <c r="U246" s="44"/>
      <c r="V246" s="44"/>
      <c r="W246" s="44"/>
      <c r="X246" s="44"/>
      <c r="Y246" s="44" t="str">
        <f xml:space="preserve"> $Z221</f>
        <v>ELR_RP3</v>
      </c>
      <c r="Z246" s="44"/>
      <c r="AA246" s="44"/>
      <c r="AB246" s="44"/>
      <c r="AC246" s="44"/>
      <c r="AD246" s="44"/>
      <c r="AE246" s="44"/>
      <c r="AF246" s="44"/>
      <c r="AG246" s="44" t="str">
        <f xml:space="preserve"> $AD221</f>
        <v>ELR_RP4</v>
      </c>
      <c r="AH246" s="44"/>
      <c r="AI246" s="44"/>
      <c r="AJ246" s="44"/>
      <c r="AK246" s="44"/>
      <c r="AL246" s="44"/>
      <c r="AM246" s="44"/>
      <c r="AN246" s="44"/>
    </row>
    <row r="247" spans="1:40" x14ac:dyDescent="0.3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</row>
    <row r="248" spans="1:40" x14ac:dyDescent="0.3"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</row>
    <row r="249" spans="1:40" x14ac:dyDescent="0.3"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</row>
    <row r="250" spans="1:40" x14ac:dyDescent="0.3"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</row>
    <row r="251" spans="1:40" x14ac:dyDescent="0.3"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</row>
    <row r="252" spans="1:40" x14ac:dyDescent="0.3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</row>
    <row r="253" spans="1:40" x14ac:dyDescent="0.3"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</row>
    <row r="254" spans="1:40" x14ac:dyDescent="0.3"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</row>
    <row r="255" spans="1:40" x14ac:dyDescent="0.3"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</row>
    <row r="256" spans="1:40" x14ac:dyDescent="0.3"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</row>
    <row r="257" spans="1:40" x14ac:dyDescent="0.3"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</row>
    <row r="258" spans="1:40" x14ac:dyDescent="0.3"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</row>
    <row r="259" spans="1:40" x14ac:dyDescent="0.3"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</row>
    <row r="260" spans="1:40" x14ac:dyDescent="0.3"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</row>
    <row r="261" spans="1:40" x14ac:dyDescent="0.3"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</row>
    <row r="262" spans="1:40" x14ac:dyDescent="0.3"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</row>
    <row r="263" spans="1:40" x14ac:dyDescent="0.3">
      <c r="A263" s="42" t="str">
        <f xml:space="preserve"> $AH221</f>
        <v>ELR_RF-merged</v>
      </c>
      <c r="B263" s="44"/>
      <c r="C263" s="44"/>
      <c r="D263" s="44"/>
      <c r="E263" s="44"/>
      <c r="F263" s="44"/>
      <c r="G263" s="44"/>
      <c r="H263" s="44"/>
      <c r="I263" s="44" t="str">
        <f xml:space="preserve"> $AL221</f>
        <v>ELR_RF1</v>
      </c>
      <c r="J263" s="44"/>
      <c r="K263" s="44"/>
      <c r="L263" s="44"/>
      <c r="M263" s="44"/>
      <c r="N263" s="44"/>
      <c r="Q263" s="42" t="str">
        <f xml:space="preserve"> $AP221</f>
        <v>ELR_RF2</v>
      </c>
      <c r="Y263" s="42" t="str">
        <f xml:space="preserve"> $AT221</f>
        <v>ELR_RF3</v>
      </c>
      <c r="AG263" s="42" t="str">
        <f xml:space="preserve"> $AX221</f>
        <v>ELR_RF4</v>
      </c>
    </row>
    <row r="264" spans="1:40" x14ac:dyDescent="0.3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</row>
    <row r="265" spans="1:40" x14ac:dyDescent="0.3"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</row>
    <row r="266" spans="1:40" x14ac:dyDescent="0.3"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</row>
    <row r="267" spans="1:40" x14ac:dyDescent="0.3"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</row>
    <row r="268" spans="1:40" x14ac:dyDescent="0.3"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</row>
    <row r="269" spans="1:40" x14ac:dyDescent="0.3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</row>
    <row r="270" spans="1:40" x14ac:dyDescent="0.3"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</row>
    <row r="271" spans="1:40" x14ac:dyDescent="0.3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</row>
    <row r="272" spans="1:40" x14ac:dyDescent="0.3"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</row>
    <row r="273" spans="2:14" x14ac:dyDescent="0.3"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</row>
    <row r="274" spans="2:14" x14ac:dyDescent="0.3"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</row>
    <row r="275" spans="2:14" x14ac:dyDescent="0.3"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</row>
    <row r="276" spans="2:14" x14ac:dyDescent="0.3"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</row>
    <row r="277" spans="2:14" x14ac:dyDescent="0.3"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</row>
    <row r="278" spans="2:14" x14ac:dyDescent="0.3"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</row>
    <row r="300" spans="1:7" x14ac:dyDescent="0.3">
      <c r="A300" s="58" t="s">
        <v>94</v>
      </c>
      <c r="B300" s="58" t="s">
        <v>95</v>
      </c>
      <c r="C300" s="58" t="s">
        <v>96</v>
      </c>
      <c r="D300" s="58" t="s">
        <v>97</v>
      </c>
    </row>
    <row r="301" spans="1:7" x14ac:dyDescent="0.3">
      <c r="A301" s="44">
        <f xml:space="preserve"> BaseFeat_HoE!$J$150</f>
        <v>49.179926799511996</v>
      </c>
      <c r="B301" s="44">
        <f xml:space="preserve"> PCA_HoE!$J$150</f>
        <v>49.024885262621112</v>
      </c>
      <c r="C301" s="44">
        <f xml:space="preserve"> BaseFeat_HoE!$O$150</f>
        <v>49.939999999999991</v>
      </c>
      <c r="D301" s="44">
        <f xml:space="preserve"> PCA_HoE!$O$150</f>
        <v>44.884839033084546</v>
      </c>
      <c r="F301" s="42">
        <f>ABS(A301-B301)</f>
        <v>0.1550415368908844</v>
      </c>
      <c r="G301" s="42">
        <f>ABS(C301-D301)</f>
        <v>5.0551609669154445</v>
      </c>
    </row>
    <row r="302" spans="1:7" x14ac:dyDescent="0.3">
      <c r="A302" s="44">
        <f xml:space="preserve"> BaseFeat_HoE!$J$151</f>
        <v>48.224364955935719</v>
      </c>
      <c r="B302" s="44">
        <f xml:space="preserve"> PCA_HoE!$J$151</f>
        <v>49.239601949634441</v>
      </c>
      <c r="C302" s="44">
        <f xml:space="preserve"> BaseFeat_HoE!$O$151</f>
        <v>49.374987341772147</v>
      </c>
      <c r="D302" s="44">
        <f xml:space="preserve"> PCA_HoE!$O$151</f>
        <v>44.209918570459173</v>
      </c>
      <c r="F302" s="42">
        <f t="shared" ref="F302:F325" si="82">ABS(A302-B302)</f>
        <v>1.0152369936987213</v>
      </c>
      <c r="G302" s="42">
        <f t="shared" ref="G302:G325" si="83">ABS(C302-D302)</f>
        <v>5.1650687713129741</v>
      </c>
    </row>
    <row r="303" spans="1:7" x14ac:dyDescent="0.3">
      <c r="A303" s="44">
        <f xml:space="preserve"> BaseFeat_HoE!$J$152</f>
        <v>43.699990846681921</v>
      </c>
      <c r="B303" s="44">
        <f xml:space="preserve"> PCA_HoE!$J$152</f>
        <v>48.324995344024835</v>
      </c>
      <c r="C303" s="44">
        <f xml:space="preserve"> BaseFeat_HoE!$O$152</f>
        <v>51.634999515832284</v>
      </c>
      <c r="D303" s="44">
        <f xml:space="preserve"> PCA_HoE!$O$152</f>
        <v>50.204999502041638</v>
      </c>
      <c r="F303" s="42">
        <f t="shared" si="82"/>
        <v>4.6250044973429141</v>
      </c>
      <c r="G303" s="42">
        <f t="shared" si="83"/>
        <v>1.4300000137906466</v>
      </c>
    </row>
    <row r="304" spans="1:7" x14ac:dyDescent="0.3">
      <c r="A304" s="44">
        <f xml:space="preserve"> BaseFeat_HoE!$J$153</f>
        <v>44.970140409065785</v>
      </c>
      <c r="B304" s="44">
        <f xml:space="preserve"> PCA_HoE!$J$153</f>
        <v>43.443505831729134</v>
      </c>
      <c r="C304" s="44">
        <f xml:space="preserve"> BaseFeat_HoE!$O$153</f>
        <v>57.20242424242425</v>
      </c>
      <c r="D304" s="44">
        <f xml:space="preserve"> PCA_HoE!$O$153</f>
        <v>56.132977398113539</v>
      </c>
      <c r="F304" s="42">
        <f t="shared" si="82"/>
        <v>1.526634577336651</v>
      </c>
      <c r="G304" s="42">
        <f t="shared" si="83"/>
        <v>1.0694468443107112</v>
      </c>
    </row>
    <row r="305" spans="1:7" x14ac:dyDescent="0.3">
      <c r="A305" s="44">
        <f xml:space="preserve"> BaseFeat_HoE!$J$165</f>
        <v>41.18489741410707</v>
      </c>
      <c r="B305" s="44">
        <f xml:space="preserve"> PCA_HoE!$J$165</f>
        <v>40.444821362343923</v>
      </c>
      <c r="C305" s="44">
        <f xml:space="preserve"> BaseFeat_HoE!$O$165</f>
        <v>44.524999438517689</v>
      </c>
      <c r="D305" s="44">
        <f xml:space="preserve"> PCA_HoE!$O$165</f>
        <v>34.74137285940423</v>
      </c>
      <c r="F305" s="42">
        <f t="shared" si="82"/>
        <v>0.74007605176314684</v>
      </c>
      <c r="G305" s="42">
        <f t="shared" si="83"/>
        <v>9.7836265791134593</v>
      </c>
    </row>
    <row r="306" spans="1:7" x14ac:dyDescent="0.3">
      <c r="A306" s="44">
        <f xml:space="preserve"> BaseFeat_HoE!$J$166</f>
        <v>50.759998029944839</v>
      </c>
      <c r="B306" s="44">
        <f xml:space="preserve"> PCA_HoE!$J$166</f>
        <v>40.320622529644261</v>
      </c>
      <c r="C306" s="44">
        <f xml:space="preserve"> BaseFeat_HoE!$O$166</f>
        <v>43.454458884416333</v>
      </c>
      <c r="D306" s="44">
        <f xml:space="preserve"> PCA_HoE!$O$166</f>
        <v>52.439382151029747</v>
      </c>
      <c r="F306" s="42">
        <f>ABS(A306-B306)</f>
        <v>10.439375500300578</v>
      </c>
      <c r="G306" s="42">
        <f t="shared" si="83"/>
        <v>8.9849232666134142</v>
      </c>
    </row>
    <row r="307" spans="1:7" x14ac:dyDescent="0.3">
      <c r="A307" s="44">
        <f xml:space="preserve"> BaseFeat_HoE!$J$167</f>
        <v>51.584960744402444</v>
      </c>
      <c r="B307" s="44">
        <f xml:space="preserve"> PCA_HoE!$J$167</f>
        <v>49.67</v>
      </c>
      <c r="C307" s="44">
        <f xml:space="preserve"> BaseFeat_HoE!$O$167</f>
        <v>46.27346369922212</v>
      </c>
      <c r="D307" s="44">
        <f xml:space="preserve"> PCA_HoE!$O$167</f>
        <v>43.782050696506055</v>
      </c>
      <c r="F307" s="42">
        <f t="shared" si="82"/>
        <v>1.9149607444024426</v>
      </c>
      <c r="G307" s="42">
        <f t="shared" si="83"/>
        <v>2.4914130027160653</v>
      </c>
    </row>
    <row r="308" spans="1:7" x14ac:dyDescent="0.3">
      <c r="A308" s="44">
        <f xml:space="preserve"> BaseFeat_HoE!$J$168</f>
        <v>63.84701619901648</v>
      </c>
      <c r="B308" s="44">
        <f xml:space="preserve"> PCA_HoE!$J$168</f>
        <v>43.355613458706245</v>
      </c>
      <c r="C308" s="44">
        <f xml:space="preserve"> BaseFeat_HoE!$O$168</f>
        <v>46.473163495646553</v>
      </c>
      <c r="D308" s="44">
        <f xml:space="preserve"> PCA_HoE!$O$168</f>
        <v>49.268972095383056</v>
      </c>
      <c r="F308" s="42">
        <f t="shared" si="82"/>
        <v>20.491402740310235</v>
      </c>
      <c r="G308" s="42">
        <f t="shared" si="83"/>
        <v>2.7958085997365032</v>
      </c>
    </row>
    <row r="309" spans="1:7" x14ac:dyDescent="0.3">
      <c r="A309" s="44">
        <f xml:space="preserve"> BaseFeat_HoE!$J$179</f>
        <v>46.38499514929395</v>
      </c>
      <c r="B309" s="44">
        <f xml:space="preserve"> PCA_HoE!$J$179</f>
        <v>56.009285841813956</v>
      </c>
      <c r="C309" s="44">
        <f xml:space="preserve"> BaseFeat_HoE!$O$179</f>
        <v>42.864112912632685</v>
      </c>
      <c r="D309" s="44">
        <f xml:space="preserve"> PCA_HoE!$O$179</f>
        <v>45.054986128065693</v>
      </c>
      <c r="F309" s="42">
        <f t="shared" si="82"/>
        <v>9.624290692520006</v>
      </c>
      <c r="G309" s="42">
        <f t="shared" si="83"/>
        <v>2.1908732154330082</v>
      </c>
    </row>
    <row r="310" spans="1:7" x14ac:dyDescent="0.3">
      <c r="A310" s="44">
        <f xml:space="preserve"> BaseFeat_HoE!$J$180</f>
        <v>45.499206593406598</v>
      </c>
      <c r="B310" s="44">
        <f xml:space="preserve"> PCA_HoE!$J$180</f>
        <v>49.669991946849201</v>
      </c>
      <c r="C310" s="44">
        <f xml:space="preserve"> BaseFeat_HoE!$O$180</f>
        <v>48.494851015568614</v>
      </c>
      <c r="D310" s="44">
        <f xml:space="preserve"> PCA_HoE!$O$180</f>
        <v>46.754550315474283</v>
      </c>
      <c r="F310" s="42">
        <f t="shared" si="82"/>
        <v>4.1707853534426036</v>
      </c>
      <c r="G310" s="42">
        <f t="shared" si="83"/>
        <v>1.7403007000943305</v>
      </c>
    </row>
    <row r="311" spans="1:7" x14ac:dyDescent="0.3">
      <c r="A311" s="44">
        <f xml:space="preserve"> BaseFeat_HoE!$J$181</f>
        <v>58.598805664562363</v>
      </c>
      <c r="B311" s="44">
        <f xml:space="preserve"> PCA_HoE!$J$181</f>
        <v>58.192286941580754</v>
      </c>
      <c r="C311" s="44">
        <f xml:space="preserve"> BaseFeat_HoE!$O$181</f>
        <v>53.689908735332466</v>
      </c>
      <c r="D311" s="44">
        <f xml:space="preserve"> PCA_HoE!$O$181</f>
        <v>48.424999483737736</v>
      </c>
      <c r="F311" s="42">
        <f t="shared" si="82"/>
        <v>0.40651872298160896</v>
      </c>
      <c r="G311" s="42">
        <f t="shared" si="83"/>
        <v>5.2649092515947302</v>
      </c>
    </row>
    <row r="312" spans="1:7" x14ac:dyDescent="0.3">
      <c r="A312" s="44">
        <f xml:space="preserve"> BaseFeat_HoE!$J$182</f>
        <v>52.870011316484344</v>
      </c>
      <c r="B312" s="44">
        <f xml:space="preserve"> PCA_HoE!$J$182</f>
        <v>51.361665855794492</v>
      </c>
      <c r="C312" s="44">
        <f xml:space="preserve"> BaseFeat_HoE!$O$182</f>
        <v>57.913497366830697</v>
      </c>
      <c r="D312" s="44">
        <f xml:space="preserve"> PCA_HoE!$O$182</f>
        <v>42.162011146685636</v>
      </c>
      <c r="F312" s="42">
        <f t="shared" si="82"/>
        <v>1.5083454606898528</v>
      </c>
      <c r="G312" s="42">
        <f t="shared" si="83"/>
        <v>15.751486220145061</v>
      </c>
    </row>
    <row r="313" spans="1:7" x14ac:dyDescent="0.3">
      <c r="F313" s="42">
        <f>AVERAGE(F301:F312)</f>
        <v>4.7181394059733037</v>
      </c>
      <c r="G313" s="42">
        <f>AVERAGE(G301:G312)</f>
        <v>5.1435847859813624</v>
      </c>
    </row>
    <row r="314" spans="1:7" x14ac:dyDescent="0.3">
      <c r="A314" s="44">
        <f xml:space="preserve"> BaseFeat_ELR!$J$150</f>
        <v>45.593035908596299</v>
      </c>
      <c r="B314" s="44">
        <f xml:space="preserve"> PCA_ELR!$J$150</f>
        <v>45.593035908596299</v>
      </c>
      <c r="C314" s="44">
        <f xml:space="preserve"> BaseFeat_ELR!$O$150</f>
        <v>56.179998220007121</v>
      </c>
      <c r="D314" s="44">
        <f xml:space="preserve"> PCA_ELR!$O$150</f>
        <v>46.144140845070424</v>
      </c>
      <c r="F314" s="42">
        <f t="shared" si="82"/>
        <v>0</v>
      </c>
      <c r="G314" s="42">
        <f t="shared" si="83"/>
        <v>10.035857374936697</v>
      </c>
    </row>
    <row r="315" spans="1:7" x14ac:dyDescent="0.3">
      <c r="A315" s="44">
        <f xml:space="preserve"> BaseFeat_ELR!$J$151</f>
        <v>49.939991990388471</v>
      </c>
      <c r="B315" s="44">
        <f xml:space="preserve"> PCA_ELR!$J$151</f>
        <v>46.780805641628369</v>
      </c>
      <c r="C315" s="44">
        <f xml:space="preserve"> BaseFeat_ELR!$O$151</f>
        <v>46.785831819638858</v>
      </c>
      <c r="D315" s="44">
        <f xml:space="preserve"> PCA_ELR!$O$151</f>
        <v>49.169949155989414</v>
      </c>
      <c r="F315" s="42">
        <f t="shared" si="82"/>
        <v>3.1591863487601017</v>
      </c>
      <c r="G315" s="42">
        <f t="shared" si="83"/>
        <v>2.3841173363505561</v>
      </c>
    </row>
    <row r="316" spans="1:7" x14ac:dyDescent="0.3">
      <c r="A316" s="44">
        <f xml:space="preserve"> BaseFeat_ELR!$J$152</f>
        <v>37.210089993284086</v>
      </c>
      <c r="B316" s="44">
        <f xml:space="preserve"> PCA_ELR!$J$152</f>
        <v>37.087239148018327</v>
      </c>
      <c r="C316" s="44">
        <f xml:space="preserve"> BaseFeat_ELR!$O$152</f>
        <v>53.069932165065005</v>
      </c>
      <c r="D316" s="44">
        <f xml:space="preserve"> PCA_ELR!$O$152</f>
        <v>53.484894830326262</v>
      </c>
      <c r="F316" s="42">
        <f t="shared" si="82"/>
        <v>0.12285084526575929</v>
      </c>
      <c r="G316" s="42">
        <f t="shared" si="83"/>
        <v>0.4149626652612568</v>
      </c>
    </row>
    <row r="317" spans="1:7" x14ac:dyDescent="0.3">
      <c r="A317" s="44">
        <f xml:space="preserve"> BaseFeat_ELR!$J$153</f>
        <v>49.464321811198708</v>
      </c>
      <c r="B317" s="44">
        <f xml:space="preserve"> PCA_ELR!$J$153</f>
        <v>49.464321811198708</v>
      </c>
      <c r="C317" s="44">
        <f xml:space="preserve"> BaseFeat_ELR!$O$153</f>
        <v>56.318063199005856</v>
      </c>
      <c r="D317" s="44">
        <f xml:space="preserve"> PCA_ELR!$O$153</f>
        <v>49.464321811198708</v>
      </c>
      <c r="F317" s="42">
        <f t="shared" si="82"/>
        <v>0</v>
      </c>
      <c r="G317" s="42">
        <f t="shared" si="83"/>
        <v>6.8537413878071476</v>
      </c>
    </row>
    <row r="318" spans="1:7" x14ac:dyDescent="0.3">
      <c r="A318" s="44">
        <f xml:space="preserve"> BaseFeat_ELR!$J$165</f>
        <v>46.114883069296262</v>
      </c>
      <c r="B318" s="44">
        <f xml:space="preserve"> PCA_ELR!$J$165</f>
        <v>46.114883069296262</v>
      </c>
      <c r="C318" s="44">
        <f xml:space="preserve"> BaseFeat_ELR!$O$165</f>
        <v>49.36495897903373</v>
      </c>
      <c r="D318" s="44">
        <f xml:space="preserve"> PCA_ELR!$O$165</f>
        <v>48.205799626633478</v>
      </c>
      <c r="F318" s="42">
        <f t="shared" si="82"/>
        <v>0</v>
      </c>
      <c r="G318" s="42">
        <f t="shared" si="83"/>
        <v>1.1591593524002519</v>
      </c>
    </row>
    <row r="319" spans="1:7" x14ac:dyDescent="0.3">
      <c r="A319" s="44">
        <f xml:space="preserve"> BaseFeat_ELR!$J$166</f>
        <v>62.924332141438228</v>
      </c>
      <c r="B319" s="44">
        <f xml:space="preserve"> PCA_ELR!$J$166</f>
        <v>62.274025369299935</v>
      </c>
      <c r="C319" s="44">
        <f xml:space="preserve"> BaseFeat_ELR!$O$166</f>
        <v>56.402638064001422</v>
      </c>
      <c r="D319" s="44">
        <f xml:space="preserve"> PCA_ELR!$O$166</f>
        <v>62.157918341102722</v>
      </c>
      <c r="F319" s="42">
        <f t="shared" si="82"/>
        <v>0.65030677213829335</v>
      </c>
      <c r="G319" s="42">
        <f t="shared" si="83"/>
        <v>5.7552802771012992</v>
      </c>
    </row>
    <row r="320" spans="1:7" x14ac:dyDescent="0.3">
      <c r="A320" s="44">
        <f xml:space="preserve"> BaseFeat_ELR!$J$167</f>
        <v>42.65295979369359</v>
      </c>
      <c r="B320" s="44">
        <f xml:space="preserve"> PCA_ELR!$J$167</f>
        <v>42.378150070788109</v>
      </c>
      <c r="C320" s="44">
        <f xml:space="preserve"> BaseFeat_ELR!$O$167</f>
        <v>45.459980202375718</v>
      </c>
      <c r="D320" s="44">
        <f xml:space="preserve"> PCA_ELR!$O$167</f>
        <v>39.469625126646399</v>
      </c>
      <c r="F320" s="42">
        <f t="shared" si="82"/>
        <v>0.27480972290548067</v>
      </c>
      <c r="G320" s="42">
        <f t="shared" si="83"/>
        <v>5.9903550757293189</v>
      </c>
    </row>
    <row r="321" spans="1:7" x14ac:dyDescent="0.3">
      <c r="A321" s="44">
        <f xml:space="preserve"> BaseFeat_ELR!$J$168</f>
        <v>48.654754569726848</v>
      </c>
      <c r="B321" s="44">
        <f xml:space="preserve"> PCA_ELR!$J$168</f>
        <v>48.654754569726848</v>
      </c>
      <c r="C321" s="44">
        <f xml:space="preserve"> BaseFeat_ELR!$O$168</f>
        <v>48.645283483976996</v>
      </c>
      <c r="D321" s="44">
        <f xml:space="preserve"> PCA_ELR!$O$168</f>
        <v>48.247272350564586</v>
      </c>
      <c r="F321" s="42">
        <f t="shared" si="82"/>
        <v>0</v>
      </c>
      <c r="G321" s="42">
        <f t="shared" si="83"/>
        <v>0.39801113341241035</v>
      </c>
    </row>
    <row r="322" spans="1:7" x14ac:dyDescent="0.3">
      <c r="A322" s="44">
        <f xml:space="preserve"> BaseFeat_ELR!$J$179</f>
        <v>46.438136047134442</v>
      </c>
      <c r="B322" s="44">
        <f xml:space="preserve"> PCA_ELR!$J$179</f>
        <v>46.438136047134442</v>
      </c>
      <c r="C322" s="44">
        <f xml:space="preserve"> BaseFeat_ELR!$O$179</f>
        <v>50.68771947129612</v>
      </c>
      <c r="D322" s="44">
        <f xml:space="preserve"> PCA_ELR!$O$179</f>
        <v>46.433822584101144</v>
      </c>
      <c r="F322" s="42">
        <f t="shared" si="82"/>
        <v>0</v>
      </c>
      <c r="G322" s="42">
        <f t="shared" si="83"/>
        <v>4.2538968871949763</v>
      </c>
    </row>
    <row r="323" spans="1:7" x14ac:dyDescent="0.3">
      <c r="A323" s="44">
        <f xml:space="preserve"> BaseFeat_ELR!$J$180</f>
        <v>38.755512003919648</v>
      </c>
      <c r="B323" s="44">
        <f xml:space="preserve"> PCA_ELR!$J$180</f>
        <v>38.755512003919648</v>
      </c>
      <c r="C323" s="44">
        <f xml:space="preserve"> BaseFeat_ELR!$O$180</f>
        <v>47.591723558449743</v>
      </c>
      <c r="D323" s="44">
        <f xml:space="preserve"> PCA_ELR!$O$180</f>
        <v>52.73543533870204</v>
      </c>
      <c r="F323" s="42">
        <f t="shared" si="82"/>
        <v>0</v>
      </c>
      <c r="G323" s="42">
        <f t="shared" si="83"/>
        <v>5.1437117802522963</v>
      </c>
    </row>
    <row r="324" spans="1:7" x14ac:dyDescent="0.3">
      <c r="A324" s="44">
        <f xml:space="preserve"> BaseFeat_ELR!$J$181</f>
        <v>39.784949101420139</v>
      </c>
      <c r="B324" s="44">
        <f xml:space="preserve"> PCA_ELR!$J$181</f>
        <v>40.299997518610432</v>
      </c>
      <c r="C324" s="44">
        <f xml:space="preserve"> BaseFeat_ELR!$O$181</f>
        <v>60.197552104957232</v>
      </c>
      <c r="D324" s="44">
        <f xml:space="preserve"> PCA_ELR!$O$181</f>
        <v>58.904877344877342</v>
      </c>
      <c r="F324" s="42">
        <f t="shared" si="82"/>
        <v>0.51504841719029315</v>
      </c>
      <c r="G324" s="42">
        <f t="shared" si="83"/>
        <v>1.2926747600798905</v>
      </c>
    </row>
    <row r="325" spans="1:7" x14ac:dyDescent="0.3">
      <c r="A325" s="44">
        <f xml:space="preserve"> BaseFeat_ELR!$J$182</f>
        <v>49.728534084053884</v>
      </c>
      <c r="B325" s="44">
        <f xml:space="preserve"> PCA_ELR!$J$182</f>
        <v>49.728534084053884</v>
      </c>
      <c r="C325" s="44">
        <f xml:space="preserve"> BaseFeat_ELR!$O$182</f>
        <v>49.728534084053884</v>
      </c>
      <c r="D325" s="44">
        <f xml:space="preserve"> PCA_ELR!$O$182</f>
        <v>49.728534084053884</v>
      </c>
      <c r="F325" s="42">
        <f t="shared" si="82"/>
        <v>0</v>
      </c>
      <c r="G325" s="42">
        <f t="shared" si="83"/>
        <v>0</v>
      </c>
    </row>
    <row r="326" spans="1:7" x14ac:dyDescent="0.3">
      <c r="F326" s="42">
        <f>AVERAGE(F314:F325)</f>
        <v>0.39351684218832733</v>
      </c>
      <c r="G326" s="42">
        <f>AVERAGE(G314:G325)</f>
        <v>3.6401473358771752</v>
      </c>
    </row>
  </sheetData>
  <mergeCells count="64">
    <mergeCell ref="A1:B1"/>
    <mergeCell ref="A19:B19"/>
    <mergeCell ref="B20:D20"/>
    <mergeCell ref="E20:I20"/>
    <mergeCell ref="J20:N20"/>
    <mergeCell ref="A37:B37"/>
    <mergeCell ref="B38:D38"/>
    <mergeCell ref="E38:G38"/>
    <mergeCell ref="H38:J38"/>
    <mergeCell ref="B2:D2"/>
    <mergeCell ref="E2:I2"/>
    <mergeCell ref="J2:N2"/>
    <mergeCell ref="AC38:AE38"/>
    <mergeCell ref="AF38:AH38"/>
    <mergeCell ref="AI38:AK38"/>
    <mergeCell ref="AL38:AN38"/>
    <mergeCell ref="K38:M38"/>
    <mergeCell ref="N38:P38"/>
    <mergeCell ref="Q38:S38"/>
    <mergeCell ref="T38:V38"/>
    <mergeCell ref="W38:Y38"/>
    <mergeCell ref="Z38:AB38"/>
    <mergeCell ref="A98:B98"/>
    <mergeCell ref="B99:D99"/>
    <mergeCell ref="E99:G99"/>
    <mergeCell ref="H99:J99"/>
    <mergeCell ref="K99:M99"/>
    <mergeCell ref="N221:Q221"/>
    <mergeCell ref="R221:U221"/>
    <mergeCell ref="V221:Y221"/>
    <mergeCell ref="AI99:AK99"/>
    <mergeCell ref="AL99:AN99"/>
    <mergeCell ref="N99:P99"/>
    <mergeCell ref="Q99:S99"/>
    <mergeCell ref="T99:V99"/>
    <mergeCell ref="W99:Y99"/>
    <mergeCell ref="Z99:AB99"/>
    <mergeCell ref="AC99:AE99"/>
    <mergeCell ref="AD221:AG221"/>
    <mergeCell ref="AF99:AH99"/>
    <mergeCell ref="V160:Y160"/>
    <mergeCell ref="Z160:AC160"/>
    <mergeCell ref="Z221:AC221"/>
    <mergeCell ref="B221:E221"/>
    <mergeCell ref="F160:I160"/>
    <mergeCell ref="J160:M160"/>
    <mergeCell ref="A159:B159"/>
    <mergeCell ref="B160:E160"/>
    <mergeCell ref="A220:B220"/>
    <mergeCell ref="F221:I221"/>
    <mergeCell ref="J221:M221"/>
    <mergeCell ref="N160:Q160"/>
    <mergeCell ref="R160:U160"/>
    <mergeCell ref="AL160:AO160"/>
    <mergeCell ref="AP160:AS160"/>
    <mergeCell ref="AT160:AW160"/>
    <mergeCell ref="AD160:AG160"/>
    <mergeCell ref="AX160:BA160"/>
    <mergeCell ref="AH160:AK160"/>
    <mergeCell ref="AH221:AK221"/>
    <mergeCell ref="AL221:AO221"/>
    <mergeCell ref="AP221:AS221"/>
    <mergeCell ref="AT221:AW221"/>
    <mergeCell ref="AX221:BA2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94"/>
  <sheetViews>
    <sheetView zoomScaleNormal="100" workbookViewId="0">
      <selection sqref="A1:B1"/>
    </sheetView>
  </sheetViews>
  <sheetFormatPr defaultColWidth="12.6640625" defaultRowHeight="14.4" x14ac:dyDescent="0.3"/>
  <cols>
    <col min="1" max="1" width="12.6640625" style="42"/>
    <col min="2" max="2" width="12.6640625" style="44"/>
    <col min="3" max="16384" width="12.6640625" style="42"/>
  </cols>
  <sheetData>
    <row r="1" spans="1:50" x14ac:dyDescent="0.3">
      <c r="A1" s="69" t="s">
        <v>140</v>
      </c>
      <c r="B1" s="69"/>
      <c r="C1" s="48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</row>
    <row r="2" spans="1:50" s="49" customFormat="1" x14ac:dyDescent="0.3">
      <c r="A2" s="49" t="s">
        <v>141</v>
      </c>
      <c r="B2" s="52" t="s">
        <v>112</v>
      </c>
      <c r="C2" s="49" t="s">
        <v>113</v>
      </c>
      <c r="D2" s="49" t="s">
        <v>114</v>
      </c>
      <c r="E2" s="49" t="s">
        <v>115</v>
      </c>
    </row>
    <row r="3" spans="1:50" x14ac:dyDescent="0.3">
      <c r="A3" s="42">
        <v>1</v>
      </c>
      <c r="B3" s="44">
        <f xml:space="preserve"> $B83</f>
        <v>-0.625</v>
      </c>
      <c r="C3" s="44">
        <f xml:space="preserve"> $B163</f>
        <v>-0.59375</v>
      </c>
      <c r="D3" s="44">
        <f xml:space="preserve"> $B243</f>
        <v>-0.375</v>
      </c>
      <c r="E3" s="44">
        <f xml:space="preserve"> $B323</f>
        <v>-0.75</v>
      </c>
    </row>
    <row r="4" spans="1:50" x14ac:dyDescent="0.3">
      <c r="A4" s="42">
        <f xml:space="preserve"> A3 + 1</f>
        <v>2</v>
      </c>
      <c r="B4" s="44">
        <f t="shared" ref="B4:B67" si="0" xml:space="preserve"> $B84</f>
        <v>-0.625</v>
      </c>
      <c r="C4" s="44">
        <f t="shared" ref="C4:C67" si="1" xml:space="preserve"> $B164</f>
        <v>-0.5625</v>
      </c>
      <c r="D4" s="44">
        <f t="shared" ref="D4:D67" si="2" xml:space="preserve"> $B244</f>
        <v>0.21875</v>
      </c>
      <c r="E4" s="44">
        <f t="shared" ref="E4:E67" si="3" xml:space="preserve"> $B324</f>
        <v>-0.875</v>
      </c>
    </row>
    <row r="5" spans="1:50" x14ac:dyDescent="0.3">
      <c r="A5" s="42">
        <f t="shared" ref="A5:A68" si="4" xml:space="preserve"> A4 + 1</f>
        <v>3</v>
      </c>
      <c r="B5" s="44">
        <f t="shared" si="0"/>
        <v>-0.34375</v>
      </c>
      <c r="C5" s="44">
        <f t="shared" si="1"/>
        <v>-0.1875</v>
      </c>
      <c r="D5" s="44">
        <f t="shared" si="2"/>
        <v>-0.125</v>
      </c>
      <c r="E5" s="44">
        <f t="shared" si="3"/>
        <v>-0.8125</v>
      </c>
    </row>
    <row r="6" spans="1:50" x14ac:dyDescent="0.3">
      <c r="A6" s="42">
        <f t="shared" si="4"/>
        <v>4</v>
      </c>
      <c r="B6" s="44">
        <f t="shared" si="0"/>
        <v>0.375</v>
      </c>
      <c r="C6" s="44">
        <f t="shared" si="1"/>
        <v>-1.0625</v>
      </c>
      <c r="D6" s="44">
        <f t="shared" si="2"/>
        <v>1.21875</v>
      </c>
      <c r="E6" s="44">
        <f t="shared" si="3"/>
        <v>-1.15625</v>
      </c>
    </row>
    <row r="7" spans="1:50" x14ac:dyDescent="0.3">
      <c r="A7" s="42">
        <f t="shared" si="4"/>
        <v>5</v>
      </c>
      <c r="B7" s="44">
        <f t="shared" si="0"/>
        <v>0.21875</v>
      </c>
      <c r="C7" s="44">
        <f t="shared" si="1"/>
        <v>-0.75</v>
      </c>
      <c r="D7" s="44">
        <f t="shared" si="2"/>
        <v>0.59375</v>
      </c>
      <c r="E7" s="44">
        <f t="shared" si="3"/>
        <v>-1.3125</v>
      </c>
    </row>
    <row r="8" spans="1:50" x14ac:dyDescent="0.3">
      <c r="A8" s="42">
        <f t="shared" si="4"/>
        <v>6</v>
      </c>
      <c r="B8" s="44">
        <f t="shared" si="0"/>
        <v>-0.21875</v>
      </c>
      <c r="C8" s="44">
        <f t="shared" si="1"/>
        <v>-0.75</v>
      </c>
      <c r="D8" s="44">
        <f t="shared" si="2"/>
        <v>0.3125</v>
      </c>
      <c r="E8" s="44">
        <f t="shared" si="3"/>
        <v>-1.0625</v>
      </c>
    </row>
    <row r="9" spans="1:50" x14ac:dyDescent="0.3">
      <c r="A9" s="42">
        <f t="shared" si="4"/>
        <v>7</v>
      </c>
      <c r="B9" s="44">
        <f t="shared" si="0"/>
        <v>-0.40625</v>
      </c>
      <c r="C9" s="44">
        <f t="shared" si="1"/>
        <v>-0.3125</v>
      </c>
      <c r="D9" s="44">
        <f t="shared" si="2"/>
        <v>-0.4375</v>
      </c>
      <c r="E9" s="44">
        <f t="shared" si="3"/>
        <v>-0.9375</v>
      </c>
    </row>
    <row r="10" spans="1:50" x14ac:dyDescent="0.3">
      <c r="A10" s="42">
        <f t="shared" si="4"/>
        <v>8</v>
      </c>
      <c r="B10" s="44">
        <f t="shared" si="0"/>
        <v>-0.3125</v>
      </c>
      <c r="C10" s="44">
        <f t="shared" si="1"/>
        <v>-0.5625</v>
      </c>
      <c r="D10" s="44">
        <f t="shared" si="2"/>
        <v>3.125E-2</v>
      </c>
      <c r="E10" s="44">
        <f t="shared" si="3"/>
        <v>-1.09375</v>
      </c>
    </row>
    <row r="11" spans="1:50" x14ac:dyDescent="0.3">
      <c r="A11" s="42">
        <f t="shared" si="4"/>
        <v>9</v>
      </c>
      <c r="B11" s="44">
        <f t="shared" si="0"/>
        <v>0.15625</v>
      </c>
      <c r="C11" s="44">
        <f t="shared" si="1"/>
        <v>-1.03125</v>
      </c>
      <c r="D11" s="44">
        <f t="shared" si="2"/>
        <v>0.59375</v>
      </c>
      <c r="E11" s="44">
        <f t="shared" si="3"/>
        <v>-0.78125</v>
      </c>
    </row>
    <row r="12" spans="1:50" x14ac:dyDescent="0.3">
      <c r="A12" s="42">
        <f t="shared" si="4"/>
        <v>10</v>
      </c>
      <c r="B12" s="44">
        <f t="shared" si="0"/>
        <v>0.4375</v>
      </c>
      <c r="C12" s="44">
        <f t="shared" si="1"/>
        <v>-9.375E-2</v>
      </c>
      <c r="D12" s="44">
        <f t="shared" si="2"/>
        <v>0.53125</v>
      </c>
      <c r="E12" s="44">
        <f t="shared" si="3"/>
        <v>-1.25</v>
      </c>
    </row>
    <row r="13" spans="1:50" x14ac:dyDescent="0.3">
      <c r="A13" s="42">
        <f t="shared" si="4"/>
        <v>11</v>
      </c>
      <c r="B13" s="44">
        <f t="shared" si="0"/>
        <v>0.21875</v>
      </c>
      <c r="C13" s="44">
        <f t="shared" si="1"/>
        <v>-0.375</v>
      </c>
      <c r="D13" s="44">
        <f t="shared" si="2"/>
        <v>0.59375</v>
      </c>
      <c r="E13" s="44">
        <f t="shared" si="3"/>
        <v>-1.5625</v>
      </c>
    </row>
    <row r="14" spans="1:50" x14ac:dyDescent="0.3">
      <c r="A14" s="42">
        <f t="shared" si="4"/>
        <v>12</v>
      </c>
      <c r="B14" s="44">
        <f t="shared" si="0"/>
        <v>1</v>
      </c>
      <c r="C14" s="44">
        <f t="shared" si="1"/>
        <v>-0.1875</v>
      </c>
      <c r="D14" s="44">
        <f t="shared" si="2"/>
        <v>1.78125</v>
      </c>
      <c r="E14" s="44">
        <f t="shared" si="3"/>
        <v>-0.78125</v>
      </c>
    </row>
    <row r="15" spans="1:50" x14ac:dyDescent="0.3">
      <c r="A15" s="42">
        <f t="shared" si="4"/>
        <v>13</v>
      </c>
      <c r="B15" s="44">
        <f t="shared" si="0"/>
        <v>0.21875</v>
      </c>
      <c r="C15" s="44">
        <f t="shared" si="1"/>
        <v>-6.25E-2</v>
      </c>
      <c r="D15" s="44">
        <f t="shared" si="2"/>
        <v>0.53125</v>
      </c>
      <c r="E15" s="44">
        <f t="shared" si="3"/>
        <v>-0.40625</v>
      </c>
    </row>
    <row r="16" spans="1:50" x14ac:dyDescent="0.3">
      <c r="A16" s="42">
        <f t="shared" si="4"/>
        <v>14</v>
      </c>
      <c r="B16" s="44">
        <f t="shared" si="0"/>
        <v>-0.6875</v>
      </c>
      <c r="C16" s="44">
        <f t="shared" si="1"/>
        <v>-0.28125</v>
      </c>
      <c r="D16" s="44">
        <f t="shared" si="2"/>
        <v>-0.5</v>
      </c>
      <c r="E16" s="44">
        <f t="shared" si="3"/>
        <v>-0.375</v>
      </c>
    </row>
    <row r="17" spans="1:5" x14ac:dyDescent="0.3">
      <c r="A17" s="42">
        <f t="shared" si="4"/>
        <v>15</v>
      </c>
      <c r="B17" s="44">
        <f t="shared" si="0"/>
        <v>-0.4375</v>
      </c>
      <c r="C17" s="44">
        <f t="shared" si="1"/>
        <v>-0.96875</v>
      </c>
      <c r="D17" s="44">
        <f t="shared" si="2"/>
        <v>0.28125</v>
      </c>
      <c r="E17" s="44">
        <f t="shared" si="3"/>
        <v>-0.53125</v>
      </c>
    </row>
    <row r="18" spans="1:5" x14ac:dyDescent="0.3">
      <c r="A18" s="42">
        <f t="shared" si="4"/>
        <v>16</v>
      </c>
      <c r="B18" s="44">
        <f t="shared" si="0"/>
        <v>-0.25</v>
      </c>
      <c r="C18" s="44">
        <f t="shared" si="1"/>
        <v>-0.9375</v>
      </c>
      <c r="D18" s="44">
        <f t="shared" si="2"/>
        <v>-0.6875</v>
      </c>
      <c r="E18" s="44">
        <f t="shared" si="3"/>
        <v>-0.6875</v>
      </c>
    </row>
    <row r="19" spans="1:5" x14ac:dyDescent="0.3">
      <c r="A19" s="42">
        <f t="shared" si="4"/>
        <v>17</v>
      </c>
      <c r="B19" s="44">
        <f t="shared" si="0"/>
        <v>6.25E-2</v>
      </c>
      <c r="C19" s="44">
        <f t="shared" si="1"/>
        <v>-0.40625</v>
      </c>
      <c r="D19" s="44">
        <f t="shared" si="2"/>
        <v>0.65625</v>
      </c>
      <c r="E19" s="44">
        <f t="shared" si="3"/>
        <v>-1.28125</v>
      </c>
    </row>
    <row r="20" spans="1:5" x14ac:dyDescent="0.3">
      <c r="A20" s="42">
        <f t="shared" si="4"/>
        <v>18</v>
      </c>
      <c r="B20" s="44">
        <f t="shared" si="0"/>
        <v>0.1875</v>
      </c>
      <c r="C20" s="44">
        <f t="shared" si="1"/>
        <v>-0.84375</v>
      </c>
      <c r="D20" s="44">
        <f t="shared" si="2"/>
        <v>0.5625</v>
      </c>
      <c r="E20" s="44">
        <f t="shared" si="3"/>
        <v>-1.25</v>
      </c>
    </row>
    <row r="21" spans="1:5" x14ac:dyDescent="0.3">
      <c r="A21" s="42">
        <f t="shared" si="4"/>
        <v>19</v>
      </c>
      <c r="B21" s="44">
        <f t="shared" si="0"/>
        <v>0.5625</v>
      </c>
      <c r="C21" s="44">
        <f t="shared" si="1"/>
        <v>-1.28125</v>
      </c>
      <c r="D21" s="44">
        <f t="shared" si="2"/>
        <v>0.4375</v>
      </c>
      <c r="E21" s="44">
        <f t="shared" si="3"/>
        <v>-1.375</v>
      </c>
    </row>
    <row r="22" spans="1:5" x14ac:dyDescent="0.3">
      <c r="A22" s="42">
        <f t="shared" si="4"/>
        <v>20</v>
      </c>
      <c r="B22" s="44">
        <f t="shared" si="0"/>
        <v>-0.78125</v>
      </c>
      <c r="C22" s="44">
        <f t="shared" si="1"/>
        <v>-1</v>
      </c>
      <c r="D22" s="44">
        <f t="shared" si="2"/>
        <v>-0.5625</v>
      </c>
      <c r="E22" s="44">
        <f t="shared" si="3"/>
        <v>-1.15625</v>
      </c>
    </row>
    <row r="23" spans="1:5" x14ac:dyDescent="0.3">
      <c r="A23" s="42">
        <f t="shared" si="4"/>
        <v>21</v>
      </c>
      <c r="B23" s="44">
        <f t="shared" si="0"/>
        <v>-0.53125</v>
      </c>
      <c r="C23" s="44">
        <f t="shared" si="1"/>
        <v>-0.84375</v>
      </c>
      <c r="D23" s="44">
        <f t="shared" si="2"/>
        <v>-0.4375</v>
      </c>
      <c r="E23" s="44">
        <f t="shared" si="3"/>
        <v>-1.34375</v>
      </c>
    </row>
    <row r="24" spans="1:5" x14ac:dyDescent="0.3">
      <c r="A24" s="42">
        <f t="shared" si="4"/>
        <v>22</v>
      </c>
      <c r="B24" s="44">
        <f t="shared" si="0"/>
        <v>0.40625</v>
      </c>
      <c r="C24" s="44">
        <f t="shared" si="1"/>
        <v>-0.6875</v>
      </c>
      <c r="D24" s="44">
        <f t="shared" si="2"/>
        <v>0.125</v>
      </c>
      <c r="E24" s="44">
        <f t="shared" si="3"/>
        <v>-0.90625</v>
      </c>
    </row>
    <row r="25" spans="1:5" x14ac:dyDescent="0.3">
      <c r="A25" s="42">
        <f t="shared" si="4"/>
        <v>23</v>
      </c>
      <c r="B25" s="44">
        <f t="shared" si="0"/>
        <v>-0.75</v>
      </c>
      <c r="C25" s="44">
        <f t="shared" si="1"/>
        <v>-0.625</v>
      </c>
      <c r="D25" s="44">
        <f t="shared" si="2"/>
        <v>-0.75</v>
      </c>
      <c r="E25" s="44">
        <f t="shared" si="3"/>
        <v>-0.5</v>
      </c>
    </row>
    <row r="26" spans="1:5" x14ac:dyDescent="0.3">
      <c r="A26" s="42">
        <f t="shared" si="4"/>
        <v>24</v>
      </c>
      <c r="B26" s="44">
        <f t="shared" si="0"/>
        <v>9.375E-2</v>
      </c>
      <c r="C26" s="44">
        <f t="shared" si="1"/>
        <v>-0.4375</v>
      </c>
      <c r="D26" s="44">
        <f t="shared" si="2"/>
        <v>0.15625</v>
      </c>
      <c r="E26" s="44">
        <f t="shared" si="3"/>
        <v>-0.875</v>
      </c>
    </row>
    <row r="27" spans="1:5" x14ac:dyDescent="0.3">
      <c r="A27" s="42">
        <f t="shared" si="4"/>
        <v>25</v>
      </c>
      <c r="B27" s="44">
        <f t="shared" si="0"/>
        <v>0.3125</v>
      </c>
      <c r="C27" s="44">
        <f t="shared" si="1"/>
        <v>-0.71875</v>
      </c>
      <c r="D27" s="44">
        <f t="shared" si="2"/>
        <v>0.71875</v>
      </c>
      <c r="E27" s="44">
        <f t="shared" si="3"/>
        <v>-1.25</v>
      </c>
    </row>
    <row r="28" spans="1:5" x14ac:dyDescent="0.3">
      <c r="A28" s="42">
        <f t="shared" si="4"/>
        <v>26</v>
      </c>
      <c r="B28" s="44">
        <f t="shared" si="0"/>
        <v>-0.25</v>
      </c>
      <c r="C28" s="44">
        <f t="shared" si="1"/>
        <v>-1.0625</v>
      </c>
      <c r="D28" s="44">
        <f t="shared" si="2"/>
        <v>0.25</v>
      </c>
      <c r="E28" s="44">
        <f t="shared" si="3"/>
        <v>-1.21875</v>
      </c>
    </row>
    <row r="29" spans="1:5" x14ac:dyDescent="0.3">
      <c r="A29" s="42">
        <f t="shared" si="4"/>
        <v>27</v>
      </c>
      <c r="B29" s="44">
        <f t="shared" si="0"/>
        <v>6.25E-2</v>
      </c>
      <c r="C29" s="44">
        <f t="shared" si="1"/>
        <v>-0.875</v>
      </c>
      <c r="D29" s="44">
        <f t="shared" si="2"/>
        <v>0.6875</v>
      </c>
      <c r="E29" s="44">
        <f t="shared" si="3"/>
        <v>-0.90625</v>
      </c>
    </row>
    <row r="30" spans="1:5" x14ac:dyDescent="0.3">
      <c r="A30" s="42">
        <f t="shared" si="4"/>
        <v>28</v>
      </c>
      <c r="B30" s="44">
        <f t="shared" si="0"/>
        <v>0.25</v>
      </c>
      <c r="C30" s="44">
        <f t="shared" si="1"/>
        <v>-0.40625</v>
      </c>
      <c r="D30" s="44">
        <f t="shared" si="2"/>
        <v>0.25</v>
      </c>
      <c r="E30" s="44">
        <f t="shared" si="3"/>
        <v>-0.84375</v>
      </c>
    </row>
    <row r="31" spans="1:5" x14ac:dyDescent="0.3">
      <c r="A31" s="42">
        <f t="shared" si="4"/>
        <v>29</v>
      </c>
      <c r="B31" s="44">
        <f t="shared" si="0"/>
        <v>-0.125</v>
      </c>
      <c r="C31" s="44">
        <f t="shared" si="1"/>
        <v>-0.71875</v>
      </c>
      <c r="D31" s="44">
        <f t="shared" si="2"/>
        <v>0.59375</v>
      </c>
      <c r="E31" s="44">
        <f t="shared" si="3"/>
        <v>-1.15625</v>
      </c>
    </row>
    <row r="32" spans="1:5" x14ac:dyDescent="0.3">
      <c r="A32" s="42">
        <f t="shared" si="4"/>
        <v>30</v>
      </c>
      <c r="B32" s="44">
        <f t="shared" si="0"/>
        <v>0.25</v>
      </c>
      <c r="C32" s="44">
        <f t="shared" si="1"/>
        <v>-0.5</v>
      </c>
      <c r="D32" s="44">
        <f t="shared" si="2"/>
        <v>0.71875</v>
      </c>
      <c r="E32" s="44">
        <f t="shared" si="3"/>
        <v>-1.09375</v>
      </c>
    </row>
    <row r="33" spans="1:5" x14ac:dyDescent="0.3">
      <c r="A33" s="42">
        <f t="shared" si="4"/>
        <v>31</v>
      </c>
      <c r="B33" s="44">
        <f t="shared" si="0"/>
        <v>9.375E-2</v>
      </c>
      <c r="C33" s="44">
        <f t="shared" si="1"/>
        <v>-1.09375</v>
      </c>
      <c r="D33" s="44">
        <f t="shared" si="2"/>
        <v>0.21875</v>
      </c>
      <c r="E33" s="44">
        <f t="shared" si="3"/>
        <v>-1.625</v>
      </c>
    </row>
    <row r="34" spans="1:5" x14ac:dyDescent="0.3">
      <c r="A34" s="42">
        <f t="shared" si="4"/>
        <v>32</v>
      </c>
      <c r="B34" s="44">
        <f t="shared" si="0"/>
        <v>0.875</v>
      </c>
      <c r="C34" s="44">
        <f t="shared" si="1"/>
        <v>-0.21875</v>
      </c>
      <c r="D34" s="44">
        <f t="shared" si="2"/>
        <v>0.96875</v>
      </c>
      <c r="E34" s="44">
        <f t="shared" si="3"/>
        <v>-1.125</v>
      </c>
    </row>
    <row r="35" spans="1:5" x14ac:dyDescent="0.3">
      <c r="A35" s="42">
        <f t="shared" si="4"/>
        <v>33</v>
      </c>
      <c r="B35" s="44">
        <f t="shared" si="0"/>
        <v>-0.1875</v>
      </c>
      <c r="C35" s="44">
        <f t="shared" si="1"/>
        <v>-0.1875</v>
      </c>
      <c r="D35" s="44">
        <f t="shared" si="2"/>
        <v>0.28125</v>
      </c>
      <c r="E35" s="44">
        <f t="shared" si="3"/>
        <v>-0.65625</v>
      </c>
    </row>
    <row r="36" spans="1:5" x14ac:dyDescent="0.3">
      <c r="A36" s="42">
        <f t="shared" si="4"/>
        <v>34</v>
      </c>
      <c r="B36" s="44">
        <f t="shared" si="0"/>
        <v>0.21875</v>
      </c>
      <c r="C36" s="44">
        <f t="shared" si="1"/>
        <v>-1.15625</v>
      </c>
      <c r="D36" s="44">
        <f t="shared" si="2"/>
        <v>0.375</v>
      </c>
      <c r="E36" s="44">
        <f t="shared" si="3"/>
        <v>-1.25</v>
      </c>
    </row>
    <row r="37" spans="1:5" x14ac:dyDescent="0.3">
      <c r="A37" s="42">
        <f t="shared" si="4"/>
        <v>35</v>
      </c>
      <c r="B37" s="44">
        <f t="shared" si="0"/>
        <v>0.40625</v>
      </c>
      <c r="C37" s="44">
        <f t="shared" si="1"/>
        <v>-0.28125</v>
      </c>
      <c r="D37" s="44">
        <f t="shared" si="2"/>
        <v>0.3125</v>
      </c>
      <c r="E37" s="44">
        <f t="shared" si="3"/>
        <v>-0.8125</v>
      </c>
    </row>
    <row r="38" spans="1:5" x14ac:dyDescent="0.3">
      <c r="A38" s="42">
        <f t="shared" si="4"/>
        <v>36</v>
      </c>
      <c r="B38" s="44">
        <f t="shared" si="0"/>
        <v>-0.21875</v>
      </c>
      <c r="C38" s="44">
        <f t="shared" si="1"/>
        <v>-0.28125</v>
      </c>
      <c r="D38" s="44">
        <f t="shared" si="2"/>
        <v>3.125E-2</v>
      </c>
      <c r="E38" s="44">
        <f t="shared" si="3"/>
        <v>-0.9375</v>
      </c>
    </row>
    <row r="39" spans="1:5" x14ac:dyDescent="0.3">
      <c r="A39" s="42">
        <f t="shared" si="4"/>
        <v>37</v>
      </c>
      <c r="B39" s="44">
        <f t="shared" si="0"/>
        <v>-0.65625</v>
      </c>
      <c r="C39" s="44">
        <f t="shared" si="1"/>
        <v>-0.34375</v>
      </c>
      <c r="D39" s="44">
        <f t="shared" si="2"/>
        <v>-0.9375</v>
      </c>
      <c r="E39" s="44">
        <f t="shared" si="3"/>
        <v>-9.375E-2</v>
      </c>
    </row>
    <row r="40" spans="1:5" x14ac:dyDescent="0.3">
      <c r="A40" s="42">
        <f t="shared" si="4"/>
        <v>38</v>
      </c>
      <c r="B40" s="44">
        <f t="shared" si="0"/>
        <v>-0.5625</v>
      </c>
      <c r="C40" s="44">
        <f t="shared" si="1"/>
        <v>-0.21875</v>
      </c>
      <c r="D40" s="44">
        <f t="shared" si="2"/>
        <v>-0.46875</v>
      </c>
      <c r="E40" s="44">
        <f t="shared" si="3"/>
        <v>-0.59375</v>
      </c>
    </row>
    <row r="41" spans="1:5" x14ac:dyDescent="0.3">
      <c r="A41" s="42">
        <f t="shared" si="4"/>
        <v>39</v>
      </c>
      <c r="B41" s="44">
        <f t="shared" si="0"/>
        <v>-0.15625</v>
      </c>
      <c r="C41" s="44">
        <f t="shared" si="1"/>
        <v>-0.15625</v>
      </c>
      <c r="D41" s="44">
        <f t="shared" si="2"/>
        <v>0.15625</v>
      </c>
      <c r="E41" s="44">
        <f t="shared" si="3"/>
        <v>-0.78125</v>
      </c>
    </row>
    <row r="42" spans="1:5" x14ac:dyDescent="0.3">
      <c r="A42" s="42">
        <f t="shared" si="4"/>
        <v>40</v>
      </c>
      <c r="B42" s="44">
        <f t="shared" si="0"/>
        <v>0.21875</v>
      </c>
      <c r="C42" s="44">
        <f t="shared" si="1"/>
        <v>-1.4375</v>
      </c>
      <c r="D42" s="44">
        <f t="shared" si="2"/>
        <v>0.3125</v>
      </c>
      <c r="E42" s="44">
        <f t="shared" si="3"/>
        <v>-1.53125</v>
      </c>
    </row>
    <row r="43" spans="1:5" x14ac:dyDescent="0.3">
      <c r="A43" s="42">
        <f t="shared" si="4"/>
        <v>41</v>
      </c>
      <c r="B43" s="44">
        <f t="shared" si="0"/>
        <v>-0.34375</v>
      </c>
      <c r="C43" s="44">
        <f t="shared" si="1"/>
        <v>-1.21875</v>
      </c>
      <c r="D43" s="44">
        <f t="shared" si="2"/>
        <v>-0.375</v>
      </c>
      <c r="E43" s="44">
        <f t="shared" si="3"/>
        <v>-1</v>
      </c>
    </row>
    <row r="44" spans="1:5" x14ac:dyDescent="0.3">
      <c r="A44" s="42">
        <f t="shared" si="4"/>
        <v>42</v>
      </c>
      <c r="B44" s="44">
        <f t="shared" si="0"/>
        <v>-0.40625</v>
      </c>
      <c r="C44" s="44">
        <f t="shared" si="1"/>
        <v>-0.46875</v>
      </c>
      <c r="D44" s="44">
        <f t="shared" si="2"/>
        <v>-0.5</v>
      </c>
      <c r="E44" s="44">
        <f t="shared" si="3"/>
        <v>-0.8125</v>
      </c>
    </row>
    <row r="45" spans="1:5" x14ac:dyDescent="0.3">
      <c r="A45" s="42">
        <f t="shared" si="4"/>
        <v>43</v>
      </c>
      <c r="B45" s="44">
        <f t="shared" si="0"/>
        <v>-0.21875</v>
      </c>
      <c r="C45" s="44">
        <f t="shared" si="1"/>
        <v>-9.375E-2</v>
      </c>
      <c r="D45" s="44">
        <f t="shared" si="2"/>
        <v>0.125</v>
      </c>
      <c r="E45" s="44">
        <f t="shared" si="3"/>
        <v>-0.1875</v>
      </c>
    </row>
    <row r="46" spans="1:5" x14ac:dyDescent="0.3">
      <c r="A46" s="42">
        <f t="shared" si="4"/>
        <v>44</v>
      </c>
      <c r="B46" s="44">
        <f t="shared" si="0"/>
        <v>-0.65625</v>
      </c>
      <c r="C46" s="44">
        <f t="shared" si="1"/>
        <v>-0.3125</v>
      </c>
      <c r="D46" s="44">
        <f t="shared" si="2"/>
        <v>-0.15625</v>
      </c>
      <c r="E46" s="44">
        <f t="shared" si="3"/>
        <v>9.375E-2</v>
      </c>
    </row>
    <row r="47" spans="1:5" x14ac:dyDescent="0.3">
      <c r="A47" s="42">
        <f t="shared" si="4"/>
        <v>45</v>
      </c>
      <c r="B47" s="44">
        <f t="shared" si="0"/>
        <v>-0.15625</v>
      </c>
      <c r="C47" s="44">
        <f t="shared" si="1"/>
        <v>-0.28125</v>
      </c>
      <c r="D47" s="44">
        <f t="shared" si="2"/>
        <v>0</v>
      </c>
      <c r="E47" s="44">
        <f t="shared" si="3"/>
        <v>0.375</v>
      </c>
    </row>
    <row r="48" spans="1:5" x14ac:dyDescent="0.3">
      <c r="A48" s="42">
        <f t="shared" si="4"/>
        <v>46</v>
      </c>
      <c r="B48" s="44">
        <f t="shared" si="0"/>
        <v>-0.59375</v>
      </c>
      <c r="C48" s="44">
        <f t="shared" si="1"/>
        <v>-0.6875</v>
      </c>
      <c r="D48" s="44">
        <f t="shared" si="2"/>
        <v>-0.5</v>
      </c>
      <c r="E48" s="44">
        <f t="shared" si="3"/>
        <v>0.5625</v>
      </c>
    </row>
    <row r="49" spans="1:5" x14ac:dyDescent="0.3">
      <c r="A49" s="42">
        <f t="shared" si="4"/>
        <v>47</v>
      </c>
      <c r="B49" s="44">
        <f t="shared" si="0"/>
        <v>0.15625</v>
      </c>
      <c r="C49" s="44">
        <f t="shared" si="1"/>
        <v>-3.125E-2</v>
      </c>
      <c r="D49" s="44">
        <f t="shared" si="2"/>
        <v>0.375</v>
      </c>
      <c r="E49" s="44">
        <f t="shared" si="3"/>
        <v>-0.78125</v>
      </c>
    </row>
    <row r="50" spans="1:5" x14ac:dyDescent="0.3">
      <c r="A50" s="42">
        <f t="shared" si="4"/>
        <v>48</v>
      </c>
      <c r="B50" s="44">
        <f t="shared" si="0"/>
        <v>-0.4375</v>
      </c>
      <c r="C50" s="44">
        <f t="shared" si="1"/>
        <v>-0.5625</v>
      </c>
      <c r="D50" s="44">
        <f t="shared" si="2"/>
        <v>-0.28125</v>
      </c>
      <c r="E50" s="44">
        <f t="shared" si="3"/>
        <v>-1.15625</v>
      </c>
    </row>
    <row r="51" spans="1:5" x14ac:dyDescent="0.3">
      <c r="A51" s="42">
        <f t="shared" si="4"/>
        <v>49</v>
      </c>
      <c r="B51" s="44">
        <f t="shared" si="0"/>
        <v>-0.21875</v>
      </c>
      <c r="C51" s="44">
        <f t="shared" si="1"/>
        <v>-0.5</v>
      </c>
      <c r="D51" s="44">
        <f t="shared" si="2"/>
        <v>6.25E-2</v>
      </c>
      <c r="E51" s="44">
        <f t="shared" si="3"/>
        <v>-1.34375</v>
      </c>
    </row>
    <row r="52" spans="1:5" x14ac:dyDescent="0.3">
      <c r="A52" s="42">
        <f t="shared" si="4"/>
        <v>50</v>
      </c>
      <c r="B52" s="44">
        <f t="shared" si="0"/>
        <v>-0.21875</v>
      </c>
      <c r="C52" s="44">
        <f t="shared" si="1"/>
        <v>-0.84375</v>
      </c>
      <c r="D52" s="44">
        <f t="shared" si="2"/>
        <v>0.125</v>
      </c>
      <c r="E52" s="44">
        <f t="shared" si="3"/>
        <v>-1.03125</v>
      </c>
    </row>
    <row r="53" spans="1:5" x14ac:dyDescent="0.3">
      <c r="A53" s="42">
        <f t="shared" si="4"/>
        <v>51</v>
      </c>
      <c r="B53" s="44">
        <f t="shared" si="0"/>
        <v>-0.1875</v>
      </c>
      <c r="C53" s="44">
        <f t="shared" si="1"/>
        <v>-0.6875</v>
      </c>
      <c r="D53" s="44">
        <f t="shared" si="2"/>
        <v>-0.28125</v>
      </c>
      <c r="E53" s="44">
        <f t="shared" si="3"/>
        <v>-0.28125</v>
      </c>
    </row>
    <row r="54" spans="1:5" x14ac:dyDescent="0.3">
      <c r="A54" s="42">
        <f t="shared" si="4"/>
        <v>52</v>
      </c>
      <c r="B54" s="44">
        <f t="shared" si="0"/>
        <v>-0.125</v>
      </c>
      <c r="C54" s="44">
        <f t="shared" si="1"/>
        <v>-0.1875</v>
      </c>
      <c r="D54" s="44">
        <f t="shared" si="2"/>
        <v>-0.5625</v>
      </c>
      <c r="E54" s="44">
        <f t="shared" si="3"/>
        <v>-0.78125</v>
      </c>
    </row>
    <row r="55" spans="1:5" x14ac:dyDescent="0.3">
      <c r="A55" s="42">
        <f t="shared" si="4"/>
        <v>53</v>
      </c>
      <c r="B55" s="44">
        <f t="shared" si="0"/>
        <v>-0.46875</v>
      </c>
      <c r="C55" s="44">
        <f t="shared" si="1"/>
        <v>-0.25</v>
      </c>
      <c r="D55" s="44">
        <f t="shared" si="2"/>
        <v>-0.34375</v>
      </c>
      <c r="E55" s="44">
        <f t="shared" si="3"/>
        <v>-0.1875</v>
      </c>
    </row>
    <row r="56" spans="1:5" x14ac:dyDescent="0.3">
      <c r="A56" s="42">
        <f t="shared" si="4"/>
        <v>54</v>
      </c>
      <c r="B56" s="44">
        <f t="shared" si="0"/>
        <v>-0.625</v>
      </c>
      <c r="C56" s="44">
        <f t="shared" si="1"/>
        <v>9.375E-2</v>
      </c>
      <c r="D56" s="44">
        <f t="shared" si="2"/>
        <v>-0.125</v>
      </c>
      <c r="E56" s="44">
        <f t="shared" si="3"/>
        <v>-0.5</v>
      </c>
    </row>
    <row r="57" spans="1:5" x14ac:dyDescent="0.3">
      <c r="A57" s="42">
        <f t="shared" si="4"/>
        <v>55</v>
      </c>
      <c r="B57" s="44">
        <f t="shared" si="0"/>
        <v>0.5625</v>
      </c>
      <c r="C57" s="44">
        <f t="shared" si="1"/>
        <v>9.375E-2</v>
      </c>
      <c r="D57" s="44">
        <f t="shared" si="2"/>
        <v>0.125</v>
      </c>
      <c r="E57" s="44">
        <f t="shared" si="3"/>
        <v>-0.5</v>
      </c>
    </row>
    <row r="58" spans="1:5" x14ac:dyDescent="0.3">
      <c r="A58" s="42">
        <f t="shared" si="4"/>
        <v>56</v>
      </c>
      <c r="B58" s="44">
        <f t="shared" si="0"/>
        <v>-0.125</v>
      </c>
      <c r="C58" s="44">
        <f t="shared" si="1"/>
        <v>-9.375E-2</v>
      </c>
      <c r="D58" s="44">
        <f t="shared" si="2"/>
        <v>0.375</v>
      </c>
      <c r="E58" s="44">
        <f t="shared" si="3"/>
        <v>-0.9375</v>
      </c>
    </row>
    <row r="59" spans="1:5" x14ac:dyDescent="0.3">
      <c r="A59" s="42">
        <f t="shared" si="4"/>
        <v>57</v>
      </c>
      <c r="B59" s="44">
        <f t="shared" si="0"/>
        <v>-6.25E-2</v>
      </c>
      <c r="C59" s="44">
        <f t="shared" si="1"/>
        <v>-0.4375</v>
      </c>
      <c r="D59" s="44">
        <f t="shared" si="2"/>
        <v>3.125E-2</v>
      </c>
      <c r="E59" s="44">
        <f t="shared" si="3"/>
        <v>-1.15625</v>
      </c>
    </row>
    <row r="60" spans="1:5" x14ac:dyDescent="0.3">
      <c r="A60" s="42">
        <f t="shared" si="4"/>
        <v>58</v>
      </c>
      <c r="B60" s="44">
        <f t="shared" si="0"/>
        <v>-0.25</v>
      </c>
      <c r="C60" s="44">
        <f t="shared" si="1"/>
        <v>-0.75</v>
      </c>
      <c r="D60" s="44">
        <f t="shared" si="2"/>
        <v>-0.34375</v>
      </c>
      <c r="E60" s="44">
        <f t="shared" si="3"/>
        <v>-1.59375</v>
      </c>
    </row>
    <row r="61" spans="1:5" x14ac:dyDescent="0.3">
      <c r="A61" s="42">
        <f t="shared" si="4"/>
        <v>59</v>
      </c>
      <c r="B61" s="44">
        <f t="shared" si="0"/>
        <v>-0.40625</v>
      </c>
      <c r="C61" s="44">
        <f t="shared" si="1"/>
        <v>0.1875</v>
      </c>
      <c r="D61" s="44">
        <f t="shared" si="2"/>
        <v>-0.3125</v>
      </c>
      <c r="E61" s="44">
        <f t="shared" si="3"/>
        <v>0.375</v>
      </c>
    </row>
    <row r="62" spans="1:5" x14ac:dyDescent="0.3">
      <c r="A62" s="42">
        <f t="shared" si="4"/>
        <v>60</v>
      </c>
      <c r="B62" s="44">
        <f t="shared" si="0"/>
        <v>0.40625</v>
      </c>
      <c r="C62" s="44">
        <f t="shared" si="1"/>
        <v>0.15625</v>
      </c>
      <c r="D62" s="44">
        <f t="shared" si="2"/>
        <v>0.90625</v>
      </c>
      <c r="E62" s="44">
        <f t="shared" si="3"/>
        <v>-0.25</v>
      </c>
    </row>
    <row r="63" spans="1:5" x14ac:dyDescent="0.3">
      <c r="A63" s="42">
        <f t="shared" si="4"/>
        <v>61</v>
      </c>
      <c r="B63" s="44">
        <f t="shared" si="0"/>
        <v>3.125E-2</v>
      </c>
      <c r="C63" s="44">
        <f t="shared" si="1"/>
        <v>-0.15625</v>
      </c>
      <c r="D63" s="44">
        <f t="shared" si="2"/>
        <v>-0.21875</v>
      </c>
      <c r="E63" s="44">
        <f t="shared" si="3"/>
        <v>-0.6875</v>
      </c>
    </row>
    <row r="64" spans="1:5" x14ac:dyDescent="0.3">
      <c r="A64" s="42">
        <f t="shared" si="4"/>
        <v>62</v>
      </c>
      <c r="B64" s="44">
        <f t="shared" si="0"/>
        <v>-0.1875</v>
      </c>
      <c r="C64" s="44">
        <f t="shared" si="1"/>
        <v>-0.3125</v>
      </c>
      <c r="D64" s="44">
        <f t="shared" si="2"/>
        <v>-0.40625</v>
      </c>
      <c r="E64" s="44">
        <f t="shared" si="3"/>
        <v>6.25E-2</v>
      </c>
    </row>
    <row r="65" spans="1:5" x14ac:dyDescent="0.3">
      <c r="A65" s="42">
        <f t="shared" si="4"/>
        <v>63</v>
      </c>
      <c r="B65" s="44">
        <f t="shared" si="0"/>
        <v>-0.1875</v>
      </c>
      <c r="C65" s="44">
        <f t="shared" si="1"/>
        <v>-0.40625</v>
      </c>
      <c r="D65" s="44">
        <f t="shared" si="2"/>
        <v>-0.40625</v>
      </c>
      <c r="E65" s="44">
        <f t="shared" si="3"/>
        <v>-0.78125</v>
      </c>
    </row>
    <row r="66" spans="1:5" x14ac:dyDescent="0.3">
      <c r="A66" s="42">
        <f t="shared" si="4"/>
        <v>64</v>
      </c>
      <c r="B66" s="44">
        <f t="shared" si="0"/>
        <v>-0.5625</v>
      </c>
      <c r="C66" s="44">
        <f t="shared" si="1"/>
        <v>-0.65625</v>
      </c>
      <c r="D66" s="44">
        <f t="shared" si="2"/>
        <v>-0.5625</v>
      </c>
      <c r="E66" s="44">
        <f t="shared" si="3"/>
        <v>-0.90625</v>
      </c>
    </row>
    <row r="67" spans="1:5" x14ac:dyDescent="0.3">
      <c r="A67" s="42">
        <f t="shared" si="4"/>
        <v>65</v>
      </c>
      <c r="B67" s="44">
        <f t="shared" si="0"/>
        <v>-0.1875</v>
      </c>
      <c r="C67" s="44">
        <f t="shared" si="1"/>
        <v>-0.78125</v>
      </c>
      <c r="D67" s="44">
        <f t="shared" si="2"/>
        <v>0.125</v>
      </c>
      <c r="E67" s="44">
        <f t="shared" si="3"/>
        <v>-1.5</v>
      </c>
    </row>
    <row r="68" spans="1:5" x14ac:dyDescent="0.3">
      <c r="A68" s="42">
        <f t="shared" si="4"/>
        <v>66</v>
      </c>
      <c r="B68" s="44">
        <f t="shared" ref="B68:B74" si="5" xml:space="preserve"> $B148</f>
        <v>-0.625</v>
      </c>
      <c r="C68" s="44">
        <f t="shared" ref="C68:C74" si="6" xml:space="preserve"> $B228</f>
        <v>-0.90625</v>
      </c>
      <c r="D68" s="44">
        <f t="shared" ref="D68:D74" si="7" xml:space="preserve"> $B308</f>
        <v>-0.625</v>
      </c>
      <c r="E68" s="44">
        <f t="shared" ref="E68:E74" si="8" xml:space="preserve"> $B388</f>
        <v>-1.75</v>
      </c>
    </row>
    <row r="69" spans="1:5" x14ac:dyDescent="0.3">
      <c r="A69" s="42">
        <f t="shared" ref="A69:A74" si="9" xml:space="preserve"> A68 + 1</f>
        <v>67</v>
      </c>
      <c r="B69" s="44">
        <f t="shared" si="5"/>
        <v>-0.53125</v>
      </c>
      <c r="C69" s="44">
        <f t="shared" si="6"/>
        <v>-0.75</v>
      </c>
      <c r="D69" s="44">
        <f t="shared" si="7"/>
        <v>-0.28125</v>
      </c>
      <c r="E69" s="44">
        <f t="shared" si="8"/>
        <v>-0.375</v>
      </c>
    </row>
    <row r="70" spans="1:5" x14ac:dyDescent="0.3">
      <c r="A70" s="42">
        <f t="shared" si="9"/>
        <v>68</v>
      </c>
      <c r="B70" s="44">
        <f t="shared" si="5"/>
        <v>-0.4375</v>
      </c>
      <c r="C70" s="44">
        <f t="shared" si="6"/>
        <v>-1.09375</v>
      </c>
      <c r="D70" s="44">
        <f t="shared" si="7"/>
        <v>-0.375</v>
      </c>
      <c r="E70" s="44">
        <f t="shared" si="8"/>
        <v>-1.625</v>
      </c>
    </row>
    <row r="71" spans="1:5" x14ac:dyDescent="0.3">
      <c r="A71" s="42">
        <f t="shared" si="9"/>
        <v>69</v>
      </c>
      <c r="B71" s="44">
        <f t="shared" si="5"/>
        <v>-0.53125</v>
      </c>
      <c r="C71" s="44">
        <f t="shared" si="6"/>
        <v>-0.625</v>
      </c>
      <c r="D71" s="44">
        <f t="shared" si="7"/>
        <v>-0.53125</v>
      </c>
      <c r="E71" s="44">
        <f t="shared" si="8"/>
        <v>-1.46875</v>
      </c>
    </row>
    <row r="72" spans="1:5" x14ac:dyDescent="0.3">
      <c r="A72" s="42">
        <f t="shared" si="9"/>
        <v>70</v>
      </c>
      <c r="B72" s="44">
        <f t="shared" si="5"/>
        <v>-0.375</v>
      </c>
      <c r="C72" s="44">
        <f t="shared" si="6"/>
        <v>-0.84375</v>
      </c>
      <c r="D72" s="44">
        <f t="shared" si="7"/>
        <v>-0.28125</v>
      </c>
      <c r="E72" s="44">
        <f t="shared" si="8"/>
        <v>-1.78125</v>
      </c>
    </row>
    <row r="73" spans="1:5" x14ac:dyDescent="0.3">
      <c r="A73" s="42">
        <f t="shared" si="9"/>
        <v>71</v>
      </c>
      <c r="B73" s="44">
        <f t="shared" si="5"/>
        <v>-0.3125</v>
      </c>
      <c r="C73" s="44">
        <f t="shared" si="6"/>
        <v>-1</v>
      </c>
      <c r="D73" s="44">
        <f t="shared" si="7"/>
        <v>-0.15625</v>
      </c>
      <c r="E73" s="44">
        <f t="shared" si="8"/>
        <v>-0.625</v>
      </c>
    </row>
    <row r="74" spans="1:5" x14ac:dyDescent="0.3">
      <c r="A74" s="42">
        <f t="shared" si="9"/>
        <v>72</v>
      </c>
      <c r="B74" s="44">
        <f t="shared" si="5"/>
        <v>-0.34375</v>
      </c>
      <c r="C74" s="44">
        <f t="shared" si="6"/>
        <v>-1.09375</v>
      </c>
      <c r="D74" s="44">
        <f t="shared" si="7"/>
        <v>-0.28125</v>
      </c>
      <c r="E74" s="44">
        <f t="shared" si="8"/>
        <v>-0.84375</v>
      </c>
    </row>
    <row r="81" spans="1:34" x14ac:dyDescent="0.3">
      <c r="A81" s="45"/>
      <c r="B81" s="53" t="s">
        <v>112</v>
      </c>
      <c r="C81" s="48"/>
      <c r="D81" s="48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</row>
    <row r="82" spans="1:34" s="49" customFormat="1" x14ac:dyDescent="0.3">
      <c r="A82" s="49" t="s">
        <v>141</v>
      </c>
      <c r="B82" s="52" t="s">
        <v>116</v>
      </c>
      <c r="C82" s="49" t="s">
        <v>142</v>
      </c>
      <c r="D82" s="49" t="s">
        <v>143</v>
      </c>
      <c r="E82" s="49" t="s">
        <v>144</v>
      </c>
      <c r="F82" s="49" t="s">
        <v>145</v>
      </c>
      <c r="G82" s="49" t="s">
        <v>146</v>
      </c>
      <c r="H82" s="49" t="s">
        <v>147</v>
      </c>
      <c r="I82" s="49" t="s">
        <v>148</v>
      </c>
      <c r="J82" s="49" t="s">
        <v>149</v>
      </c>
      <c r="K82" s="49" t="s">
        <v>150</v>
      </c>
      <c r="L82" s="49" t="s">
        <v>151</v>
      </c>
      <c r="M82" s="49" t="s">
        <v>152</v>
      </c>
      <c r="N82" s="49" t="s">
        <v>153</v>
      </c>
      <c r="O82" s="49" t="s">
        <v>154</v>
      </c>
      <c r="P82" s="49" t="s">
        <v>155</v>
      </c>
      <c r="Q82" s="49" t="s">
        <v>156</v>
      </c>
      <c r="R82" s="49" t="s">
        <v>157</v>
      </c>
      <c r="S82" s="49" t="s">
        <v>158</v>
      </c>
      <c r="T82" s="49" t="s">
        <v>159</v>
      </c>
      <c r="U82" s="49" t="s">
        <v>160</v>
      </c>
      <c r="V82" s="49" t="s">
        <v>161</v>
      </c>
      <c r="W82" s="49" t="s">
        <v>162</v>
      </c>
      <c r="X82" s="49" t="s">
        <v>163</v>
      </c>
      <c r="Y82" s="49" t="s">
        <v>164</v>
      </c>
      <c r="Z82" s="49" t="s">
        <v>165</v>
      </c>
      <c r="AA82" s="49" t="s">
        <v>166</v>
      </c>
      <c r="AB82" s="49" t="s">
        <v>167</v>
      </c>
      <c r="AC82" s="49" t="s">
        <v>168</v>
      </c>
      <c r="AD82" s="49" t="s">
        <v>173</v>
      </c>
      <c r="AE82" s="49" t="s">
        <v>169</v>
      </c>
      <c r="AF82" s="49" t="s">
        <v>170</v>
      </c>
      <c r="AG82" s="49" t="s">
        <v>171</v>
      </c>
      <c r="AH82" s="49" t="s">
        <v>172</v>
      </c>
    </row>
    <row r="83" spans="1:34" x14ac:dyDescent="0.3">
      <c r="A83" s="42">
        <v>1</v>
      </c>
      <c r="B83" s="44">
        <f xml:space="preserve"> AVERAGE($C83:$AH83)</f>
        <v>-0.625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2</v>
      </c>
      <c r="R83">
        <v>-2</v>
      </c>
      <c r="S83">
        <v>1</v>
      </c>
      <c r="T83">
        <v>-1</v>
      </c>
      <c r="U83">
        <v>1</v>
      </c>
      <c r="V83">
        <v>-2</v>
      </c>
      <c r="W83">
        <v>-1</v>
      </c>
      <c r="X83">
        <v>1</v>
      </c>
      <c r="Y83">
        <v>-2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v>1</v>
      </c>
      <c r="AF83">
        <v>1</v>
      </c>
      <c r="AG83">
        <v>-1</v>
      </c>
      <c r="AH83">
        <v>-1</v>
      </c>
    </row>
    <row r="84" spans="1:34" x14ac:dyDescent="0.3">
      <c r="A84" s="42">
        <f xml:space="preserve"> A83 + 1</f>
        <v>2</v>
      </c>
      <c r="B84" s="44">
        <f t="shared" ref="B84:B147" si="10" xml:space="preserve"> AVERAGE($C84:$AH84)</f>
        <v>-0.625</v>
      </c>
      <c r="C84">
        <v>-1</v>
      </c>
      <c r="D84">
        <v>-1</v>
      </c>
      <c r="E84">
        <v>-1</v>
      </c>
      <c r="F84">
        <v>-2</v>
      </c>
      <c r="G84">
        <v>1</v>
      </c>
      <c r="H84">
        <v>2</v>
      </c>
      <c r="I84">
        <v>1</v>
      </c>
      <c r="J84">
        <v>1</v>
      </c>
      <c r="K84">
        <v>-1</v>
      </c>
      <c r="L84">
        <v>-2</v>
      </c>
      <c r="M84">
        <v>-1</v>
      </c>
      <c r="N84">
        <v>-1</v>
      </c>
      <c r="O84">
        <v>-1</v>
      </c>
      <c r="P84">
        <v>1</v>
      </c>
      <c r="Q84">
        <v>-2</v>
      </c>
      <c r="R84">
        <v>-2</v>
      </c>
      <c r="S84">
        <v>-1</v>
      </c>
      <c r="T84">
        <v>-1</v>
      </c>
      <c r="U84">
        <v>-1</v>
      </c>
      <c r="V84">
        <v>1</v>
      </c>
      <c r="W84">
        <v>-1</v>
      </c>
      <c r="X84">
        <v>-1</v>
      </c>
      <c r="Y84">
        <v>2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v>-1</v>
      </c>
      <c r="AF84">
        <v>-1</v>
      </c>
      <c r="AG84">
        <v>-1</v>
      </c>
      <c r="AH84">
        <v>-1</v>
      </c>
    </row>
    <row r="85" spans="1:34" x14ac:dyDescent="0.3">
      <c r="A85" s="42">
        <f t="shared" ref="A85:A148" si="11" xml:space="preserve"> A84 + 1</f>
        <v>3</v>
      </c>
      <c r="B85" s="44">
        <f t="shared" si="10"/>
        <v>-0.34375</v>
      </c>
      <c r="C85">
        <v>1</v>
      </c>
      <c r="D85">
        <v>-1</v>
      </c>
      <c r="E85">
        <v>-1</v>
      </c>
      <c r="F85">
        <v>-3</v>
      </c>
      <c r="G85">
        <v>1</v>
      </c>
      <c r="H85">
        <v>-1</v>
      </c>
      <c r="I85">
        <v>-1</v>
      </c>
      <c r="J85">
        <v>1</v>
      </c>
      <c r="K85">
        <v>-1</v>
      </c>
      <c r="L85">
        <v>-2</v>
      </c>
      <c r="M85">
        <v>-2</v>
      </c>
      <c r="N85">
        <v>-2</v>
      </c>
      <c r="O85">
        <v>-1</v>
      </c>
      <c r="P85">
        <v>-1</v>
      </c>
      <c r="Q85">
        <v>-1</v>
      </c>
      <c r="R85">
        <v>1</v>
      </c>
      <c r="S85">
        <v>1</v>
      </c>
      <c r="T85">
        <v>-2</v>
      </c>
      <c r="U85">
        <v>1</v>
      </c>
      <c r="V85">
        <v>3</v>
      </c>
      <c r="W85">
        <v>-2</v>
      </c>
      <c r="X85">
        <v>1</v>
      </c>
      <c r="Y85">
        <v>1</v>
      </c>
      <c r="Z85">
        <v>-1</v>
      </c>
      <c r="AA85">
        <v>-1</v>
      </c>
      <c r="AB85">
        <v>-1</v>
      </c>
      <c r="AC85">
        <v>-1</v>
      </c>
      <c r="AD85">
        <v>-1</v>
      </c>
      <c r="AE85">
        <v>1</v>
      </c>
      <c r="AF85">
        <v>1</v>
      </c>
      <c r="AG85">
        <v>1</v>
      </c>
      <c r="AH85">
        <v>1</v>
      </c>
    </row>
    <row r="86" spans="1:34" x14ac:dyDescent="0.3">
      <c r="A86" s="42">
        <f t="shared" si="11"/>
        <v>4</v>
      </c>
      <c r="B86" s="44">
        <f t="shared" si="10"/>
        <v>0.375</v>
      </c>
      <c r="C86">
        <v>1</v>
      </c>
      <c r="D86">
        <v>-1</v>
      </c>
      <c r="E86">
        <v>2</v>
      </c>
      <c r="F86">
        <v>3</v>
      </c>
      <c r="G86">
        <v>-1</v>
      </c>
      <c r="H86">
        <v>1</v>
      </c>
      <c r="I86">
        <v>2</v>
      </c>
      <c r="J86">
        <v>1</v>
      </c>
      <c r="K86">
        <v>-1</v>
      </c>
      <c r="L86">
        <v>1</v>
      </c>
      <c r="M86">
        <v>-2</v>
      </c>
      <c r="N86">
        <v>-2</v>
      </c>
      <c r="O86">
        <v>1</v>
      </c>
      <c r="P86">
        <v>-1</v>
      </c>
      <c r="Q86">
        <v>1</v>
      </c>
      <c r="R86">
        <v>-1</v>
      </c>
      <c r="S86">
        <v>1</v>
      </c>
      <c r="T86">
        <v>-1</v>
      </c>
      <c r="U86">
        <v>2</v>
      </c>
      <c r="V86">
        <v>2</v>
      </c>
      <c r="W86">
        <v>-1</v>
      </c>
      <c r="X86">
        <v>1</v>
      </c>
      <c r="Y86">
        <v>1</v>
      </c>
      <c r="Z86">
        <v>-1</v>
      </c>
      <c r="AA86">
        <v>1</v>
      </c>
      <c r="AB86">
        <v>-1</v>
      </c>
      <c r="AC86">
        <v>1</v>
      </c>
      <c r="AD86">
        <v>1</v>
      </c>
      <c r="AE86">
        <v>1</v>
      </c>
      <c r="AF86">
        <v>-1</v>
      </c>
      <c r="AG86">
        <v>3</v>
      </c>
      <c r="AH86">
        <v>-1</v>
      </c>
    </row>
    <row r="87" spans="1:34" x14ac:dyDescent="0.3">
      <c r="A87" s="42">
        <f t="shared" si="11"/>
        <v>5</v>
      </c>
      <c r="B87" s="44">
        <f t="shared" si="10"/>
        <v>0.21875</v>
      </c>
      <c r="C87">
        <v>1</v>
      </c>
      <c r="D87">
        <v>1</v>
      </c>
      <c r="E87">
        <v>-1</v>
      </c>
      <c r="F87">
        <v>-3</v>
      </c>
      <c r="G87">
        <v>-1</v>
      </c>
      <c r="H87">
        <v>1</v>
      </c>
      <c r="I87">
        <v>1</v>
      </c>
      <c r="J87">
        <v>1</v>
      </c>
      <c r="K87">
        <v>-1</v>
      </c>
      <c r="L87">
        <v>1</v>
      </c>
      <c r="M87">
        <v>1</v>
      </c>
      <c r="N87">
        <v>-1</v>
      </c>
      <c r="O87">
        <v>1</v>
      </c>
      <c r="P87">
        <v>1</v>
      </c>
      <c r="Q87">
        <v>-1</v>
      </c>
      <c r="R87">
        <v>-1</v>
      </c>
      <c r="S87">
        <v>1</v>
      </c>
      <c r="T87">
        <v>-1</v>
      </c>
      <c r="U87">
        <v>1</v>
      </c>
      <c r="V87">
        <v>1</v>
      </c>
      <c r="W87">
        <v>-1</v>
      </c>
      <c r="X87">
        <v>1</v>
      </c>
      <c r="Y87">
        <v>2</v>
      </c>
      <c r="Z87">
        <v>-1</v>
      </c>
      <c r="AA87">
        <v>1</v>
      </c>
      <c r="AB87">
        <v>1</v>
      </c>
      <c r="AC87">
        <v>-1</v>
      </c>
      <c r="AD87">
        <v>1</v>
      </c>
      <c r="AE87">
        <v>1</v>
      </c>
      <c r="AF87">
        <v>-1</v>
      </c>
      <c r="AG87">
        <v>1</v>
      </c>
      <c r="AH87">
        <v>1</v>
      </c>
    </row>
    <row r="88" spans="1:34" x14ac:dyDescent="0.3">
      <c r="A88" s="42">
        <f t="shared" si="11"/>
        <v>6</v>
      </c>
      <c r="B88" s="44">
        <f t="shared" si="10"/>
        <v>-0.21875</v>
      </c>
      <c r="C88">
        <v>-2</v>
      </c>
      <c r="D88">
        <v>-1</v>
      </c>
      <c r="E88">
        <v>-1</v>
      </c>
      <c r="F88">
        <v>-2</v>
      </c>
      <c r="G88">
        <v>-2</v>
      </c>
      <c r="H88">
        <v>-1</v>
      </c>
      <c r="I88">
        <v>-2</v>
      </c>
      <c r="J88">
        <v>1</v>
      </c>
      <c r="K88">
        <v>-2</v>
      </c>
      <c r="L88">
        <v>-1</v>
      </c>
      <c r="M88">
        <v>-1</v>
      </c>
      <c r="N88">
        <v>-2</v>
      </c>
      <c r="O88">
        <v>1</v>
      </c>
      <c r="P88">
        <v>1</v>
      </c>
      <c r="Q88">
        <v>1</v>
      </c>
      <c r="R88">
        <v>-1</v>
      </c>
      <c r="S88">
        <v>1</v>
      </c>
      <c r="T88">
        <v>1</v>
      </c>
      <c r="U88">
        <v>1</v>
      </c>
      <c r="V88">
        <v>3</v>
      </c>
      <c r="W88">
        <v>-2</v>
      </c>
      <c r="X88">
        <v>1</v>
      </c>
      <c r="Y88">
        <v>2</v>
      </c>
      <c r="Z88">
        <v>1</v>
      </c>
      <c r="AA88">
        <v>1</v>
      </c>
      <c r="AB88">
        <v>-2</v>
      </c>
      <c r="AC88">
        <v>-2</v>
      </c>
      <c r="AD88">
        <v>1</v>
      </c>
      <c r="AE88">
        <v>1</v>
      </c>
      <c r="AF88">
        <v>2</v>
      </c>
      <c r="AG88">
        <v>-1</v>
      </c>
      <c r="AH88">
        <v>-1</v>
      </c>
    </row>
    <row r="89" spans="1:34" x14ac:dyDescent="0.3">
      <c r="A89" s="42">
        <f t="shared" si="11"/>
        <v>7</v>
      </c>
      <c r="B89" s="44">
        <f t="shared" si="10"/>
        <v>-0.40625</v>
      </c>
      <c r="C89">
        <v>-2</v>
      </c>
      <c r="D89">
        <v>-2</v>
      </c>
      <c r="E89">
        <v>-1</v>
      </c>
      <c r="F89">
        <v>1</v>
      </c>
      <c r="G89">
        <v>-3</v>
      </c>
      <c r="H89">
        <v>1</v>
      </c>
      <c r="I89">
        <v>-2</v>
      </c>
      <c r="J89">
        <v>2</v>
      </c>
      <c r="K89">
        <v>-1</v>
      </c>
      <c r="L89">
        <v>1</v>
      </c>
      <c r="M89">
        <v>1</v>
      </c>
      <c r="N89">
        <v>-2</v>
      </c>
      <c r="O89">
        <v>1</v>
      </c>
      <c r="P89">
        <v>1</v>
      </c>
      <c r="Q89">
        <v>-1</v>
      </c>
      <c r="R89">
        <v>-1</v>
      </c>
      <c r="S89">
        <v>1</v>
      </c>
      <c r="T89">
        <v>-1</v>
      </c>
      <c r="U89">
        <v>1</v>
      </c>
      <c r="V89">
        <v>2</v>
      </c>
      <c r="W89">
        <v>-2</v>
      </c>
      <c r="X89">
        <v>-1</v>
      </c>
      <c r="Y89">
        <v>2</v>
      </c>
      <c r="Z89">
        <v>-1</v>
      </c>
      <c r="AA89">
        <v>-1</v>
      </c>
      <c r="AB89">
        <v>-2</v>
      </c>
      <c r="AC89">
        <v>-1</v>
      </c>
      <c r="AD89">
        <v>-1</v>
      </c>
      <c r="AE89">
        <v>1</v>
      </c>
      <c r="AF89">
        <v>1</v>
      </c>
      <c r="AG89">
        <v>-2</v>
      </c>
      <c r="AH89">
        <v>-2</v>
      </c>
    </row>
    <row r="90" spans="1:34" x14ac:dyDescent="0.3">
      <c r="A90" s="42">
        <f t="shared" si="11"/>
        <v>8</v>
      </c>
      <c r="B90" s="44">
        <f t="shared" si="10"/>
        <v>-0.3125</v>
      </c>
      <c r="C90">
        <v>1</v>
      </c>
      <c r="D90">
        <v>-1</v>
      </c>
      <c r="E90">
        <v>-1</v>
      </c>
      <c r="F90">
        <v>2</v>
      </c>
      <c r="G90">
        <v>-3</v>
      </c>
      <c r="H90">
        <v>2</v>
      </c>
      <c r="I90">
        <v>-1</v>
      </c>
      <c r="J90">
        <v>-1</v>
      </c>
      <c r="K90">
        <v>-2</v>
      </c>
      <c r="L90">
        <v>-1</v>
      </c>
      <c r="M90">
        <v>1</v>
      </c>
      <c r="N90">
        <v>-2</v>
      </c>
      <c r="O90">
        <v>1</v>
      </c>
      <c r="P90">
        <v>1</v>
      </c>
      <c r="Q90">
        <v>1</v>
      </c>
      <c r="R90">
        <v>-1</v>
      </c>
      <c r="S90">
        <v>1</v>
      </c>
      <c r="T90">
        <v>-2</v>
      </c>
      <c r="U90">
        <v>1</v>
      </c>
      <c r="V90">
        <v>-2</v>
      </c>
      <c r="W90">
        <v>-3</v>
      </c>
      <c r="X90">
        <v>-1</v>
      </c>
      <c r="Y90">
        <v>3</v>
      </c>
      <c r="Z90">
        <v>-1</v>
      </c>
      <c r="AA90">
        <v>1</v>
      </c>
      <c r="AB90">
        <v>-1</v>
      </c>
      <c r="AC90">
        <v>-1</v>
      </c>
      <c r="AD90">
        <v>-1</v>
      </c>
      <c r="AE90">
        <v>1</v>
      </c>
      <c r="AF90">
        <v>1</v>
      </c>
      <c r="AG90">
        <v>-3</v>
      </c>
      <c r="AH90">
        <v>1</v>
      </c>
    </row>
    <row r="91" spans="1:34" x14ac:dyDescent="0.3">
      <c r="A91" s="42">
        <f t="shared" si="11"/>
        <v>9</v>
      </c>
      <c r="B91" s="44">
        <f t="shared" si="10"/>
        <v>0.15625</v>
      </c>
      <c r="C91">
        <v>-2</v>
      </c>
      <c r="D91">
        <v>1</v>
      </c>
      <c r="E91">
        <v>-1</v>
      </c>
      <c r="F91">
        <v>1</v>
      </c>
      <c r="G91">
        <v>3</v>
      </c>
      <c r="H91">
        <v>-1</v>
      </c>
      <c r="I91">
        <v>2</v>
      </c>
      <c r="J91">
        <v>1</v>
      </c>
      <c r="K91">
        <v>1</v>
      </c>
      <c r="L91">
        <v>1</v>
      </c>
      <c r="M91">
        <v>-1</v>
      </c>
      <c r="N91">
        <v>-2</v>
      </c>
      <c r="O91">
        <v>-1</v>
      </c>
      <c r="P91">
        <v>-1</v>
      </c>
      <c r="Q91">
        <v>1</v>
      </c>
      <c r="R91">
        <v>-1</v>
      </c>
      <c r="S91">
        <v>1</v>
      </c>
      <c r="T91">
        <v>-1</v>
      </c>
      <c r="U91">
        <v>1</v>
      </c>
      <c r="V91">
        <v>2</v>
      </c>
      <c r="W91">
        <v>1</v>
      </c>
      <c r="X91">
        <v>-1</v>
      </c>
      <c r="Y91">
        <v>-3</v>
      </c>
      <c r="Z91">
        <v>1</v>
      </c>
      <c r="AA91">
        <v>1</v>
      </c>
      <c r="AB91">
        <v>-1</v>
      </c>
      <c r="AC91">
        <v>1</v>
      </c>
      <c r="AD91">
        <v>2</v>
      </c>
      <c r="AE91">
        <v>1</v>
      </c>
      <c r="AF91">
        <v>2</v>
      </c>
      <c r="AG91">
        <v>-1</v>
      </c>
      <c r="AH91">
        <v>-2</v>
      </c>
    </row>
    <row r="92" spans="1:34" x14ac:dyDescent="0.3">
      <c r="A92" s="42">
        <f t="shared" si="11"/>
        <v>10</v>
      </c>
      <c r="B92" s="44">
        <f t="shared" si="10"/>
        <v>0.4375</v>
      </c>
      <c r="C92">
        <v>-2</v>
      </c>
      <c r="D92">
        <v>2</v>
      </c>
      <c r="E92">
        <v>-1</v>
      </c>
      <c r="F92">
        <v>3</v>
      </c>
      <c r="G92">
        <v>1</v>
      </c>
      <c r="H92">
        <v>-1</v>
      </c>
      <c r="I92">
        <v>1</v>
      </c>
      <c r="J92">
        <v>-1</v>
      </c>
      <c r="K92">
        <v>1</v>
      </c>
      <c r="L92">
        <v>-1</v>
      </c>
      <c r="M92">
        <v>1</v>
      </c>
      <c r="N92">
        <v>-2</v>
      </c>
      <c r="O92">
        <v>1</v>
      </c>
      <c r="P92">
        <v>1</v>
      </c>
      <c r="Q92">
        <v>1</v>
      </c>
      <c r="R92">
        <v>-1</v>
      </c>
      <c r="S92">
        <v>1</v>
      </c>
      <c r="T92">
        <v>1</v>
      </c>
      <c r="U92">
        <v>3</v>
      </c>
      <c r="V92">
        <v>-1</v>
      </c>
      <c r="W92">
        <v>1</v>
      </c>
      <c r="X92">
        <v>-1</v>
      </c>
      <c r="Y92">
        <v>2</v>
      </c>
      <c r="Z92">
        <v>-1</v>
      </c>
      <c r="AA92">
        <v>1</v>
      </c>
      <c r="AB92">
        <v>-2</v>
      </c>
      <c r="AC92">
        <v>1</v>
      </c>
      <c r="AD92">
        <v>1</v>
      </c>
      <c r="AE92">
        <v>1</v>
      </c>
      <c r="AF92">
        <v>2</v>
      </c>
      <c r="AG92">
        <v>3</v>
      </c>
      <c r="AH92">
        <v>-1</v>
      </c>
    </row>
    <row r="93" spans="1:34" x14ac:dyDescent="0.3">
      <c r="A93" s="42">
        <f t="shared" si="11"/>
        <v>11</v>
      </c>
      <c r="B93" s="44">
        <f t="shared" si="10"/>
        <v>0.21875</v>
      </c>
      <c r="C93">
        <v>-3</v>
      </c>
      <c r="D93">
        <v>2</v>
      </c>
      <c r="E93">
        <v>-1</v>
      </c>
      <c r="F93">
        <v>3</v>
      </c>
      <c r="G93">
        <v>1</v>
      </c>
      <c r="H93">
        <v>2</v>
      </c>
      <c r="I93">
        <v>-1</v>
      </c>
      <c r="J93">
        <v>-1</v>
      </c>
      <c r="K93">
        <v>1</v>
      </c>
      <c r="L93">
        <v>1</v>
      </c>
      <c r="M93">
        <v>2</v>
      </c>
      <c r="N93">
        <v>-2</v>
      </c>
      <c r="O93">
        <v>2</v>
      </c>
      <c r="P93">
        <v>1</v>
      </c>
      <c r="Q93">
        <v>1</v>
      </c>
      <c r="R93">
        <v>1</v>
      </c>
      <c r="S93">
        <v>1</v>
      </c>
      <c r="T93">
        <v>-2</v>
      </c>
      <c r="U93">
        <v>1</v>
      </c>
      <c r="V93">
        <v>1</v>
      </c>
      <c r="W93">
        <v>-1</v>
      </c>
      <c r="X93">
        <v>1</v>
      </c>
      <c r="Y93">
        <v>-3</v>
      </c>
      <c r="Z93">
        <v>1</v>
      </c>
      <c r="AA93">
        <v>-1</v>
      </c>
      <c r="AB93">
        <v>-2</v>
      </c>
      <c r="AC93">
        <v>-1</v>
      </c>
      <c r="AD93">
        <v>-1</v>
      </c>
      <c r="AE93">
        <v>1</v>
      </c>
      <c r="AF93">
        <v>3</v>
      </c>
      <c r="AG93">
        <v>1</v>
      </c>
      <c r="AH93">
        <v>-1</v>
      </c>
    </row>
    <row r="94" spans="1:34" x14ac:dyDescent="0.3">
      <c r="A94" s="42">
        <f t="shared" si="11"/>
        <v>12</v>
      </c>
      <c r="B94" s="44">
        <f t="shared" si="10"/>
        <v>1</v>
      </c>
      <c r="C94">
        <v>2</v>
      </c>
      <c r="D94">
        <v>2</v>
      </c>
      <c r="E94">
        <v>2</v>
      </c>
      <c r="F94">
        <v>2</v>
      </c>
      <c r="G94">
        <v>2</v>
      </c>
      <c r="H94">
        <v>2</v>
      </c>
      <c r="I94">
        <v>3</v>
      </c>
      <c r="J94">
        <v>-1</v>
      </c>
      <c r="K94">
        <v>1</v>
      </c>
      <c r="L94">
        <v>2</v>
      </c>
      <c r="M94">
        <v>-2</v>
      </c>
      <c r="N94">
        <v>-2</v>
      </c>
      <c r="O94">
        <v>1</v>
      </c>
      <c r="P94">
        <v>1</v>
      </c>
      <c r="Q94">
        <v>1</v>
      </c>
      <c r="R94">
        <v>2</v>
      </c>
      <c r="S94">
        <v>1</v>
      </c>
      <c r="T94">
        <v>-2</v>
      </c>
      <c r="U94">
        <v>1</v>
      </c>
      <c r="V94">
        <v>3</v>
      </c>
      <c r="W94">
        <v>1</v>
      </c>
      <c r="X94">
        <v>1</v>
      </c>
      <c r="Y94">
        <v>-2</v>
      </c>
      <c r="Z94">
        <v>1</v>
      </c>
      <c r="AA94">
        <v>1</v>
      </c>
      <c r="AB94">
        <v>-1</v>
      </c>
      <c r="AC94">
        <v>2</v>
      </c>
      <c r="AD94">
        <v>2</v>
      </c>
      <c r="AE94">
        <v>1</v>
      </c>
      <c r="AF94">
        <v>3</v>
      </c>
      <c r="AG94">
        <v>3</v>
      </c>
      <c r="AH94">
        <v>-1</v>
      </c>
    </row>
    <row r="95" spans="1:34" x14ac:dyDescent="0.3">
      <c r="A95" s="42">
        <f t="shared" si="11"/>
        <v>13</v>
      </c>
      <c r="B95" s="44">
        <f t="shared" si="10"/>
        <v>0.21875</v>
      </c>
      <c r="C95">
        <v>1</v>
      </c>
      <c r="D95">
        <v>2</v>
      </c>
      <c r="E95">
        <v>2</v>
      </c>
      <c r="F95">
        <v>3</v>
      </c>
      <c r="G95">
        <v>2</v>
      </c>
      <c r="H95">
        <v>-2</v>
      </c>
      <c r="I95">
        <v>-1</v>
      </c>
      <c r="J95">
        <v>1</v>
      </c>
      <c r="K95">
        <v>1</v>
      </c>
      <c r="L95">
        <v>1</v>
      </c>
      <c r="M95">
        <v>-1</v>
      </c>
      <c r="N95">
        <v>-2</v>
      </c>
      <c r="O95">
        <v>1</v>
      </c>
      <c r="P95">
        <v>1</v>
      </c>
      <c r="Q95">
        <v>2</v>
      </c>
      <c r="R95">
        <v>-2</v>
      </c>
      <c r="S95">
        <v>1</v>
      </c>
      <c r="T95">
        <v>-2</v>
      </c>
      <c r="U95">
        <v>-1</v>
      </c>
      <c r="V95">
        <v>1</v>
      </c>
      <c r="W95">
        <v>-2</v>
      </c>
      <c r="X95">
        <v>-1</v>
      </c>
      <c r="Y95">
        <v>2</v>
      </c>
      <c r="Z95">
        <v>-2</v>
      </c>
      <c r="AA95">
        <v>-2</v>
      </c>
      <c r="AB95">
        <v>-1</v>
      </c>
      <c r="AC95">
        <v>1</v>
      </c>
      <c r="AD95">
        <v>-1</v>
      </c>
      <c r="AE95">
        <v>1</v>
      </c>
      <c r="AF95">
        <v>2</v>
      </c>
      <c r="AG95">
        <v>1</v>
      </c>
      <c r="AH95">
        <v>1</v>
      </c>
    </row>
    <row r="96" spans="1:34" x14ac:dyDescent="0.3">
      <c r="A96" s="42">
        <f t="shared" si="11"/>
        <v>14</v>
      </c>
      <c r="B96" s="44">
        <f t="shared" si="10"/>
        <v>-0.6875</v>
      </c>
      <c r="C96">
        <v>1</v>
      </c>
      <c r="D96">
        <v>1</v>
      </c>
      <c r="E96">
        <v>-1</v>
      </c>
      <c r="F96">
        <v>3</v>
      </c>
      <c r="G96">
        <v>-2</v>
      </c>
      <c r="H96">
        <v>-3</v>
      </c>
      <c r="I96">
        <v>-2</v>
      </c>
      <c r="J96">
        <v>-1</v>
      </c>
      <c r="K96">
        <v>-1</v>
      </c>
      <c r="L96">
        <v>-1</v>
      </c>
      <c r="M96">
        <v>1</v>
      </c>
      <c r="N96">
        <v>-2</v>
      </c>
      <c r="O96">
        <v>1</v>
      </c>
      <c r="P96">
        <v>-1</v>
      </c>
      <c r="Q96">
        <v>1</v>
      </c>
      <c r="R96">
        <v>-1</v>
      </c>
      <c r="S96">
        <v>-1</v>
      </c>
      <c r="T96">
        <v>-2</v>
      </c>
      <c r="U96">
        <v>-1</v>
      </c>
      <c r="V96">
        <v>-3</v>
      </c>
      <c r="W96">
        <v>-2</v>
      </c>
      <c r="X96">
        <v>-2</v>
      </c>
      <c r="Y96">
        <v>-3</v>
      </c>
      <c r="Z96">
        <v>-1</v>
      </c>
      <c r="AA96">
        <v>-1</v>
      </c>
      <c r="AB96">
        <v>-1</v>
      </c>
      <c r="AC96">
        <v>-1</v>
      </c>
      <c r="AD96">
        <v>1</v>
      </c>
      <c r="AE96">
        <v>1</v>
      </c>
      <c r="AF96">
        <v>2</v>
      </c>
      <c r="AG96">
        <v>-2</v>
      </c>
      <c r="AH96">
        <v>1</v>
      </c>
    </row>
    <row r="97" spans="1:34" x14ac:dyDescent="0.3">
      <c r="A97" s="42">
        <f t="shared" si="11"/>
        <v>15</v>
      </c>
      <c r="B97" s="44">
        <f t="shared" si="10"/>
        <v>-0.4375</v>
      </c>
      <c r="C97">
        <v>-2</v>
      </c>
      <c r="D97">
        <v>-1</v>
      </c>
      <c r="E97">
        <v>1</v>
      </c>
      <c r="F97">
        <v>-3</v>
      </c>
      <c r="G97">
        <v>-3</v>
      </c>
      <c r="H97">
        <v>1</v>
      </c>
      <c r="I97">
        <v>-2</v>
      </c>
      <c r="J97">
        <v>-1</v>
      </c>
      <c r="K97">
        <v>-1</v>
      </c>
      <c r="L97">
        <v>1</v>
      </c>
      <c r="M97">
        <v>-1</v>
      </c>
      <c r="N97">
        <v>-2</v>
      </c>
      <c r="O97">
        <v>-1</v>
      </c>
      <c r="P97">
        <v>1</v>
      </c>
      <c r="Q97">
        <v>1</v>
      </c>
      <c r="R97">
        <v>1</v>
      </c>
      <c r="S97">
        <v>2</v>
      </c>
      <c r="T97">
        <v>-1</v>
      </c>
      <c r="U97">
        <v>1</v>
      </c>
      <c r="V97">
        <v>-2</v>
      </c>
      <c r="W97">
        <v>1</v>
      </c>
      <c r="X97">
        <v>-1</v>
      </c>
      <c r="Y97">
        <v>-3</v>
      </c>
      <c r="Z97">
        <v>1</v>
      </c>
      <c r="AA97">
        <v>-2</v>
      </c>
      <c r="AB97">
        <v>-1</v>
      </c>
      <c r="AC97">
        <v>1</v>
      </c>
      <c r="AD97">
        <v>-1</v>
      </c>
      <c r="AE97">
        <v>1</v>
      </c>
      <c r="AF97">
        <v>2</v>
      </c>
      <c r="AG97">
        <v>-2</v>
      </c>
      <c r="AH97">
        <v>1</v>
      </c>
    </row>
    <row r="98" spans="1:34" x14ac:dyDescent="0.3">
      <c r="A98" s="42">
        <f t="shared" si="11"/>
        <v>16</v>
      </c>
      <c r="B98" s="44">
        <f t="shared" si="10"/>
        <v>-0.25</v>
      </c>
      <c r="C98">
        <v>-2</v>
      </c>
      <c r="D98">
        <v>1</v>
      </c>
      <c r="E98">
        <v>1</v>
      </c>
      <c r="F98">
        <v>-3</v>
      </c>
      <c r="G98">
        <v>-2</v>
      </c>
      <c r="H98">
        <v>2</v>
      </c>
      <c r="I98">
        <v>-2</v>
      </c>
      <c r="J98">
        <v>-1</v>
      </c>
      <c r="K98">
        <v>1</v>
      </c>
      <c r="L98">
        <v>-2</v>
      </c>
      <c r="M98">
        <v>1</v>
      </c>
      <c r="N98">
        <v>-1</v>
      </c>
      <c r="O98">
        <v>-1</v>
      </c>
      <c r="P98">
        <v>1</v>
      </c>
      <c r="Q98">
        <v>2</v>
      </c>
      <c r="R98">
        <v>-1</v>
      </c>
      <c r="S98">
        <v>1</v>
      </c>
      <c r="T98">
        <v>-1</v>
      </c>
      <c r="U98">
        <v>2</v>
      </c>
      <c r="V98">
        <v>2</v>
      </c>
      <c r="W98">
        <v>-2</v>
      </c>
      <c r="X98">
        <v>-2</v>
      </c>
      <c r="Y98">
        <v>-3</v>
      </c>
      <c r="Z98">
        <v>1</v>
      </c>
      <c r="AA98">
        <v>-2</v>
      </c>
      <c r="AB98">
        <v>1</v>
      </c>
      <c r="AC98">
        <v>-1</v>
      </c>
      <c r="AD98">
        <v>1</v>
      </c>
      <c r="AE98">
        <v>1</v>
      </c>
      <c r="AF98">
        <v>2</v>
      </c>
      <c r="AG98">
        <v>-3</v>
      </c>
      <c r="AH98">
        <v>1</v>
      </c>
    </row>
    <row r="99" spans="1:34" x14ac:dyDescent="0.3">
      <c r="A99" s="42">
        <f t="shared" si="11"/>
        <v>17</v>
      </c>
      <c r="B99" s="44">
        <f t="shared" si="10"/>
        <v>6.25E-2</v>
      </c>
      <c r="C99">
        <v>1</v>
      </c>
      <c r="D99">
        <v>2</v>
      </c>
      <c r="E99">
        <v>1</v>
      </c>
      <c r="F99">
        <v>3</v>
      </c>
      <c r="G99">
        <v>-1</v>
      </c>
      <c r="H99">
        <v>-1</v>
      </c>
      <c r="I99">
        <v>1</v>
      </c>
      <c r="J99">
        <v>-1</v>
      </c>
      <c r="K99">
        <v>-1</v>
      </c>
      <c r="L99">
        <v>1</v>
      </c>
      <c r="M99">
        <v>-1</v>
      </c>
      <c r="N99">
        <v>-1</v>
      </c>
      <c r="O99">
        <v>1</v>
      </c>
      <c r="P99">
        <v>1</v>
      </c>
      <c r="Q99">
        <v>2</v>
      </c>
      <c r="R99">
        <v>-1</v>
      </c>
      <c r="S99">
        <v>1</v>
      </c>
      <c r="T99">
        <v>-1</v>
      </c>
      <c r="U99">
        <v>1</v>
      </c>
      <c r="V99">
        <v>-3</v>
      </c>
      <c r="W99">
        <v>-2</v>
      </c>
      <c r="X99">
        <v>1</v>
      </c>
      <c r="Y99">
        <v>-3</v>
      </c>
      <c r="Z99">
        <v>1</v>
      </c>
      <c r="AA99">
        <v>-1</v>
      </c>
      <c r="AB99">
        <v>-1</v>
      </c>
      <c r="AC99">
        <v>1</v>
      </c>
      <c r="AD99">
        <v>-1</v>
      </c>
      <c r="AE99">
        <v>1</v>
      </c>
      <c r="AF99">
        <v>2</v>
      </c>
      <c r="AG99">
        <v>-1</v>
      </c>
      <c r="AH99">
        <v>1</v>
      </c>
    </row>
    <row r="100" spans="1:34" x14ac:dyDescent="0.3">
      <c r="A100" s="42">
        <f t="shared" si="11"/>
        <v>18</v>
      </c>
      <c r="B100" s="44">
        <f t="shared" si="10"/>
        <v>0.1875</v>
      </c>
      <c r="C100">
        <v>1</v>
      </c>
      <c r="D100">
        <v>1</v>
      </c>
      <c r="E100">
        <v>1</v>
      </c>
      <c r="F100">
        <v>3</v>
      </c>
      <c r="G100">
        <v>-1</v>
      </c>
      <c r="H100">
        <v>2</v>
      </c>
      <c r="I100">
        <v>-1</v>
      </c>
      <c r="J100">
        <v>-1</v>
      </c>
      <c r="K100">
        <v>-1</v>
      </c>
      <c r="L100">
        <v>1</v>
      </c>
      <c r="M100">
        <v>-1</v>
      </c>
      <c r="N100">
        <v>-1</v>
      </c>
      <c r="O100">
        <v>-1</v>
      </c>
      <c r="P100">
        <v>-1</v>
      </c>
      <c r="Q100">
        <v>-1</v>
      </c>
      <c r="R100">
        <v>-1</v>
      </c>
      <c r="S100">
        <v>2</v>
      </c>
      <c r="T100">
        <v>-2</v>
      </c>
      <c r="U100">
        <v>1</v>
      </c>
      <c r="V100">
        <v>-1</v>
      </c>
      <c r="W100">
        <v>1</v>
      </c>
      <c r="X100">
        <v>-1</v>
      </c>
      <c r="Y100">
        <v>3</v>
      </c>
      <c r="Z100">
        <v>1</v>
      </c>
      <c r="AA100">
        <v>1</v>
      </c>
      <c r="AB100">
        <v>-1</v>
      </c>
      <c r="AC100">
        <v>2</v>
      </c>
      <c r="AD100">
        <v>-1</v>
      </c>
      <c r="AE100">
        <v>-1</v>
      </c>
      <c r="AF100">
        <v>2</v>
      </c>
      <c r="AG100">
        <v>-1</v>
      </c>
      <c r="AH100">
        <v>2</v>
      </c>
    </row>
    <row r="101" spans="1:34" x14ac:dyDescent="0.3">
      <c r="A101" s="42">
        <f t="shared" si="11"/>
        <v>19</v>
      </c>
      <c r="B101" s="44">
        <f t="shared" si="10"/>
        <v>0.5625</v>
      </c>
      <c r="C101">
        <v>-3</v>
      </c>
      <c r="D101">
        <v>1</v>
      </c>
      <c r="E101">
        <v>1</v>
      </c>
      <c r="F101">
        <v>2</v>
      </c>
      <c r="G101">
        <v>1</v>
      </c>
      <c r="H101">
        <v>1</v>
      </c>
      <c r="I101">
        <v>1</v>
      </c>
      <c r="J101">
        <v>-1</v>
      </c>
      <c r="K101">
        <v>3</v>
      </c>
      <c r="L101">
        <v>2</v>
      </c>
      <c r="M101">
        <v>2</v>
      </c>
      <c r="N101">
        <v>-1</v>
      </c>
      <c r="O101">
        <v>1</v>
      </c>
      <c r="P101">
        <v>1</v>
      </c>
      <c r="Q101">
        <v>2</v>
      </c>
      <c r="R101">
        <v>-2</v>
      </c>
      <c r="S101">
        <v>2</v>
      </c>
      <c r="T101">
        <v>-2</v>
      </c>
      <c r="U101">
        <v>2</v>
      </c>
      <c r="V101">
        <v>2</v>
      </c>
      <c r="W101">
        <v>-1</v>
      </c>
      <c r="X101">
        <v>-2</v>
      </c>
      <c r="Y101">
        <v>3</v>
      </c>
      <c r="Z101">
        <v>-1</v>
      </c>
      <c r="AA101">
        <v>-1</v>
      </c>
      <c r="AB101">
        <v>1</v>
      </c>
      <c r="AC101">
        <v>1</v>
      </c>
      <c r="AD101">
        <v>-3</v>
      </c>
      <c r="AE101">
        <v>-1</v>
      </c>
      <c r="AF101">
        <v>2</v>
      </c>
      <c r="AG101">
        <v>3</v>
      </c>
      <c r="AH101">
        <v>2</v>
      </c>
    </row>
    <row r="102" spans="1:34" x14ac:dyDescent="0.3">
      <c r="A102" s="42">
        <f t="shared" si="11"/>
        <v>20</v>
      </c>
      <c r="B102" s="44">
        <f t="shared" si="10"/>
        <v>-0.78125</v>
      </c>
      <c r="C102">
        <v>-3</v>
      </c>
      <c r="D102">
        <v>2</v>
      </c>
      <c r="E102">
        <v>1</v>
      </c>
      <c r="F102">
        <v>-2</v>
      </c>
      <c r="G102">
        <v>-2</v>
      </c>
      <c r="H102">
        <v>-3</v>
      </c>
      <c r="I102">
        <v>-1</v>
      </c>
      <c r="J102">
        <v>-1</v>
      </c>
      <c r="K102">
        <v>1</v>
      </c>
      <c r="L102">
        <v>-1</v>
      </c>
      <c r="M102">
        <v>1</v>
      </c>
      <c r="N102">
        <v>-1</v>
      </c>
      <c r="O102">
        <v>1</v>
      </c>
      <c r="P102">
        <v>-1</v>
      </c>
      <c r="Q102">
        <v>2</v>
      </c>
      <c r="R102">
        <v>-1</v>
      </c>
      <c r="S102">
        <v>2</v>
      </c>
      <c r="T102">
        <v>-2</v>
      </c>
      <c r="U102">
        <v>1</v>
      </c>
      <c r="V102">
        <v>-3</v>
      </c>
      <c r="W102">
        <v>-2</v>
      </c>
      <c r="X102">
        <v>-1</v>
      </c>
      <c r="Y102">
        <v>-3</v>
      </c>
      <c r="Z102">
        <v>-1</v>
      </c>
      <c r="AA102">
        <v>-2</v>
      </c>
      <c r="AB102">
        <v>-2</v>
      </c>
      <c r="AC102">
        <v>-1</v>
      </c>
      <c r="AD102">
        <v>-3</v>
      </c>
      <c r="AE102">
        <v>-2</v>
      </c>
      <c r="AF102">
        <v>1</v>
      </c>
      <c r="AG102">
        <v>-1</v>
      </c>
      <c r="AH102">
        <v>2</v>
      </c>
    </row>
    <row r="103" spans="1:34" x14ac:dyDescent="0.3">
      <c r="A103" s="42">
        <f t="shared" si="11"/>
        <v>21</v>
      </c>
      <c r="B103" s="44">
        <f t="shared" si="10"/>
        <v>-0.53125</v>
      </c>
      <c r="C103">
        <v>-2</v>
      </c>
      <c r="D103">
        <v>-1</v>
      </c>
      <c r="E103">
        <v>-1</v>
      </c>
      <c r="F103">
        <v>1</v>
      </c>
      <c r="G103">
        <v>1</v>
      </c>
      <c r="H103">
        <v>2</v>
      </c>
      <c r="I103">
        <v>-1</v>
      </c>
      <c r="J103">
        <v>-1</v>
      </c>
      <c r="K103">
        <v>1</v>
      </c>
      <c r="L103">
        <v>-1</v>
      </c>
      <c r="M103">
        <v>1</v>
      </c>
      <c r="N103">
        <v>-2</v>
      </c>
      <c r="O103">
        <v>-1</v>
      </c>
      <c r="P103">
        <v>1</v>
      </c>
      <c r="Q103">
        <v>1</v>
      </c>
      <c r="R103">
        <v>-1</v>
      </c>
      <c r="S103">
        <v>2</v>
      </c>
      <c r="T103">
        <v>-2</v>
      </c>
      <c r="U103">
        <v>1</v>
      </c>
      <c r="V103">
        <v>-1</v>
      </c>
      <c r="W103">
        <v>-2</v>
      </c>
      <c r="X103">
        <v>-1</v>
      </c>
      <c r="Y103">
        <v>-3</v>
      </c>
      <c r="Z103">
        <v>-1</v>
      </c>
      <c r="AA103">
        <v>-1</v>
      </c>
      <c r="AB103">
        <v>-2</v>
      </c>
      <c r="AC103">
        <v>-1</v>
      </c>
      <c r="AD103">
        <v>-3</v>
      </c>
      <c r="AE103">
        <v>-1</v>
      </c>
      <c r="AF103">
        <v>2</v>
      </c>
      <c r="AG103">
        <v>-3</v>
      </c>
      <c r="AH103">
        <v>2</v>
      </c>
    </row>
    <row r="104" spans="1:34" x14ac:dyDescent="0.3">
      <c r="A104" s="42">
        <f t="shared" si="11"/>
        <v>22</v>
      </c>
      <c r="B104" s="44">
        <f t="shared" si="10"/>
        <v>0.40625</v>
      </c>
      <c r="C104">
        <v>1</v>
      </c>
      <c r="D104">
        <v>-1</v>
      </c>
      <c r="E104">
        <v>-1</v>
      </c>
      <c r="F104">
        <v>-3</v>
      </c>
      <c r="G104">
        <v>-2</v>
      </c>
      <c r="H104">
        <v>1</v>
      </c>
      <c r="I104">
        <v>1</v>
      </c>
      <c r="J104">
        <v>3</v>
      </c>
      <c r="K104">
        <v>1</v>
      </c>
      <c r="L104">
        <v>1</v>
      </c>
      <c r="M104">
        <v>1</v>
      </c>
      <c r="N104">
        <v>-1</v>
      </c>
      <c r="O104">
        <v>-1</v>
      </c>
      <c r="P104">
        <v>-1</v>
      </c>
      <c r="Q104">
        <v>3</v>
      </c>
      <c r="R104">
        <v>-1</v>
      </c>
      <c r="S104">
        <v>2</v>
      </c>
      <c r="T104">
        <v>-1</v>
      </c>
      <c r="U104">
        <v>2</v>
      </c>
      <c r="V104">
        <v>-1</v>
      </c>
      <c r="W104">
        <v>-1</v>
      </c>
      <c r="X104">
        <v>1</v>
      </c>
      <c r="Y104">
        <v>3</v>
      </c>
      <c r="Z104">
        <v>1</v>
      </c>
      <c r="AA104">
        <v>1</v>
      </c>
      <c r="AB104">
        <v>-1</v>
      </c>
      <c r="AC104">
        <v>1</v>
      </c>
      <c r="AD104">
        <v>1</v>
      </c>
      <c r="AE104">
        <v>1</v>
      </c>
      <c r="AF104">
        <v>2</v>
      </c>
      <c r="AG104">
        <v>-1</v>
      </c>
      <c r="AH104">
        <v>2</v>
      </c>
    </row>
    <row r="105" spans="1:34" x14ac:dyDescent="0.3">
      <c r="A105" s="42">
        <f t="shared" si="11"/>
        <v>23</v>
      </c>
      <c r="B105" s="44">
        <f t="shared" si="10"/>
        <v>-0.75</v>
      </c>
      <c r="C105">
        <v>-3</v>
      </c>
      <c r="D105">
        <v>-1</v>
      </c>
      <c r="E105">
        <v>-1</v>
      </c>
      <c r="F105">
        <v>-2</v>
      </c>
      <c r="G105">
        <v>-3</v>
      </c>
      <c r="H105">
        <v>-1</v>
      </c>
      <c r="I105">
        <v>-1</v>
      </c>
      <c r="J105">
        <v>-1</v>
      </c>
      <c r="K105">
        <v>-2</v>
      </c>
      <c r="L105">
        <v>-1</v>
      </c>
      <c r="M105">
        <v>1</v>
      </c>
      <c r="N105">
        <v>-1</v>
      </c>
      <c r="O105">
        <v>1</v>
      </c>
      <c r="P105">
        <v>1</v>
      </c>
      <c r="Q105">
        <v>1</v>
      </c>
      <c r="R105">
        <v>-1</v>
      </c>
      <c r="S105">
        <v>1</v>
      </c>
      <c r="T105">
        <v>1</v>
      </c>
      <c r="U105">
        <v>1</v>
      </c>
      <c r="V105">
        <v>-1</v>
      </c>
      <c r="W105">
        <v>-2</v>
      </c>
      <c r="X105">
        <v>-1</v>
      </c>
      <c r="Y105">
        <v>-3</v>
      </c>
      <c r="Z105">
        <v>-1</v>
      </c>
      <c r="AA105">
        <v>-1</v>
      </c>
      <c r="AB105">
        <v>-1</v>
      </c>
      <c r="AC105">
        <v>-1</v>
      </c>
      <c r="AD105">
        <v>-2</v>
      </c>
      <c r="AE105">
        <v>-1</v>
      </c>
      <c r="AF105">
        <v>1</v>
      </c>
      <c r="AG105">
        <v>-2</v>
      </c>
      <c r="AH105">
        <v>2</v>
      </c>
    </row>
    <row r="106" spans="1:34" x14ac:dyDescent="0.3">
      <c r="A106" s="42">
        <f t="shared" si="11"/>
        <v>24</v>
      </c>
      <c r="B106" s="44">
        <f t="shared" si="10"/>
        <v>9.375E-2</v>
      </c>
      <c r="C106">
        <v>-1</v>
      </c>
      <c r="D106">
        <v>1</v>
      </c>
      <c r="E106">
        <v>-1</v>
      </c>
      <c r="F106">
        <v>1</v>
      </c>
      <c r="G106">
        <v>1</v>
      </c>
      <c r="H106">
        <v>2</v>
      </c>
      <c r="I106">
        <v>1</v>
      </c>
      <c r="J106">
        <v>-1</v>
      </c>
      <c r="K106">
        <v>1</v>
      </c>
      <c r="L106">
        <v>-1</v>
      </c>
      <c r="M106">
        <v>1</v>
      </c>
      <c r="N106">
        <v>-1</v>
      </c>
      <c r="O106">
        <v>1</v>
      </c>
      <c r="P106">
        <v>1</v>
      </c>
      <c r="Q106">
        <v>1</v>
      </c>
      <c r="R106">
        <v>-2</v>
      </c>
      <c r="S106">
        <v>2</v>
      </c>
      <c r="T106">
        <v>-2</v>
      </c>
      <c r="U106">
        <v>1</v>
      </c>
      <c r="V106">
        <v>-1</v>
      </c>
      <c r="W106">
        <v>-2</v>
      </c>
      <c r="X106">
        <v>-1</v>
      </c>
      <c r="Y106">
        <v>-3</v>
      </c>
      <c r="Z106">
        <v>-1</v>
      </c>
      <c r="AA106">
        <v>-1</v>
      </c>
      <c r="AB106">
        <v>-1</v>
      </c>
      <c r="AC106">
        <v>1</v>
      </c>
      <c r="AD106">
        <v>1</v>
      </c>
      <c r="AE106">
        <v>1</v>
      </c>
      <c r="AF106">
        <v>2</v>
      </c>
      <c r="AG106">
        <v>1</v>
      </c>
      <c r="AH106">
        <v>2</v>
      </c>
    </row>
    <row r="107" spans="1:34" x14ac:dyDescent="0.3">
      <c r="A107" s="42">
        <f t="shared" si="11"/>
        <v>25</v>
      </c>
      <c r="B107" s="44">
        <f t="shared" si="10"/>
        <v>0.3125</v>
      </c>
      <c r="C107">
        <v>2</v>
      </c>
      <c r="D107">
        <v>1</v>
      </c>
      <c r="E107">
        <v>1</v>
      </c>
      <c r="F107">
        <v>-3</v>
      </c>
      <c r="G107">
        <v>1</v>
      </c>
      <c r="H107">
        <v>1</v>
      </c>
      <c r="I107">
        <v>1</v>
      </c>
      <c r="J107">
        <v>-1</v>
      </c>
      <c r="K107">
        <v>1</v>
      </c>
      <c r="L107">
        <v>1</v>
      </c>
      <c r="M107">
        <v>1</v>
      </c>
      <c r="N107">
        <v>-1</v>
      </c>
      <c r="O107">
        <v>-1</v>
      </c>
      <c r="P107">
        <v>-1</v>
      </c>
      <c r="Q107">
        <v>1</v>
      </c>
      <c r="R107">
        <v>1</v>
      </c>
      <c r="S107">
        <v>2</v>
      </c>
      <c r="T107">
        <v>-2</v>
      </c>
      <c r="U107">
        <v>2</v>
      </c>
      <c r="V107">
        <v>-3</v>
      </c>
      <c r="W107">
        <v>1</v>
      </c>
      <c r="X107">
        <v>-1</v>
      </c>
      <c r="Y107">
        <v>2</v>
      </c>
      <c r="Z107">
        <v>1</v>
      </c>
      <c r="AA107">
        <v>-1</v>
      </c>
      <c r="AB107">
        <v>1</v>
      </c>
      <c r="AC107">
        <v>2</v>
      </c>
      <c r="AD107">
        <v>-3</v>
      </c>
      <c r="AE107">
        <v>-1</v>
      </c>
      <c r="AF107">
        <v>2</v>
      </c>
      <c r="AG107">
        <v>1</v>
      </c>
      <c r="AH107">
        <v>2</v>
      </c>
    </row>
    <row r="108" spans="1:34" x14ac:dyDescent="0.3">
      <c r="A108" s="42">
        <f t="shared" si="11"/>
        <v>26</v>
      </c>
      <c r="B108" s="44">
        <f t="shared" si="10"/>
        <v>-0.25</v>
      </c>
      <c r="C108">
        <v>-1</v>
      </c>
      <c r="D108">
        <v>1</v>
      </c>
      <c r="E108">
        <v>-1</v>
      </c>
      <c r="F108">
        <v>1</v>
      </c>
      <c r="G108">
        <v>-1</v>
      </c>
      <c r="H108">
        <v>-2</v>
      </c>
      <c r="I108">
        <v>-1</v>
      </c>
      <c r="J108">
        <v>-1</v>
      </c>
      <c r="K108">
        <v>-1</v>
      </c>
      <c r="L108">
        <v>-1</v>
      </c>
      <c r="M108">
        <v>-1</v>
      </c>
      <c r="N108">
        <v>-1</v>
      </c>
      <c r="O108">
        <v>1</v>
      </c>
      <c r="P108">
        <v>1</v>
      </c>
      <c r="Q108">
        <v>1</v>
      </c>
      <c r="R108">
        <v>1</v>
      </c>
      <c r="S108">
        <v>2</v>
      </c>
      <c r="T108">
        <v>1</v>
      </c>
      <c r="U108">
        <v>-1</v>
      </c>
      <c r="V108">
        <v>1</v>
      </c>
      <c r="W108">
        <v>-1</v>
      </c>
      <c r="X108">
        <v>-1</v>
      </c>
      <c r="Y108">
        <v>-3</v>
      </c>
      <c r="Z108">
        <v>1</v>
      </c>
      <c r="AA108">
        <v>-1</v>
      </c>
      <c r="AB108">
        <v>-1</v>
      </c>
      <c r="AC108">
        <v>1</v>
      </c>
      <c r="AD108">
        <v>-2</v>
      </c>
      <c r="AE108">
        <v>-1</v>
      </c>
      <c r="AF108">
        <v>1</v>
      </c>
      <c r="AG108">
        <v>-1</v>
      </c>
      <c r="AH108">
        <v>2</v>
      </c>
    </row>
    <row r="109" spans="1:34" x14ac:dyDescent="0.3">
      <c r="A109" s="42">
        <f t="shared" si="11"/>
        <v>27</v>
      </c>
      <c r="B109" s="44">
        <f t="shared" si="10"/>
        <v>6.25E-2</v>
      </c>
      <c r="C109">
        <v>-1</v>
      </c>
      <c r="D109">
        <v>2</v>
      </c>
      <c r="E109">
        <v>1</v>
      </c>
      <c r="F109">
        <v>3</v>
      </c>
      <c r="G109">
        <v>-2</v>
      </c>
      <c r="H109">
        <v>1</v>
      </c>
      <c r="I109">
        <v>-1</v>
      </c>
      <c r="J109">
        <v>-1</v>
      </c>
      <c r="K109">
        <v>-1</v>
      </c>
      <c r="L109">
        <v>-1</v>
      </c>
      <c r="M109">
        <v>1</v>
      </c>
      <c r="N109">
        <v>-1</v>
      </c>
      <c r="O109">
        <v>1</v>
      </c>
      <c r="P109">
        <v>-1</v>
      </c>
      <c r="Q109">
        <v>1</v>
      </c>
      <c r="R109">
        <v>-1</v>
      </c>
      <c r="S109">
        <v>1</v>
      </c>
      <c r="T109">
        <v>-1</v>
      </c>
      <c r="U109">
        <v>1</v>
      </c>
      <c r="V109">
        <v>-1</v>
      </c>
      <c r="W109">
        <v>-2</v>
      </c>
      <c r="X109">
        <v>-1</v>
      </c>
      <c r="Y109">
        <v>3</v>
      </c>
      <c r="Z109">
        <v>-1</v>
      </c>
      <c r="AA109">
        <v>-1</v>
      </c>
      <c r="AB109">
        <v>-1</v>
      </c>
      <c r="AC109">
        <v>1</v>
      </c>
      <c r="AD109">
        <v>-2</v>
      </c>
      <c r="AE109">
        <v>1</v>
      </c>
      <c r="AF109">
        <v>2</v>
      </c>
      <c r="AG109">
        <v>1</v>
      </c>
      <c r="AH109">
        <v>2</v>
      </c>
    </row>
    <row r="110" spans="1:34" x14ac:dyDescent="0.3">
      <c r="A110" s="42">
        <f t="shared" si="11"/>
        <v>28</v>
      </c>
      <c r="B110" s="44">
        <f t="shared" si="10"/>
        <v>0.25</v>
      </c>
      <c r="C110">
        <v>2</v>
      </c>
      <c r="D110">
        <v>1</v>
      </c>
      <c r="E110">
        <v>1</v>
      </c>
      <c r="F110">
        <v>-3</v>
      </c>
      <c r="G110">
        <v>1</v>
      </c>
      <c r="H110">
        <v>-1</v>
      </c>
      <c r="I110">
        <v>-2</v>
      </c>
      <c r="J110">
        <v>-1</v>
      </c>
      <c r="K110">
        <v>-1</v>
      </c>
      <c r="L110">
        <v>1</v>
      </c>
      <c r="M110">
        <v>1</v>
      </c>
      <c r="N110">
        <v>-1</v>
      </c>
      <c r="O110">
        <v>2</v>
      </c>
      <c r="P110">
        <v>-1</v>
      </c>
      <c r="Q110">
        <v>2</v>
      </c>
      <c r="R110">
        <v>1</v>
      </c>
      <c r="S110">
        <v>1</v>
      </c>
      <c r="T110">
        <v>-2</v>
      </c>
      <c r="U110">
        <v>1</v>
      </c>
      <c r="V110">
        <v>-1</v>
      </c>
      <c r="W110">
        <v>-2</v>
      </c>
      <c r="X110">
        <v>1</v>
      </c>
      <c r="Y110">
        <v>3</v>
      </c>
      <c r="Z110">
        <v>-1</v>
      </c>
      <c r="AA110">
        <v>-1</v>
      </c>
      <c r="AB110">
        <v>-1</v>
      </c>
      <c r="AC110">
        <v>2</v>
      </c>
      <c r="AD110">
        <v>1</v>
      </c>
      <c r="AE110">
        <v>1</v>
      </c>
      <c r="AF110">
        <v>2</v>
      </c>
      <c r="AG110">
        <v>1</v>
      </c>
      <c r="AH110">
        <v>1</v>
      </c>
    </row>
    <row r="111" spans="1:34" x14ac:dyDescent="0.3">
      <c r="A111" s="42">
        <f t="shared" si="11"/>
        <v>29</v>
      </c>
      <c r="B111" s="44">
        <f t="shared" si="10"/>
        <v>-0.125</v>
      </c>
      <c r="C111">
        <v>1</v>
      </c>
      <c r="D111">
        <v>-1</v>
      </c>
      <c r="E111">
        <v>1</v>
      </c>
      <c r="F111">
        <v>-3</v>
      </c>
      <c r="G111">
        <v>1</v>
      </c>
      <c r="H111">
        <v>2</v>
      </c>
      <c r="I111">
        <v>2</v>
      </c>
      <c r="J111">
        <v>-1</v>
      </c>
      <c r="K111">
        <v>1</v>
      </c>
      <c r="L111">
        <v>-1</v>
      </c>
      <c r="M111">
        <v>1</v>
      </c>
      <c r="N111">
        <v>-1</v>
      </c>
      <c r="O111">
        <v>2</v>
      </c>
      <c r="P111">
        <v>-1</v>
      </c>
      <c r="Q111">
        <v>2</v>
      </c>
      <c r="R111">
        <v>-1</v>
      </c>
      <c r="S111">
        <v>1</v>
      </c>
      <c r="T111">
        <v>-2</v>
      </c>
      <c r="U111">
        <v>2</v>
      </c>
      <c r="V111">
        <v>-3</v>
      </c>
      <c r="W111">
        <v>-1</v>
      </c>
      <c r="X111">
        <v>-1</v>
      </c>
      <c r="Y111">
        <v>-3</v>
      </c>
      <c r="Z111">
        <v>-1</v>
      </c>
      <c r="AA111">
        <v>-1</v>
      </c>
      <c r="AB111">
        <v>-1</v>
      </c>
      <c r="AC111">
        <v>-1</v>
      </c>
      <c r="AD111">
        <v>1</v>
      </c>
      <c r="AE111">
        <v>-1</v>
      </c>
      <c r="AF111">
        <v>1</v>
      </c>
      <c r="AG111">
        <v>1</v>
      </c>
      <c r="AH111">
        <v>1</v>
      </c>
    </row>
    <row r="112" spans="1:34" x14ac:dyDescent="0.3">
      <c r="A112" s="42">
        <f t="shared" si="11"/>
        <v>30</v>
      </c>
      <c r="B112" s="44">
        <f t="shared" si="10"/>
        <v>0.25</v>
      </c>
      <c r="C112">
        <v>-1</v>
      </c>
      <c r="D112">
        <v>1</v>
      </c>
      <c r="E112">
        <v>1</v>
      </c>
      <c r="F112">
        <v>3</v>
      </c>
      <c r="G112">
        <v>3</v>
      </c>
      <c r="H112">
        <v>2</v>
      </c>
      <c r="I112">
        <v>1</v>
      </c>
      <c r="J112">
        <v>-1</v>
      </c>
      <c r="K112">
        <v>-2</v>
      </c>
      <c r="L112">
        <v>-2</v>
      </c>
      <c r="M112">
        <v>2</v>
      </c>
      <c r="N112">
        <v>-1</v>
      </c>
      <c r="O112">
        <v>2</v>
      </c>
      <c r="P112">
        <v>-1</v>
      </c>
      <c r="Q112">
        <v>2</v>
      </c>
      <c r="R112">
        <v>-1</v>
      </c>
      <c r="S112">
        <v>2</v>
      </c>
      <c r="T112">
        <v>-1</v>
      </c>
      <c r="U112">
        <v>1</v>
      </c>
      <c r="V112">
        <v>2</v>
      </c>
      <c r="W112">
        <v>-2</v>
      </c>
      <c r="X112">
        <v>-2</v>
      </c>
      <c r="Y112">
        <v>-3</v>
      </c>
      <c r="Z112">
        <v>2</v>
      </c>
      <c r="AA112">
        <v>-1</v>
      </c>
      <c r="AB112">
        <v>1</v>
      </c>
      <c r="AC112">
        <v>1</v>
      </c>
      <c r="AD112">
        <v>-3</v>
      </c>
      <c r="AE112">
        <v>1</v>
      </c>
      <c r="AF112">
        <v>2</v>
      </c>
      <c r="AG112">
        <v>-1</v>
      </c>
      <c r="AH112">
        <v>1</v>
      </c>
    </row>
    <row r="113" spans="1:34" x14ac:dyDescent="0.3">
      <c r="A113" s="42">
        <f t="shared" si="11"/>
        <v>31</v>
      </c>
      <c r="B113" s="44">
        <f t="shared" si="10"/>
        <v>9.375E-2</v>
      </c>
      <c r="C113">
        <v>-1</v>
      </c>
      <c r="D113">
        <v>2</v>
      </c>
      <c r="E113">
        <v>1</v>
      </c>
      <c r="F113">
        <v>-3</v>
      </c>
      <c r="G113">
        <v>3</v>
      </c>
      <c r="H113">
        <v>2</v>
      </c>
      <c r="I113">
        <v>-1</v>
      </c>
      <c r="J113">
        <v>-1</v>
      </c>
      <c r="K113">
        <v>-2</v>
      </c>
      <c r="L113">
        <v>-1</v>
      </c>
      <c r="M113">
        <v>1</v>
      </c>
      <c r="N113">
        <v>-1</v>
      </c>
      <c r="O113">
        <v>2</v>
      </c>
      <c r="P113">
        <v>1</v>
      </c>
      <c r="Q113">
        <v>2</v>
      </c>
      <c r="R113">
        <v>-1</v>
      </c>
      <c r="S113">
        <v>2</v>
      </c>
      <c r="T113">
        <v>-1</v>
      </c>
      <c r="U113">
        <v>1</v>
      </c>
      <c r="V113">
        <v>2</v>
      </c>
      <c r="W113">
        <v>-2</v>
      </c>
      <c r="X113">
        <v>-2</v>
      </c>
      <c r="Y113">
        <v>-3</v>
      </c>
      <c r="Z113">
        <v>2</v>
      </c>
      <c r="AA113">
        <v>-2</v>
      </c>
      <c r="AB113">
        <v>-1</v>
      </c>
      <c r="AC113">
        <v>1</v>
      </c>
      <c r="AD113">
        <v>-3</v>
      </c>
      <c r="AE113">
        <v>1</v>
      </c>
      <c r="AF113">
        <v>2</v>
      </c>
      <c r="AG113">
        <v>1</v>
      </c>
      <c r="AH113">
        <v>2</v>
      </c>
    </row>
    <row r="114" spans="1:34" x14ac:dyDescent="0.3">
      <c r="A114" s="42">
        <f t="shared" si="11"/>
        <v>32</v>
      </c>
      <c r="B114" s="44">
        <f t="shared" si="10"/>
        <v>0.875</v>
      </c>
      <c r="C114">
        <v>2</v>
      </c>
      <c r="D114">
        <v>1</v>
      </c>
      <c r="E114">
        <v>2</v>
      </c>
      <c r="F114">
        <v>-3</v>
      </c>
      <c r="G114">
        <v>3</v>
      </c>
      <c r="H114">
        <v>2</v>
      </c>
      <c r="I114">
        <v>1</v>
      </c>
      <c r="J114">
        <v>2</v>
      </c>
      <c r="K114">
        <v>1</v>
      </c>
      <c r="L114">
        <v>-1</v>
      </c>
      <c r="M114">
        <v>1</v>
      </c>
      <c r="N114">
        <v>-1</v>
      </c>
      <c r="O114">
        <v>3</v>
      </c>
      <c r="P114">
        <v>-1</v>
      </c>
      <c r="Q114">
        <v>2</v>
      </c>
      <c r="R114">
        <v>1</v>
      </c>
      <c r="S114">
        <v>2</v>
      </c>
      <c r="T114">
        <v>1</v>
      </c>
      <c r="U114">
        <v>1</v>
      </c>
      <c r="V114">
        <v>1</v>
      </c>
      <c r="W114">
        <v>-1</v>
      </c>
      <c r="X114">
        <v>-2</v>
      </c>
      <c r="Y114">
        <v>3</v>
      </c>
      <c r="Z114">
        <v>2</v>
      </c>
      <c r="AA114">
        <v>-1</v>
      </c>
      <c r="AB114">
        <v>-1</v>
      </c>
      <c r="AC114">
        <v>1</v>
      </c>
      <c r="AD114">
        <v>1</v>
      </c>
      <c r="AE114">
        <v>-1</v>
      </c>
      <c r="AF114">
        <v>3</v>
      </c>
      <c r="AG114">
        <v>3</v>
      </c>
      <c r="AH114">
        <v>1</v>
      </c>
    </row>
    <row r="115" spans="1:34" x14ac:dyDescent="0.3">
      <c r="A115" s="42">
        <f t="shared" si="11"/>
        <v>33</v>
      </c>
      <c r="B115" s="44">
        <f t="shared" si="10"/>
        <v>-0.1875</v>
      </c>
      <c r="C115">
        <v>-1</v>
      </c>
      <c r="D115">
        <v>-1</v>
      </c>
      <c r="E115">
        <v>-1</v>
      </c>
      <c r="F115">
        <v>3</v>
      </c>
      <c r="G115">
        <v>-3</v>
      </c>
      <c r="H115">
        <v>-1</v>
      </c>
      <c r="I115">
        <v>-2</v>
      </c>
      <c r="J115">
        <v>-1</v>
      </c>
      <c r="K115">
        <v>-2</v>
      </c>
      <c r="L115">
        <v>-1</v>
      </c>
      <c r="M115">
        <v>1</v>
      </c>
      <c r="N115">
        <v>-1</v>
      </c>
      <c r="O115">
        <v>2</v>
      </c>
      <c r="P115">
        <v>-1</v>
      </c>
      <c r="Q115">
        <v>1</v>
      </c>
      <c r="R115">
        <v>-2</v>
      </c>
      <c r="S115">
        <v>1</v>
      </c>
      <c r="T115">
        <v>-2</v>
      </c>
      <c r="U115">
        <v>1</v>
      </c>
      <c r="V115">
        <v>1</v>
      </c>
      <c r="W115">
        <v>-1</v>
      </c>
      <c r="X115">
        <v>-1</v>
      </c>
      <c r="Y115">
        <v>3</v>
      </c>
      <c r="Z115">
        <v>1</v>
      </c>
      <c r="AA115">
        <v>-1</v>
      </c>
      <c r="AB115">
        <v>-1</v>
      </c>
      <c r="AC115">
        <v>-1</v>
      </c>
      <c r="AD115">
        <v>1</v>
      </c>
      <c r="AE115">
        <v>1</v>
      </c>
      <c r="AF115">
        <v>2</v>
      </c>
      <c r="AG115">
        <v>-2</v>
      </c>
      <c r="AH115">
        <v>2</v>
      </c>
    </row>
    <row r="116" spans="1:34" x14ac:dyDescent="0.3">
      <c r="A116" s="42">
        <f t="shared" si="11"/>
        <v>34</v>
      </c>
      <c r="B116" s="44">
        <f t="shared" si="10"/>
        <v>0.21875</v>
      </c>
      <c r="C116">
        <v>-2</v>
      </c>
      <c r="D116">
        <v>1</v>
      </c>
      <c r="E116">
        <v>1</v>
      </c>
      <c r="F116">
        <v>3</v>
      </c>
      <c r="G116">
        <v>2</v>
      </c>
      <c r="H116">
        <v>1</v>
      </c>
      <c r="I116">
        <v>-1</v>
      </c>
      <c r="J116">
        <v>-1</v>
      </c>
      <c r="K116">
        <v>1</v>
      </c>
      <c r="L116">
        <v>-1</v>
      </c>
      <c r="M116">
        <v>1</v>
      </c>
      <c r="N116">
        <v>-2</v>
      </c>
      <c r="O116">
        <v>1</v>
      </c>
      <c r="P116">
        <v>-1</v>
      </c>
      <c r="Q116">
        <v>2</v>
      </c>
      <c r="R116">
        <v>-1</v>
      </c>
      <c r="S116">
        <v>2</v>
      </c>
      <c r="T116">
        <v>-2</v>
      </c>
      <c r="U116">
        <v>2</v>
      </c>
      <c r="V116">
        <v>1</v>
      </c>
      <c r="W116">
        <v>-2</v>
      </c>
      <c r="X116">
        <v>-1</v>
      </c>
      <c r="Y116">
        <v>3</v>
      </c>
      <c r="Z116">
        <v>2</v>
      </c>
      <c r="AA116">
        <v>-1</v>
      </c>
      <c r="AB116">
        <v>-1</v>
      </c>
      <c r="AC116">
        <v>1</v>
      </c>
      <c r="AD116">
        <v>-2</v>
      </c>
      <c r="AE116">
        <v>-1</v>
      </c>
      <c r="AF116">
        <v>2</v>
      </c>
      <c r="AG116">
        <v>-2</v>
      </c>
      <c r="AH116">
        <v>2</v>
      </c>
    </row>
    <row r="117" spans="1:34" x14ac:dyDescent="0.3">
      <c r="A117" s="42">
        <f t="shared" si="11"/>
        <v>35</v>
      </c>
      <c r="B117" s="44">
        <f t="shared" si="10"/>
        <v>0.40625</v>
      </c>
      <c r="C117">
        <v>1</v>
      </c>
      <c r="D117">
        <v>-1</v>
      </c>
      <c r="E117">
        <v>1</v>
      </c>
      <c r="F117">
        <v>3</v>
      </c>
      <c r="G117">
        <v>1</v>
      </c>
      <c r="H117">
        <v>1</v>
      </c>
      <c r="I117">
        <v>-2</v>
      </c>
      <c r="J117">
        <v>-1</v>
      </c>
      <c r="K117">
        <v>1</v>
      </c>
      <c r="L117">
        <v>-1</v>
      </c>
      <c r="M117">
        <v>1</v>
      </c>
      <c r="N117">
        <v>-1</v>
      </c>
      <c r="O117">
        <v>1</v>
      </c>
      <c r="P117">
        <v>1</v>
      </c>
      <c r="Q117">
        <v>2</v>
      </c>
      <c r="R117">
        <v>1</v>
      </c>
      <c r="S117">
        <v>2</v>
      </c>
      <c r="T117">
        <v>-2</v>
      </c>
      <c r="U117">
        <v>-1</v>
      </c>
      <c r="V117">
        <v>2</v>
      </c>
      <c r="W117">
        <v>-1</v>
      </c>
      <c r="X117">
        <v>-1</v>
      </c>
      <c r="Y117">
        <v>3</v>
      </c>
      <c r="Z117">
        <v>1</v>
      </c>
      <c r="AA117">
        <v>1</v>
      </c>
      <c r="AB117">
        <v>-2</v>
      </c>
      <c r="AC117">
        <v>1</v>
      </c>
      <c r="AD117">
        <v>-2</v>
      </c>
      <c r="AE117">
        <v>1</v>
      </c>
      <c r="AF117">
        <v>2</v>
      </c>
      <c r="AG117">
        <v>-1</v>
      </c>
      <c r="AH117">
        <v>2</v>
      </c>
    </row>
    <row r="118" spans="1:34" x14ac:dyDescent="0.3">
      <c r="A118" s="42">
        <f t="shared" si="11"/>
        <v>36</v>
      </c>
      <c r="B118" s="44">
        <f t="shared" si="10"/>
        <v>-0.21875</v>
      </c>
      <c r="C118">
        <v>1</v>
      </c>
      <c r="D118">
        <v>1</v>
      </c>
      <c r="E118">
        <v>1</v>
      </c>
      <c r="F118">
        <v>-2</v>
      </c>
      <c r="G118">
        <v>-2</v>
      </c>
      <c r="H118">
        <v>1</v>
      </c>
      <c r="I118">
        <v>-1</v>
      </c>
      <c r="J118">
        <v>-1</v>
      </c>
      <c r="K118">
        <v>1</v>
      </c>
      <c r="L118">
        <v>-1</v>
      </c>
      <c r="M118">
        <v>2</v>
      </c>
      <c r="N118">
        <v>-1</v>
      </c>
      <c r="O118">
        <v>1</v>
      </c>
      <c r="P118">
        <v>1</v>
      </c>
      <c r="Q118">
        <v>2</v>
      </c>
      <c r="R118">
        <v>-1</v>
      </c>
      <c r="S118">
        <v>1</v>
      </c>
      <c r="T118">
        <v>-2</v>
      </c>
      <c r="U118">
        <v>-1</v>
      </c>
      <c r="V118">
        <v>1</v>
      </c>
      <c r="W118">
        <v>-1</v>
      </c>
      <c r="X118">
        <v>-1</v>
      </c>
      <c r="Y118">
        <v>-3</v>
      </c>
      <c r="Z118">
        <v>-1</v>
      </c>
      <c r="AA118">
        <v>-1</v>
      </c>
      <c r="AB118">
        <v>-1</v>
      </c>
      <c r="AC118">
        <v>2</v>
      </c>
      <c r="AD118">
        <v>-1</v>
      </c>
      <c r="AE118">
        <v>-1</v>
      </c>
      <c r="AF118">
        <v>1</v>
      </c>
      <c r="AG118">
        <v>-3</v>
      </c>
      <c r="AH118">
        <v>2</v>
      </c>
    </row>
    <row r="119" spans="1:34" x14ac:dyDescent="0.3">
      <c r="A119" s="42">
        <f t="shared" si="11"/>
        <v>37</v>
      </c>
      <c r="B119" s="44">
        <f t="shared" si="10"/>
        <v>-0.65625</v>
      </c>
      <c r="C119">
        <v>-3</v>
      </c>
      <c r="D119">
        <v>1</v>
      </c>
      <c r="E119">
        <v>1</v>
      </c>
      <c r="F119">
        <v>-3</v>
      </c>
      <c r="G119">
        <v>-3</v>
      </c>
      <c r="H119">
        <v>-1</v>
      </c>
      <c r="I119">
        <v>-2</v>
      </c>
      <c r="J119">
        <v>-1</v>
      </c>
      <c r="K119">
        <v>1</v>
      </c>
      <c r="L119">
        <v>-2</v>
      </c>
      <c r="M119">
        <v>-2</v>
      </c>
      <c r="N119">
        <v>-2</v>
      </c>
      <c r="O119">
        <v>-1</v>
      </c>
      <c r="P119">
        <v>1</v>
      </c>
      <c r="Q119">
        <v>1</v>
      </c>
      <c r="R119">
        <v>-2</v>
      </c>
      <c r="S119">
        <v>-1</v>
      </c>
      <c r="T119">
        <v>-2</v>
      </c>
      <c r="U119">
        <v>1</v>
      </c>
      <c r="V119">
        <v>1</v>
      </c>
      <c r="W119">
        <v>-1</v>
      </c>
      <c r="X119">
        <v>-2</v>
      </c>
      <c r="Y119">
        <v>2</v>
      </c>
      <c r="Z119">
        <v>1</v>
      </c>
      <c r="AA119">
        <v>-1</v>
      </c>
      <c r="AB119">
        <v>1</v>
      </c>
      <c r="AC119">
        <v>-1</v>
      </c>
      <c r="AD119">
        <v>-1</v>
      </c>
      <c r="AE119">
        <v>-1</v>
      </c>
      <c r="AF119">
        <v>-2</v>
      </c>
      <c r="AG119">
        <v>1</v>
      </c>
      <c r="AH119">
        <v>1</v>
      </c>
    </row>
    <row r="120" spans="1:34" x14ac:dyDescent="0.3">
      <c r="A120" s="42">
        <f t="shared" si="11"/>
        <v>38</v>
      </c>
      <c r="B120" s="44">
        <f t="shared" si="10"/>
        <v>-0.5625</v>
      </c>
      <c r="C120">
        <v>-1</v>
      </c>
      <c r="D120">
        <v>-1</v>
      </c>
      <c r="E120">
        <v>-1</v>
      </c>
      <c r="F120">
        <v>-3</v>
      </c>
      <c r="G120">
        <v>-2</v>
      </c>
      <c r="H120">
        <v>2</v>
      </c>
      <c r="I120">
        <v>-1</v>
      </c>
      <c r="J120">
        <v>-1</v>
      </c>
      <c r="K120">
        <v>1</v>
      </c>
      <c r="L120">
        <v>-1</v>
      </c>
      <c r="M120">
        <v>-1</v>
      </c>
      <c r="N120">
        <v>-1</v>
      </c>
      <c r="O120">
        <v>-1</v>
      </c>
      <c r="P120">
        <v>1</v>
      </c>
      <c r="Q120">
        <v>1</v>
      </c>
      <c r="R120">
        <v>-1</v>
      </c>
      <c r="S120">
        <v>-1</v>
      </c>
      <c r="T120">
        <v>-1</v>
      </c>
      <c r="U120">
        <v>1</v>
      </c>
      <c r="V120">
        <v>-2</v>
      </c>
      <c r="W120">
        <v>-2</v>
      </c>
      <c r="X120">
        <v>-1</v>
      </c>
      <c r="Y120">
        <v>3</v>
      </c>
      <c r="Z120">
        <v>-1</v>
      </c>
      <c r="AA120">
        <v>-2</v>
      </c>
      <c r="AB120">
        <v>-1</v>
      </c>
      <c r="AC120">
        <v>3</v>
      </c>
      <c r="AD120">
        <v>-1</v>
      </c>
      <c r="AE120">
        <v>-1</v>
      </c>
      <c r="AF120">
        <v>-2</v>
      </c>
      <c r="AG120">
        <v>-2</v>
      </c>
      <c r="AH120">
        <v>2</v>
      </c>
    </row>
    <row r="121" spans="1:34" x14ac:dyDescent="0.3">
      <c r="A121" s="42">
        <f t="shared" si="11"/>
        <v>39</v>
      </c>
      <c r="B121" s="44">
        <f t="shared" si="10"/>
        <v>-0.15625</v>
      </c>
      <c r="C121">
        <v>1</v>
      </c>
      <c r="D121">
        <v>1</v>
      </c>
      <c r="E121">
        <v>-1</v>
      </c>
      <c r="F121">
        <v>1</v>
      </c>
      <c r="G121">
        <v>-2</v>
      </c>
      <c r="H121">
        <v>-1</v>
      </c>
      <c r="I121">
        <v>-2</v>
      </c>
      <c r="J121">
        <v>-1</v>
      </c>
      <c r="K121">
        <v>-2</v>
      </c>
      <c r="L121">
        <v>-1</v>
      </c>
      <c r="M121">
        <v>1</v>
      </c>
      <c r="N121">
        <v>-1</v>
      </c>
      <c r="O121">
        <v>1</v>
      </c>
      <c r="P121">
        <v>1</v>
      </c>
      <c r="Q121">
        <v>1</v>
      </c>
      <c r="R121">
        <v>-1</v>
      </c>
      <c r="S121">
        <v>-1</v>
      </c>
      <c r="T121">
        <v>-2</v>
      </c>
      <c r="U121">
        <v>1</v>
      </c>
      <c r="V121">
        <v>1</v>
      </c>
      <c r="W121">
        <v>-1</v>
      </c>
      <c r="X121">
        <v>-1</v>
      </c>
      <c r="Y121">
        <v>3</v>
      </c>
      <c r="Z121">
        <v>1</v>
      </c>
      <c r="AA121">
        <v>-1</v>
      </c>
      <c r="AB121">
        <v>-1</v>
      </c>
      <c r="AC121">
        <v>1</v>
      </c>
      <c r="AD121">
        <v>-1</v>
      </c>
      <c r="AE121">
        <v>-1</v>
      </c>
      <c r="AF121">
        <v>-1</v>
      </c>
      <c r="AG121">
        <v>1</v>
      </c>
      <c r="AH121">
        <v>2</v>
      </c>
    </row>
    <row r="122" spans="1:34" x14ac:dyDescent="0.3">
      <c r="A122" s="42">
        <f t="shared" si="11"/>
        <v>40</v>
      </c>
      <c r="B122" s="44">
        <f t="shared" si="10"/>
        <v>0.21875</v>
      </c>
      <c r="C122">
        <v>-2</v>
      </c>
      <c r="D122">
        <v>1</v>
      </c>
      <c r="E122">
        <v>-1</v>
      </c>
      <c r="F122">
        <v>3</v>
      </c>
      <c r="G122">
        <v>1</v>
      </c>
      <c r="H122">
        <v>2</v>
      </c>
      <c r="I122">
        <v>-1</v>
      </c>
      <c r="J122">
        <v>-1</v>
      </c>
      <c r="K122">
        <v>1</v>
      </c>
      <c r="L122">
        <v>-1</v>
      </c>
      <c r="M122">
        <v>2</v>
      </c>
      <c r="N122">
        <v>-1</v>
      </c>
      <c r="O122">
        <v>2</v>
      </c>
      <c r="P122">
        <v>1</v>
      </c>
      <c r="Q122">
        <v>2</v>
      </c>
      <c r="R122">
        <v>-1</v>
      </c>
      <c r="S122">
        <v>2</v>
      </c>
      <c r="T122">
        <v>-1</v>
      </c>
      <c r="U122">
        <v>2</v>
      </c>
      <c r="V122">
        <v>2</v>
      </c>
      <c r="W122">
        <v>-3</v>
      </c>
      <c r="X122">
        <v>-1</v>
      </c>
      <c r="Y122">
        <v>-3</v>
      </c>
      <c r="Z122">
        <v>3</v>
      </c>
      <c r="AA122">
        <v>-2</v>
      </c>
      <c r="AB122">
        <v>-2</v>
      </c>
      <c r="AC122">
        <v>3</v>
      </c>
      <c r="AD122">
        <v>1</v>
      </c>
      <c r="AE122">
        <v>-1</v>
      </c>
      <c r="AF122">
        <v>1</v>
      </c>
      <c r="AG122">
        <v>-3</v>
      </c>
      <c r="AH122">
        <v>2</v>
      </c>
    </row>
    <row r="123" spans="1:34" x14ac:dyDescent="0.3">
      <c r="A123" s="42">
        <f t="shared" si="11"/>
        <v>41</v>
      </c>
      <c r="B123" s="44">
        <f t="shared" si="10"/>
        <v>-0.34375</v>
      </c>
      <c r="C123">
        <v>-2</v>
      </c>
      <c r="D123">
        <v>-1</v>
      </c>
      <c r="E123">
        <v>1</v>
      </c>
      <c r="F123">
        <v>-3</v>
      </c>
      <c r="G123">
        <v>-2</v>
      </c>
      <c r="H123">
        <v>1</v>
      </c>
      <c r="I123">
        <v>-1</v>
      </c>
      <c r="J123">
        <v>-1</v>
      </c>
      <c r="K123">
        <v>1</v>
      </c>
      <c r="L123">
        <v>-1</v>
      </c>
      <c r="M123">
        <v>2</v>
      </c>
      <c r="N123">
        <v>-1</v>
      </c>
      <c r="O123">
        <v>1</v>
      </c>
      <c r="P123">
        <v>1</v>
      </c>
      <c r="Q123">
        <v>2</v>
      </c>
      <c r="R123">
        <v>-1</v>
      </c>
      <c r="S123">
        <v>1</v>
      </c>
      <c r="T123">
        <v>-1</v>
      </c>
      <c r="U123">
        <v>2</v>
      </c>
      <c r="V123">
        <v>-1</v>
      </c>
      <c r="W123">
        <v>-3</v>
      </c>
      <c r="X123">
        <v>-1</v>
      </c>
      <c r="Y123">
        <v>-3</v>
      </c>
      <c r="Z123">
        <v>2</v>
      </c>
      <c r="AA123">
        <v>-1</v>
      </c>
      <c r="AB123">
        <v>-1</v>
      </c>
      <c r="AC123">
        <v>2</v>
      </c>
      <c r="AD123">
        <v>-1</v>
      </c>
      <c r="AE123">
        <v>-1</v>
      </c>
      <c r="AF123">
        <v>-2</v>
      </c>
      <c r="AG123">
        <v>-1</v>
      </c>
      <c r="AH123">
        <v>2</v>
      </c>
    </row>
    <row r="124" spans="1:34" x14ac:dyDescent="0.3">
      <c r="A124" s="42">
        <f t="shared" si="11"/>
        <v>42</v>
      </c>
      <c r="B124" s="44">
        <f t="shared" si="10"/>
        <v>-0.40625</v>
      </c>
      <c r="C124">
        <v>-2</v>
      </c>
      <c r="D124">
        <v>-1</v>
      </c>
      <c r="E124">
        <v>-1</v>
      </c>
      <c r="F124">
        <v>3</v>
      </c>
      <c r="G124">
        <v>1</v>
      </c>
      <c r="H124">
        <v>1</v>
      </c>
      <c r="I124">
        <v>-1</v>
      </c>
      <c r="J124">
        <v>-1</v>
      </c>
      <c r="K124">
        <v>1</v>
      </c>
      <c r="L124">
        <v>-1</v>
      </c>
      <c r="M124">
        <v>-1</v>
      </c>
      <c r="N124">
        <v>-1</v>
      </c>
      <c r="O124">
        <v>1</v>
      </c>
      <c r="P124">
        <v>1</v>
      </c>
      <c r="Q124">
        <v>1</v>
      </c>
      <c r="R124">
        <v>-1</v>
      </c>
      <c r="S124">
        <v>-1</v>
      </c>
      <c r="T124">
        <v>-1</v>
      </c>
      <c r="U124">
        <v>1</v>
      </c>
      <c r="V124">
        <v>-1</v>
      </c>
      <c r="W124">
        <v>-3</v>
      </c>
      <c r="X124">
        <v>-1</v>
      </c>
      <c r="Y124">
        <v>-3</v>
      </c>
      <c r="Z124">
        <v>-1</v>
      </c>
      <c r="AA124">
        <v>-1</v>
      </c>
      <c r="AB124">
        <v>-1</v>
      </c>
      <c r="AC124">
        <v>1</v>
      </c>
      <c r="AD124">
        <v>-1</v>
      </c>
      <c r="AE124">
        <v>-1</v>
      </c>
      <c r="AF124">
        <v>-1</v>
      </c>
      <c r="AG124">
        <v>1</v>
      </c>
      <c r="AH124">
        <v>1</v>
      </c>
    </row>
    <row r="125" spans="1:34" x14ac:dyDescent="0.3">
      <c r="A125" s="42">
        <f t="shared" si="11"/>
        <v>43</v>
      </c>
      <c r="B125" s="44">
        <f t="shared" si="10"/>
        <v>-0.21875</v>
      </c>
      <c r="C125">
        <v>-2</v>
      </c>
      <c r="D125">
        <v>-1</v>
      </c>
      <c r="E125">
        <v>1</v>
      </c>
      <c r="F125">
        <v>3</v>
      </c>
      <c r="G125">
        <v>1</v>
      </c>
      <c r="H125">
        <v>-1</v>
      </c>
      <c r="I125">
        <v>-2</v>
      </c>
      <c r="J125">
        <v>-1</v>
      </c>
      <c r="K125">
        <v>1</v>
      </c>
      <c r="L125">
        <v>-1</v>
      </c>
      <c r="M125">
        <v>-1</v>
      </c>
      <c r="N125">
        <v>-1</v>
      </c>
      <c r="O125">
        <v>1</v>
      </c>
      <c r="P125">
        <v>1</v>
      </c>
      <c r="Q125">
        <v>1</v>
      </c>
      <c r="R125">
        <v>-1</v>
      </c>
      <c r="S125">
        <v>-1</v>
      </c>
      <c r="T125">
        <v>-2</v>
      </c>
      <c r="U125">
        <v>2</v>
      </c>
      <c r="V125">
        <v>-1</v>
      </c>
      <c r="W125">
        <v>-2</v>
      </c>
      <c r="X125">
        <v>-1</v>
      </c>
      <c r="Y125">
        <v>3</v>
      </c>
      <c r="Z125">
        <v>-2</v>
      </c>
      <c r="AA125">
        <v>-1</v>
      </c>
      <c r="AB125">
        <v>-1</v>
      </c>
      <c r="AC125">
        <v>1</v>
      </c>
      <c r="AD125">
        <v>-1</v>
      </c>
      <c r="AE125">
        <v>-1</v>
      </c>
      <c r="AF125">
        <v>-2</v>
      </c>
      <c r="AG125">
        <v>2</v>
      </c>
      <c r="AH125">
        <v>2</v>
      </c>
    </row>
    <row r="126" spans="1:34" x14ac:dyDescent="0.3">
      <c r="A126" s="42">
        <f t="shared" si="11"/>
        <v>44</v>
      </c>
      <c r="B126" s="44">
        <f t="shared" si="10"/>
        <v>-0.65625</v>
      </c>
      <c r="C126">
        <v>-2</v>
      </c>
      <c r="D126">
        <v>-1</v>
      </c>
      <c r="E126">
        <v>1</v>
      </c>
      <c r="F126">
        <v>3</v>
      </c>
      <c r="G126">
        <v>-3</v>
      </c>
      <c r="H126">
        <v>-1</v>
      </c>
      <c r="I126">
        <v>-1</v>
      </c>
      <c r="J126">
        <v>-1</v>
      </c>
      <c r="K126">
        <v>-2</v>
      </c>
      <c r="L126">
        <v>-1</v>
      </c>
      <c r="M126">
        <v>1</v>
      </c>
      <c r="N126">
        <v>-1</v>
      </c>
      <c r="O126">
        <v>-1</v>
      </c>
      <c r="P126">
        <v>1</v>
      </c>
      <c r="Q126">
        <v>2</v>
      </c>
      <c r="R126">
        <v>-1</v>
      </c>
      <c r="S126">
        <v>-1</v>
      </c>
      <c r="T126">
        <v>-1</v>
      </c>
      <c r="U126">
        <v>-1</v>
      </c>
      <c r="V126">
        <v>-2</v>
      </c>
      <c r="W126">
        <v>-3</v>
      </c>
      <c r="X126">
        <v>-1</v>
      </c>
      <c r="Y126">
        <v>-2</v>
      </c>
      <c r="Z126">
        <v>-1</v>
      </c>
      <c r="AA126">
        <v>-2</v>
      </c>
      <c r="AB126">
        <v>-1</v>
      </c>
      <c r="AC126">
        <v>-1</v>
      </c>
      <c r="AD126">
        <v>-1</v>
      </c>
      <c r="AE126">
        <v>-1</v>
      </c>
      <c r="AF126">
        <v>1</v>
      </c>
      <c r="AG126">
        <v>1</v>
      </c>
      <c r="AH126">
        <v>2</v>
      </c>
    </row>
    <row r="127" spans="1:34" x14ac:dyDescent="0.3">
      <c r="A127" s="42">
        <f t="shared" si="11"/>
        <v>45</v>
      </c>
      <c r="B127" s="44">
        <f t="shared" si="10"/>
        <v>-0.15625</v>
      </c>
      <c r="C127">
        <v>-2</v>
      </c>
      <c r="D127">
        <v>2</v>
      </c>
      <c r="E127">
        <v>1</v>
      </c>
      <c r="F127">
        <v>-2</v>
      </c>
      <c r="G127">
        <v>1</v>
      </c>
      <c r="H127">
        <v>-1</v>
      </c>
      <c r="I127">
        <v>-2</v>
      </c>
      <c r="J127">
        <v>-1</v>
      </c>
      <c r="K127">
        <v>1</v>
      </c>
      <c r="L127">
        <v>-1</v>
      </c>
      <c r="M127">
        <v>1</v>
      </c>
      <c r="N127">
        <v>-1</v>
      </c>
      <c r="O127">
        <v>1</v>
      </c>
      <c r="P127">
        <v>1</v>
      </c>
      <c r="Q127">
        <v>1</v>
      </c>
      <c r="R127">
        <v>-1</v>
      </c>
      <c r="S127">
        <v>-1</v>
      </c>
      <c r="T127">
        <v>-1</v>
      </c>
      <c r="U127">
        <v>1</v>
      </c>
      <c r="V127">
        <v>1</v>
      </c>
      <c r="W127">
        <v>-3</v>
      </c>
      <c r="X127">
        <v>-1</v>
      </c>
      <c r="Y127">
        <v>-2</v>
      </c>
      <c r="Z127">
        <v>-1</v>
      </c>
      <c r="AA127">
        <v>-2</v>
      </c>
      <c r="AB127">
        <v>-1</v>
      </c>
      <c r="AC127">
        <v>3</v>
      </c>
      <c r="AD127">
        <v>-2</v>
      </c>
      <c r="AE127">
        <v>-1</v>
      </c>
      <c r="AF127">
        <v>2</v>
      </c>
      <c r="AG127">
        <v>3</v>
      </c>
      <c r="AH127">
        <v>2</v>
      </c>
    </row>
    <row r="128" spans="1:34" x14ac:dyDescent="0.3">
      <c r="A128" s="42">
        <f t="shared" si="11"/>
        <v>46</v>
      </c>
      <c r="B128" s="44">
        <f t="shared" si="10"/>
        <v>-0.59375</v>
      </c>
      <c r="C128">
        <v>-2</v>
      </c>
      <c r="D128">
        <v>-2</v>
      </c>
      <c r="E128">
        <v>1</v>
      </c>
      <c r="F128">
        <v>-3</v>
      </c>
      <c r="G128">
        <v>-3</v>
      </c>
      <c r="H128">
        <v>-1</v>
      </c>
      <c r="I128">
        <v>-2</v>
      </c>
      <c r="J128">
        <v>-1</v>
      </c>
      <c r="K128">
        <v>1</v>
      </c>
      <c r="L128">
        <v>-2</v>
      </c>
      <c r="M128">
        <v>1</v>
      </c>
      <c r="N128">
        <v>-2</v>
      </c>
      <c r="O128">
        <v>1</v>
      </c>
      <c r="P128">
        <v>1</v>
      </c>
      <c r="Q128">
        <v>2</v>
      </c>
      <c r="R128">
        <v>-1</v>
      </c>
      <c r="S128">
        <v>-1</v>
      </c>
      <c r="T128">
        <v>-1</v>
      </c>
      <c r="U128">
        <v>1</v>
      </c>
      <c r="V128">
        <v>2</v>
      </c>
      <c r="W128">
        <v>-1</v>
      </c>
      <c r="X128">
        <v>-1</v>
      </c>
      <c r="Y128">
        <v>-3</v>
      </c>
      <c r="Z128">
        <v>1</v>
      </c>
      <c r="AA128">
        <v>-1</v>
      </c>
      <c r="AB128">
        <v>-2</v>
      </c>
      <c r="AC128">
        <v>2</v>
      </c>
      <c r="AD128">
        <v>-2</v>
      </c>
      <c r="AE128">
        <v>-2</v>
      </c>
      <c r="AF128">
        <v>2</v>
      </c>
      <c r="AG128">
        <v>-3</v>
      </c>
      <c r="AH128">
        <v>2</v>
      </c>
    </row>
    <row r="129" spans="1:34" x14ac:dyDescent="0.3">
      <c r="A129" s="42">
        <f t="shared" si="11"/>
        <v>47</v>
      </c>
      <c r="B129" s="44">
        <f t="shared" si="10"/>
        <v>0.15625</v>
      </c>
      <c r="C129">
        <v>1</v>
      </c>
      <c r="D129">
        <v>-1</v>
      </c>
      <c r="E129">
        <v>1</v>
      </c>
      <c r="F129">
        <v>3</v>
      </c>
      <c r="G129">
        <v>2</v>
      </c>
      <c r="H129">
        <v>2</v>
      </c>
      <c r="I129">
        <v>1</v>
      </c>
      <c r="J129">
        <v>-1</v>
      </c>
      <c r="K129">
        <v>-1</v>
      </c>
      <c r="L129">
        <v>-1</v>
      </c>
      <c r="M129">
        <v>1</v>
      </c>
      <c r="N129">
        <v>-2</v>
      </c>
      <c r="O129">
        <v>1</v>
      </c>
      <c r="P129">
        <v>-1</v>
      </c>
      <c r="Q129">
        <v>1</v>
      </c>
      <c r="R129">
        <v>-1</v>
      </c>
      <c r="S129">
        <v>1</v>
      </c>
      <c r="T129">
        <v>-2</v>
      </c>
      <c r="U129">
        <v>-1</v>
      </c>
      <c r="V129">
        <v>-1</v>
      </c>
      <c r="W129">
        <v>-1</v>
      </c>
      <c r="X129">
        <v>-1</v>
      </c>
      <c r="Y129">
        <v>3</v>
      </c>
      <c r="Z129">
        <v>-1</v>
      </c>
      <c r="AA129">
        <v>1</v>
      </c>
      <c r="AB129">
        <v>-1</v>
      </c>
      <c r="AC129">
        <v>1</v>
      </c>
      <c r="AD129">
        <v>-1</v>
      </c>
      <c r="AE129">
        <v>-1</v>
      </c>
      <c r="AF129">
        <v>2</v>
      </c>
      <c r="AG129">
        <v>1</v>
      </c>
      <c r="AH129">
        <v>1</v>
      </c>
    </row>
    <row r="130" spans="1:34" x14ac:dyDescent="0.3">
      <c r="A130" s="42">
        <f t="shared" si="11"/>
        <v>48</v>
      </c>
      <c r="B130" s="44">
        <f t="shared" si="10"/>
        <v>-0.4375</v>
      </c>
      <c r="C130">
        <v>-1</v>
      </c>
      <c r="D130">
        <v>-1</v>
      </c>
      <c r="E130">
        <v>1</v>
      </c>
      <c r="F130">
        <v>1</v>
      </c>
      <c r="G130">
        <v>-2</v>
      </c>
      <c r="H130">
        <v>-2</v>
      </c>
      <c r="I130">
        <v>1</v>
      </c>
      <c r="J130">
        <v>-1</v>
      </c>
      <c r="K130">
        <v>-2</v>
      </c>
      <c r="L130">
        <v>-1</v>
      </c>
      <c r="M130">
        <v>1</v>
      </c>
      <c r="N130">
        <v>-1</v>
      </c>
      <c r="O130">
        <v>-1</v>
      </c>
      <c r="P130">
        <v>1</v>
      </c>
      <c r="Q130">
        <v>1</v>
      </c>
      <c r="R130">
        <v>-1</v>
      </c>
      <c r="S130">
        <v>-1</v>
      </c>
      <c r="T130">
        <v>-1</v>
      </c>
      <c r="U130">
        <v>1</v>
      </c>
      <c r="V130">
        <v>-1</v>
      </c>
      <c r="W130">
        <v>-2</v>
      </c>
      <c r="X130">
        <v>-1</v>
      </c>
      <c r="Y130">
        <v>3</v>
      </c>
      <c r="Z130">
        <v>-1</v>
      </c>
      <c r="AA130">
        <v>-1</v>
      </c>
      <c r="AB130">
        <v>-1</v>
      </c>
      <c r="AC130">
        <v>-1</v>
      </c>
      <c r="AD130">
        <v>-1</v>
      </c>
      <c r="AE130">
        <v>-1</v>
      </c>
      <c r="AF130">
        <v>2</v>
      </c>
      <c r="AG130">
        <v>-2</v>
      </c>
      <c r="AH130">
        <v>1</v>
      </c>
    </row>
    <row r="131" spans="1:34" x14ac:dyDescent="0.3">
      <c r="A131" s="42">
        <f t="shared" si="11"/>
        <v>49</v>
      </c>
      <c r="B131" s="44">
        <f t="shared" si="10"/>
        <v>-0.21875</v>
      </c>
      <c r="C131">
        <v>-2</v>
      </c>
      <c r="D131">
        <v>1</v>
      </c>
      <c r="E131">
        <v>1</v>
      </c>
      <c r="F131">
        <v>3</v>
      </c>
      <c r="G131">
        <v>-2</v>
      </c>
      <c r="H131">
        <v>-1</v>
      </c>
      <c r="I131">
        <v>1</v>
      </c>
      <c r="J131">
        <v>-1</v>
      </c>
      <c r="K131">
        <v>-1</v>
      </c>
      <c r="L131">
        <v>-1</v>
      </c>
      <c r="M131">
        <v>1</v>
      </c>
      <c r="N131">
        <v>-1</v>
      </c>
      <c r="O131">
        <v>1</v>
      </c>
      <c r="P131">
        <v>1</v>
      </c>
      <c r="Q131">
        <v>2</v>
      </c>
      <c r="R131">
        <v>-1</v>
      </c>
      <c r="S131">
        <v>1</v>
      </c>
      <c r="T131">
        <v>-2</v>
      </c>
      <c r="U131">
        <v>1</v>
      </c>
      <c r="V131">
        <v>2</v>
      </c>
      <c r="W131">
        <v>-1</v>
      </c>
      <c r="X131">
        <v>-1</v>
      </c>
      <c r="Y131">
        <v>-3</v>
      </c>
      <c r="Z131">
        <v>-1</v>
      </c>
      <c r="AA131">
        <v>-1</v>
      </c>
      <c r="AB131">
        <v>-3</v>
      </c>
      <c r="AC131">
        <v>1</v>
      </c>
      <c r="AD131">
        <v>-1</v>
      </c>
      <c r="AE131">
        <v>-1</v>
      </c>
      <c r="AF131">
        <v>1</v>
      </c>
      <c r="AG131">
        <v>-1</v>
      </c>
      <c r="AH131">
        <v>1</v>
      </c>
    </row>
    <row r="132" spans="1:34" x14ac:dyDescent="0.3">
      <c r="A132" s="42">
        <f t="shared" si="11"/>
        <v>50</v>
      </c>
      <c r="B132" s="44">
        <f t="shared" si="10"/>
        <v>-0.21875</v>
      </c>
      <c r="C132">
        <v>-2</v>
      </c>
      <c r="D132">
        <v>-1</v>
      </c>
      <c r="E132">
        <v>1</v>
      </c>
      <c r="F132">
        <v>-3</v>
      </c>
      <c r="G132">
        <v>-1</v>
      </c>
      <c r="H132">
        <v>1</v>
      </c>
      <c r="I132">
        <v>1</v>
      </c>
      <c r="J132">
        <v>-1</v>
      </c>
      <c r="K132">
        <v>-2</v>
      </c>
      <c r="L132">
        <v>-1</v>
      </c>
      <c r="M132">
        <v>1</v>
      </c>
      <c r="N132">
        <v>-1</v>
      </c>
      <c r="O132">
        <v>1</v>
      </c>
      <c r="P132">
        <v>1</v>
      </c>
      <c r="Q132">
        <v>2</v>
      </c>
      <c r="R132">
        <v>-1</v>
      </c>
      <c r="S132">
        <v>2</v>
      </c>
      <c r="T132">
        <v>-2</v>
      </c>
      <c r="U132">
        <v>2</v>
      </c>
      <c r="V132">
        <v>3</v>
      </c>
      <c r="W132">
        <v>-3</v>
      </c>
      <c r="X132">
        <v>-1</v>
      </c>
      <c r="Y132">
        <v>1</v>
      </c>
      <c r="Z132">
        <v>-1</v>
      </c>
      <c r="AA132">
        <v>-2</v>
      </c>
      <c r="AB132">
        <v>-2</v>
      </c>
      <c r="AC132">
        <v>1</v>
      </c>
      <c r="AD132">
        <v>-1</v>
      </c>
      <c r="AE132">
        <v>-1</v>
      </c>
      <c r="AF132">
        <v>2</v>
      </c>
      <c r="AG132">
        <v>-1</v>
      </c>
      <c r="AH132">
        <v>1</v>
      </c>
    </row>
    <row r="133" spans="1:34" x14ac:dyDescent="0.3">
      <c r="A133" s="42">
        <f t="shared" si="11"/>
        <v>51</v>
      </c>
      <c r="B133" s="44">
        <f t="shared" si="10"/>
        <v>-0.1875</v>
      </c>
      <c r="C133">
        <v>-3</v>
      </c>
      <c r="D133">
        <v>1</v>
      </c>
      <c r="E133">
        <v>1</v>
      </c>
      <c r="F133">
        <v>1</v>
      </c>
      <c r="G133">
        <v>1</v>
      </c>
      <c r="H133">
        <v>-1</v>
      </c>
      <c r="I133">
        <v>-1</v>
      </c>
      <c r="J133">
        <v>-1</v>
      </c>
      <c r="K133">
        <v>1</v>
      </c>
      <c r="L133">
        <v>-1</v>
      </c>
      <c r="M133">
        <v>1</v>
      </c>
      <c r="N133">
        <v>-1</v>
      </c>
      <c r="O133">
        <v>-1</v>
      </c>
      <c r="P133">
        <v>1</v>
      </c>
      <c r="Q133">
        <v>1</v>
      </c>
      <c r="R133">
        <v>-1</v>
      </c>
      <c r="S133">
        <v>1</v>
      </c>
      <c r="T133">
        <v>-1</v>
      </c>
      <c r="U133">
        <v>1</v>
      </c>
      <c r="V133">
        <v>-1</v>
      </c>
      <c r="W133">
        <v>-2</v>
      </c>
      <c r="X133">
        <v>-1</v>
      </c>
      <c r="Y133">
        <v>2</v>
      </c>
      <c r="Z133">
        <v>-1</v>
      </c>
      <c r="AA133">
        <v>-1</v>
      </c>
      <c r="AB133">
        <v>-1</v>
      </c>
      <c r="AC133">
        <v>1</v>
      </c>
      <c r="AD133">
        <v>-1</v>
      </c>
      <c r="AE133">
        <v>-1</v>
      </c>
      <c r="AF133">
        <v>2</v>
      </c>
      <c r="AG133">
        <v>-2</v>
      </c>
      <c r="AH133">
        <v>1</v>
      </c>
    </row>
    <row r="134" spans="1:34" x14ac:dyDescent="0.3">
      <c r="A134" s="42">
        <f t="shared" si="11"/>
        <v>52</v>
      </c>
      <c r="B134" s="44">
        <f t="shared" si="10"/>
        <v>-0.125</v>
      </c>
      <c r="C134">
        <v>-3</v>
      </c>
      <c r="D134">
        <v>-1</v>
      </c>
      <c r="E134">
        <v>2</v>
      </c>
      <c r="F134">
        <v>-2</v>
      </c>
      <c r="G134">
        <v>-3</v>
      </c>
      <c r="H134">
        <v>-3</v>
      </c>
      <c r="I134">
        <v>1</v>
      </c>
      <c r="J134">
        <v>-1</v>
      </c>
      <c r="K134">
        <v>1</v>
      </c>
      <c r="L134">
        <v>-1</v>
      </c>
      <c r="M134">
        <v>2</v>
      </c>
      <c r="N134">
        <v>-1</v>
      </c>
      <c r="O134">
        <v>1</v>
      </c>
      <c r="P134">
        <v>1</v>
      </c>
      <c r="Q134">
        <v>1</v>
      </c>
      <c r="R134">
        <v>-1</v>
      </c>
      <c r="S134">
        <v>1</v>
      </c>
      <c r="T134">
        <v>1</v>
      </c>
      <c r="U134">
        <v>-1</v>
      </c>
      <c r="V134">
        <v>-2</v>
      </c>
      <c r="W134">
        <v>-1</v>
      </c>
      <c r="X134">
        <v>-1</v>
      </c>
      <c r="Y134">
        <v>3</v>
      </c>
      <c r="Z134">
        <v>2</v>
      </c>
      <c r="AA134">
        <v>-2</v>
      </c>
      <c r="AB134">
        <v>1</v>
      </c>
      <c r="AC134">
        <v>2</v>
      </c>
      <c r="AD134">
        <v>-3</v>
      </c>
      <c r="AE134">
        <v>-1</v>
      </c>
      <c r="AF134">
        <v>1</v>
      </c>
      <c r="AG134">
        <v>2</v>
      </c>
      <c r="AH134">
        <v>1</v>
      </c>
    </row>
    <row r="135" spans="1:34" x14ac:dyDescent="0.3">
      <c r="A135" s="42">
        <f t="shared" si="11"/>
        <v>53</v>
      </c>
      <c r="B135" s="44">
        <f t="shared" si="10"/>
        <v>-0.46875</v>
      </c>
      <c r="C135">
        <v>-2</v>
      </c>
      <c r="D135">
        <v>1</v>
      </c>
      <c r="E135">
        <v>1</v>
      </c>
      <c r="F135">
        <v>3</v>
      </c>
      <c r="G135">
        <v>-2</v>
      </c>
      <c r="H135">
        <v>-2</v>
      </c>
      <c r="I135">
        <v>1</v>
      </c>
      <c r="J135">
        <v>-2</v>
      </c>
      <c r="K135">
        <v>-1</v>
      </c>
      <c r="L135">
        <v>-1</v>
      </c>
      <c r="M135">
        <v>1</v>
      </c>
      <c r="N135">
        <v>-2</v>
      </c>
      <c r="O135">
        <v>-1</v>
      </c>
      <c r="P135">
        <v>1</v>
      </c>
      <c r="Q135">
        <v>1</v>
      </c>
      <c r="R135">
        <v>-1</v>
      </c>
      <c r="S135">
        <v>-1</v>
      </c>
      <c r="T135">
        <v>-2</v>
      </c>
      <c r="U135">
        <v>-1</v>
      </c>
      <c r="V135">
        <v>-1</v>
      </c>
      <c r="W135">
        <v>-1</v>
      </c>
      <c r="X135">
        <v>-1</v>
      </c>
      <c r="Y135">
        <v>3</v>
      </c>
      <c r="Z135">
        <v>-1</v>
      </c>
      <c r="AA135">
        <v>-1</v>
      </c>
      <c r="AB135">
        <v>-2</v>
      </c>
      <c r="AC135">
        <v>1</v>
      </c>
      <c r="AD135">
        <v>-1</v>
      </c>
      <c r="AE135">
        <v>-1</v>
      </c>
      <c r="AF135">
        <v>-1</v>
      </c>
      <c r="AG135">
        <v>-1</v>
      </c>
      <c r="AH135">
        <v>1</v>
      </c>
    </row>
    <row r="136" spans="1:34" x14ac:dyDescent="0.3">
      <c r="A136" s="42">
        <f t="shared" si="11"/>
        <v>54</v>
      </c>
      <c r="B136" s="44">
        <f t="shared" si="10"/>
        <v>-0.625</v>
      </c>
      <c r="C136">
        <v>1</v>
      </c>
      <c r="D136">
        <v>-1</v>
      </c>
      <c r="E136">
        <v>1</v>
      </c>
      <c r="F136">
        <v>1</v>
      </c>
      <c r="G136">
        <v>-2</v>
      </c>
      <c r="H136">
        <v>-1</v>
      </c>
      <c r="I136">
        <v>-1</v>
      </c>
      <c r="J136">
        <v>-1</v>
      </c>
      <c r="K136">
        <v>-2</v>
      </c>
      <c r="L136">
        <v>-1</v>
      </c>
      <c r="M136">
        <v>1</v>
      </c>
      <c r="N136">
        <v>-1</v>
      </c>
      <c r="O136">
        <v>1</v>
      </c>
      <c r="P136">
        <v>1</v>
      </c>
      <c r="Q136">
        <v>1</v>
      </c>
      <c r="R136">
        <v>-1</v>
      </c>
      <c r="S136">
        <v>-1</v>
      </c>
      <c r="T136">
        <v>-2</v>
      </c>
      <c r="U136">
        <v>1</v>
      </c>
      <c r="V136">
        <v>-1</v>
      </c>
      <c r="W136">
        <v>-3</v>
      </c>
      <c r="X136">
        <v>-1</v>
      </c>
      <c r="Y136">
        <v>-2</v>
      </c>
      <c r="Z136">
        <v>-1</v>
      </c>
      <c r="AA136">
        <v>-2</v>
      </c>
      <c r="AB136">
        <v>-2</v>
      </c>
      <c r="AC136">
        <v>-2</v>
      </c>
      <c r="AD136">
        <v>-2</v>
      </c>
      <c r="AE136">
        <v>-1</v>
      </c>
      <c r="AF136">
        <v>1</v>
      </c>
      <c r="AG136">
        <v>1</v>
      </c>
      <c r="AH136">
        <v>1</v>
      </c>
    </row>
    <row r="137" spans="1:34" x14ac:dyDescent="0.3">
      <c r="A137" s="42">
        <f t="shared" si="11"/>
        <v>55</v>
      </c>
      <c r="B137" s="44">
        <f t="shared" si="10"/>
        <v>0.5625</v>
      </c>
      <c r="C137">
        <v>-3</v>
      </c>
      <c r="D137">
        <v>1</v>
      </c>
      <c r="E137">
        <v>2</v>
      </c>
      <c r="F137">
        <v>-3</v>
      </c>
      <c r="G137">
        <v>1</v>
      </c>
      <c r="H137">
        <v>2</v>
      </c>
      <c r="I137">
        <v>3</v>
      </c>
      <c r="J137">
        <v>1</v>
      </c>
      <c r="K137">
        <v>1</v>
      </c>
      <c r="L137">
        <v>-2</v>
      </c>
      <c r="M137">
        <v>2</v>
      </c>
      <c r="N137">
        <v>-1</v>
      </c>
      <c r="O137">
        <v>-1</v>
      </c>
      <c r="P137">
        <v>1</v>
      </c>
      <c r="Q137">
        <v>1</v>
      </c>
      <c r="R137">
        <v>-1</v>
      </c>
      <c r="S137">
        <v>1</v>
      </c>
      <c r="T137">
        <v>1</v>
      </c>
      <c r="U137">
        <v>1</v>
      </c>
      <c r="V137">
        <v>3</v>
      </c>
      <c r="W137">
        <v>-2</v>
      </c>
      <c r="X137">
        <v>-1</v>
      </c>
      <c r="Y137">
        <v>3</v>
      </c>
      <c r="Z137">
        <v>2</v>
      </c>
      <c r="AA137">
        <v>-1</v>
      </c>
      <c r="AB137">
        <v>1</v>
      </c>
      <c r="AC137">
        <v>3</v>
      </c>
      <c r="AD137">
        <v>1</v>
      </c>
      <c r="AE137">
        <v>-1</v>
      </c>
      <c r="AF137">
        <v>1</v>
      </c>
      <c r="AG137">
        <v>1</v>
      </c>
      <c r="AH137">
        <v>1</v>
      </c>
    </row>
    <row r="138" spans="1:34" x14ac:dyDescent="0.3">
      <c r="A138" s="42">
        <f t="shared" si="11"/>
        <v>56</v>
      </c>
      <c r="B138" s="44">
        <f t="shared" si="10"/>
        <v>-0.125</v>
      </c>
      <c r="C138">
        <v>-1</v>
      </c>
      <c r="D138">
        <v>-1</v>
      </c>
      <c r="E138">
        <v>1</v>
      </c>
      <c r="F138">
        <v>3</v>
      </c>
      <c r="G138">
        <v>1</v>
      </c>
      <c r="H138">
        <v>2</v>
      </c>
      <c r="I138">
        <v>1</v>
      </c>
      <c r="J138">
        <v>-1</v>
      </c>
      <c r="K138">
        <v>-2</v>
      </c>
      <c r="L138">
        <v>-1</v>
      </c>
      <c r="M138">
        <v>1</v>
      </c>
      <c r="N138">
        <v>-1</v>
      </c>
      <c r="O138">
        <v>1</v>
      </c>
      <c r="P138">
        <v>1</v>
      </c>
      <c r="Q138">
        <v>2</v>
      </c>
      <c r="R138">
        <v>-1</v>
      </c>
      <c r="S138">
        <v>1</v>
      </c>
      <c r="T138">
        <v>-2</v>
      </c>
      <c r="U138">
        <v>-1</v>
      </c>
      <c r="V138">
        <v>-2</v>
      </c>
      <c r="W138">
        <v>-1</v>
      </c>
      <c r="X138">
        <v>-1</v>
      </c>
      <c r="Y138">
        <v>-3</v>
      </c>
      <c r="Z138">
        <v>1</v>
      </c>
      <c r="AA138">
        <v>-1</v>
      </c>
      <c r="AB138">
        <v>-2</v>
      </c>
      <c r="AC138">
        <v>-1</v>
      </c>
      <c r="AD138">
        <v>1</v>
      </c>
      <c r="AE138">
        <v>-1</v>
      </c>
      <c r="AF138">
        <v>1</v>
      </c>
      <c r="AG138">
        <v>1</v>
      </c>
      <c r="AH138">
        <v>1</v>
      </c>
    </row>
    <row r="139" spans="1:34" x14ac:dyDescent="0.3">
      <c r="A139" s="42">
        <f t="shared" si="11"/>
        <v>57</v>
      </c>
      <c r="B139" s="44">
        <f t="shared" si="10"/>
        <v>-6.25E-2</v>
      </c>
      <c r="C139">
        <v>-1</v>
      </c>
      <c r="D139">
        <v>-1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-1</v>
      </c>
      <c r="K139">
        <v>-2</v>
      </c>
      <c r="L139">
        <v>-2</v>
      </c>
      <c r="M139">
        <v>2</v>
      </c>
      <c r="N139">
        <v>-1</v>
      </c>
      <c r="O139">
        <v>1</v>
      </c>
      <c r="P139">
        <v>1</v>
      </c>
      <c r="Q139">
        <v>2</v>
      </c>
      <c r="R139">
        <v>-1</v>
      </c>
      <c r="S139">
        <v>1</v>
      </c>
      <c r="T139">
        <v>-1</v>
      </c>
      <c r="U139">
        <v>1</v>
      </c>
      <c r="V139">
        <v>-2</v>
      </c>
      <c r="W139">
        <v>-2</v>
      </c>
      <c r="X139">
        <v>-1</v>
      </c>
      <c r="Y139">
        <v>3</v>
      </c>
      <c r="Z139">
        <v>2</v>
      </c>
      <c r="AA139">
        <v>-1</v>
      </c>
      <c r="AB139">
        <v>-2</v>
      </c>
      <c r="AC139">
        <v>-1</v>
      </c>
      <c r="AD139">
        <v>-1</v>
      </c>
      <c r="AE139">
        <v>-1</v>
      </c>
      <c r="AF139">
        <v>1</v>
      </c>
      <c r="AG139">
        <v>-1</v>
      </c>
      <c r="AH139">
        <v>1</v>
      </c>
    </row>
    <row r="140" spans="1:34" x14ac:dyDescent="0.3">
      <c r="A140" s="42">
        <f t="shared" si="11"/>
        <v>58</v>
      </c>
      <c r="B140" s="44">
        <f t="shared" si="10"/>
        <v>-0.25</v>
      </c>
      <c r="C140">
        <v>-3</v>
      </c>
      <c r="D140">
        <v>1</v>
      </c>
      <c r="E140">
        <v>1</v>
      </c>
      <c r="F140">
        <v>2</v>
      </c>
      <c r="G140">
        <v>2</v>
      </c>
      <c r="H140">
        <v>-3</v>
      </c>
      <c r="I140">
        <v>1</v>
      </c>
      <c r="J140">
        <v>-1</v>
      </c>
      <c r="K140">
        <v>-2</v>
      </c>
      <c r="L140">
        <v>-2</v>
      </c>
      <c r="M140">
        <v>1</v>
      </c>
      <c r="N140">
        <v>-1</v>
      </c>
      <c r="O140">
        <v>-1</v>
      </c>
      <c r="P140">
        <v>-1</v>
      </c>
      <c r="Q140">
        <v>2</v>
      </c>
      <c r="R140">
        <v>-1</v>
      </c>
      <c r="S140">
        <v>1</v>
      </c>
      <c r="T140">
        <v>-1</v>
      </c>
      <c r="U140">
        <v>2</v>
      </c>
      <c r="V140">
        <v>3</v>
      </c>
      <c r="W140">
        <v>-2</v>
      </c>
      <c r="X140">
        <v>-1</v>
      </c>
      <c r="Y140">
        <v>-3</v>
      </c>
      <c r="Z140">
        <v>2</v>
      </c>
      <c r="AA140">
        <v>-1</v>
      </c>
      <c r="AB140">
        <v>-1</v>
      </c>
      <c r="AC140">
        <v>-1</v>
      </c>
      <c r="AD140">
        <v>-2</v>
      </c>
      <c r="AE140">
        <v>1</v>
      </c>
      <c r="AF140">
        <v>1</v>
      </c>
      <c r="AG140">
        <v>-3</v>
      </c>
      <c r="AH140">
        <v>2</v>
      </c>
    </row>
    <row r="141" spans="1:34" x14ac:dyDescent="0.3">
      <c r="A141" s="42">
        <f t="shared" si="11"/>
        <v>59</v>
      </c>
      <c r="B141" s="44">
        <f t="shared" si="10"/>
        <v>-0.40625</v>
      </c>
      <c r="C141">
        <v>-1</v>
      </c>
      <c r="D141">
        <v>1</v>
      </c>
      <c r="E141">
        <v>1</v>
      </c>
      <c r="F141">
        <v>-2</v>
      </c>
      <c r="G141">
        <v>-3</v>
      </c>
      <c r="H141">
        <v>2</v>
      </c>
      <c r="I141">
        <v>1</v>
      </c>
      <c r="J141">
        <v>-1</v>
      </c>
      <c r="K141">
        <v>-2</v>
      </c>
      <c r="L141">
        <v>-2</v>
      </c>
      <c r="M141">
        <v>1</v>
      </c>
      <c r="N141">
        <v>-1</v>
      </c>
      <c r="O141">
        <v>-1</v>
      </c>
      <c r="P141">
        <v>1</v>
      </c>
      <c r="Q141">
        <v>3</v>
      </c>
      <c r="R141">
        <v>-1</v>
      </c>
      <c r="S141">
        <v>1</v>
      </c>
      <c r="T141">
        <v>-1</v>
      </c>
      <c r="U141">
        <v>1</v>
      </c>
      <c r="V141">
        <v>-3</v>
      </c>
      <c r="W141">
        <v>-3</v>
      </c>
      <c r="X141">
        <v>-1</v>
      </c>
      <c r="Y141">
        <v>-3</v>
      </c>
      <c r="Z141">
        <v>-1</v>
      </c>
      <c r="AA141">
        <v>-1</v>
      </c>
      <c r="AB141">
        <v>-2</v>
      </c>
      <c r="AC141">
        <v>2</v>
      </c>
      <c r="AD141">
        <v>1</v>
      </c>
      <c r="AE141">
        <v>-2</v>
      </c>
      <c r="AF141">
        <v>1</v>
      </c>
      <c r="AG141">
        <v>1</v>
      </c>
      <c r="AH141">
        <v>1</v>
      </c>
    </row>
    <row r="142" spans="1:34" x14ac:dyDescent="0.3">
      <c r="A142" s="42">
        <f t="shared" si="11"/>
        <v>60</v>
      </c>
      <c r="B142" s="44">
        <f t="shared" si="10"/>
        <v>0.40625</v>
      </c>
      <c r="C142">
        <v>-3</v>
      </c>
      <c r="D142">
        <v>2</v>
      </c>
      <c r="E142">
        <v>2</v>
      </c>
      <c r="F142">
        <v>3</v>
      </c>
      <c r="G142">
        <v>1</v>
      </c>
      <c r="H142">
        <v>3</v>
      </c>
      <c r="I142">
        <v>2</v>
      </c>
      <c r="J142">
        <v>1</v>
      </c>
      <c r="K142">
        <v>-1</v>
      </c>
      <c r="L142">
        <v>-1</v>
      </c>
      <c r="M142">
        <v>1</v>
      </c>
      <c r="N142">
        <v>-1</v>
      </c>
      <c r="O142">
        <v>-1</v>
      </c>
      <c r="P142">
        <v>1</v>
      </c>
      <c r="Q142">
        <v>2</v>
      </c>
      <c r="R142">
        <v>-1</v>
      </c>
      <c r="S142">
        <v>2</v>
      </c>
      <c r="T142">
        <v>-1</v>
      </c>
      <c r="U142">
        <v>1</v>
      </c>
      <c r="V142">
        <v>2</v>
      </c>
      <c r="W142">
        <v>-3</v>
      </c>
      <c r="X142">
        <v>-1</v>
      </c>
      <c r="Y142">
        <v>-3</v>
      </c>
      <c r="Z142">
        <v>-1</v>
      </c>
      <c r="AA142">
        <v>1</v>
      </c>
      <c r="AB142">
        <v>-2</v>
      </c>
      <c r="AC142">
        <v>3</v>
      </c>
      <c r="AD142">
        <v>1</v>
      </c>
      <c r="AE142">
        <v>-1</v>
      </c>
      <c r="AF142">
        <v>2</v>
      </c>
      <c r="AG142">
        <v>1</v>
      </c>
      <c r="AH142">
        <v>2</v>
      </c>
    </row>
    <row r="143" spans="1:34" x14ac:dyDescent="0.3">
      <c r="A143" s="42">
        <f t="shared" si="11"/>
        <v>61</v>
      </c>
      <c r="B143" s="44">
        <f t="shared" si="10"/>
        <v>3.125E-2</v>
      </c>
      <c r="C143">
        <v>-2</v>
      </c>
      <c r="D143">
        <v>1</v>
      </c>
      <c r="E143">
        <v>3</v>
      </c>
      <c r="F143">
        <v>3</v>
      </c>
      <c r="G143">
        <v>-1</v>
      </c>
      <c r="H143">
        <v>2</v>
      </c>
      <c r="I143">
        <v>1</v>
      </c>
      <c r="J143">
        <v>-1</v>
      </c>
      <c r="K143">
        <v>-2</v>
      </c>
      <c r="L143">
        <v>-1</v>
      </c>
      <c r="M143">
        <v>1</v>
      </c>
      <c r="N143">
        <v>-1</v>
      </c>
      <c r="O143">
        <v>-1</v>
      </c>
      <c r="P143">
        <v>-1</v>
      </c>
      <c r="Q143">
        <v>1</v>
      </c>
      <c r="R143">
        <v>-1</v>
      </c>
      <c r="S143">
        <v>2</v>
      </c>
      <c r="T143">
        <v>-1</v>
      </c>
      <c r="U143">
        <v>-1</v>
      </c>
      <c r="V143">
        <v>1</v>
      </c>
      <c r="W143">
        <v>-3</v>
      </c>
      <c r="X143">
        <v>-1</v>
      </c>
      <c r="Y143">
        <v>3</v>
      </c>
      <c r="Z143">
        <v>-1</v>
      </c>
      <c r="AA143">
        <v>-1</v>
      </c>
      <c r="AB143">
        <v>-2</v>
      </c>
      <c r="AC143">
        <v>1</v>
      </c>
      <c r="AD143">
        <v>-1</v>
      </c>
      <c r="AE143">
        <v>-1</v>
      </c>
      <c r="AF143">
        <v>2</v>
      </c>
      <c r="AG143">
        <v>2</v>
      </c>
      <c r="AH143">
        <v>1</v>
      </c>
    </row>
    <row r="144" spans="1:34" x14ac:dyDescent="0.3">
      <c r="A144" s="42">
        <f t="shared" si="11"/>
        <v>62</v>
      </c>
      <c r="B144" s="44">
        <f t="shared" si="10"/>
        <v>-0.1875</v>
      </c>
      <c r="C144">
        <v>-3</v>
      </c>
      <c r="D144">
        <v>1</v>
      </c>
      <c r="E144">
        <v>3</v>
      </c>
      <c r="F144">
        <v>3</v>
      </c>
      <c r="G144">
        <v>3</v>
      </c>
      <c r="H144">
        <v>-2</v>
      </c>
      <c r="I144">
        <v>1</v>
      </c>
      <c r="J144">
        <v>1</v>
      </c>
      <c r="K144">
        <v>-2</v>
      </c>
      <c r="L144">
        <v>-1</v>
      </c>
      <c r="M144">
        <v>1</v>
      </c>
      <c r="N144">
        <v>-1</v>
      </c>
      <c r="O144">
        <v>1</v>
      </c>
      <c r="P144">
        <v>1</v>
      </c>
      <c r="Q144">
        <v>1</v>
      </c>
      <c r="R144">
        <v>-2</v>
      </c>
      <c r="S144">
        <v>1</v>
      </c>
      <c r="T144">
        <v>-1</v>
      </c>
      <c r="U144">
        <v>-1</v>
      </c>
      <c r="V144">
        <v>1</v>
      </c>
      <c r="W144">
        <v>-3</v>
      </c>
      <c r="X144">
        <v>-1</v>
      </c>
      <c r="Y144">
        <v>-3</v>
      </c>
      <c r="Z144">
        <v>1</v>
      </c>
      <c r="AA144">
        <v>-1</v>
      </c>
      <c r="AB144">
        <v>-2</v>
      </c>
      <c r="AC144">
        <v>2</v>
      </c>
      <c r="AD144">
        <v>-3</v>
      </c>
      <c r="AE144">
        <v>-1</v>
      </c>
      <c r="AF144">
        <v>2</v>
      </c>
      <c r="AG144">
        <v>-3</v>
      </c>
      <c r="AH144">
        <v>1</v>
      </c>
    </row>
    <row r="145" spans="1:34" x14ac:dyDescent="0.3">
      <c r="A145" s="42">
        <f t="shared" si="11"/>
        <v>63</v>
      </c>
      <c r="B145" s="44">
        <f t="shared" si="10"/>
        <v>-0.1875</v>
      </c>
      <c r="C145">
        <v>-2</v>
      </c>
      <c r="D145">
        <v>2</v>
      </c>
      <c r="E145">
        <v>3</v>
      </c>
      <c r="F145">
        <v>2</v>
      </c>
      <c r="G145">
        <v>1</v>
      </c>
      <c r="H145">
        <v>-3</v>
      </c>
      <c r="I145">
        <v>1</v>
      </c>
      <c r="J145">
        <v>-1</v>
      </c>
      <c r="K145">
        <v>-2</v>
      </c>
      <c r="L145">
        <v>1</v>
      </c>
      <c r="M145">
        <v>2</v>
      </c>
      <c r="N145">
        <v>-1</v>
      </c>
      <c r="O145">
        <v>-1</v>
      </c>
      <c r="P145">
        <v>1</v>
      </c>
      <c r="Q145">
        <v>1</v>
      </c>
      <c r="R145">
        <v>1</v>
      </c>
      <c r="S145">
        <v>1</v>
      </c>
      <c r="T145">
        <v>-1</v>
      </c>
      <c r="U145">
        <v>-1</v>
      </c>
      <c r="V145">
        <v>-3</v>
      </c>
      <c r="W145">
        <v>-2</v>
      </c>
      <c r="X145">
        <v>-1</v>
      </c>
      <c r="Y145">
        <v>-3</v>
      </c>
      <c r="Z145">
        <v>2</v>
      </c>
      <c r="AA145">
        <v>-1</v>
      </c>
      <c r="AB145">
        <v>-2</v>
      </c>
      <c r="AC145">
        <v>-1</v>
      </c>
      <c r="AD145">
        <v>1</v>
      </c>
      <c r="AE145">
        <v>-1</v>
      </c>
      <c r="AF145">
        <v>2</v>
      </c>
      <c r="AG145">
        <v>-2</v>
      </c>
      <c r="AH145">
        <v>1</v>
      </c>
    </row>
    <row r="146" spans="1:34" x14ac:dyDescent="0.3">
      <c r="A146" s="42">
        <f t="shared" si="11"/>
        <v>64</v>
      </c>
      <c r="B146" s="44">
        <f t="shared" si="10"/>
        <v>-0.5625</v>
      </c>
      <c r="C146">
        <v>-2</v>
      </c>
      <c r="D146">
        <v>1</v>
      </c>
      <c r="E146">
        <v>2</v>
      </c>
      <c r="F146">
        <v>-3</v>
      </c>
      <c r="G146">
        <v>1</v>
      </c>
      <c r="H146">
        <v>-3</v>
      </c>
      <c r="I146">
        <v>1</v>
      </c>
      <c r="J146">
        <v>-1</v>
      </c>
      <c r="K146">
        <v>-1</v>
      </c>
      <c r="L146">
        <v>-1</v>
      </c>
      <c r="M146">
        <v>2</v>
      </c>
      <c r="N146">
        <v>-1</v>
      </c>
      <c r="O146">
        <v>-1</v>
      </c>
      <c r="P146">
        <v>1</v>
      </c>
      <c r="Q146">
        <v>1</v>
      </c>
      <c r="R146">
        <v>-1</v>
      </c>
      <c r="S146">
        <v>1</v>
      </c>
      <c r="T146">
        <v>-2</v>
      </c>
      <c r="U146">
        <v>1</v>
      </c>
      <c r="V146">
        <v>-2</v>
      </c>
      <c r="W146">
        <v>-2</v>
      </c>
      <c r="X146">
        <v>-2</v>
      </c>
      <c r="Y146">
        <v>-2</v>
      </c>
      <c r="Z146">
        <v>-1</v>
      </c>
      <c r="AA146">
        <v>-1</v>
      </c>
      <c r="AB146">
        <v>-1</v>
      </c>
      <c r="AC146">
        <v>-1</v>
      </c>
      <c r="AD146">
        <v>-1</v>
      </c>
      <c r="AE146">
        <v>-1</v>
      </c>
      <c r="AF146">
        <v>2</v>
      </c>
      <c r="AG146">
        <v>-2</v>
      </c>
      <c r="AH146">
        <v>1</v>
      </c>
    </row>
    <row r="147" spans="1:34" x14ac:dyDescent="0.3">
      <c r="A147" s="42">
        <f t="shared" si="11"/>
        <v>65</v>
      </c>
      <c r="B147" s="44">
        <f t="shared" si="10"/>
        <v>-0.1875</v>
      </c>
      <c r="C147">
        <v>-2</v>
      </c>
      <c r="D147">
        <v>1</v>
      </c>
      <c r="E147">
        <v>2</v>
      </c>
      <c r="F147">
        <v>-3</v>
      </c>
      <c r="G147">
        <v>1</v>
      </c>
      <c r="H147">
        <v>-2</v>
      </c>
      <c r="I147">
        <v>1</v>
      </c>
      <c r="J147">
        <v>-1</v>
      </c>
      <c r="K147">
        <v>-1</v>
      </c>
      <c r="L147">
        <v>-1</v>
      </c>
      <c r="M147">
        <v>2</v>
      </c>
      <c r="N147">
        <v>-1</v>
      </c>
      <c r="O147">
        <v>1</v>
      </c>
      <c r="P147">
        <v>1</v>
      </c>
      <c r="Q147">
        <v>1</v>
      </c>
      <c r="R147">
        <v>-1</v>
      </c>
      <c r="S147">
        <v>1</v>
      </c>
      <c r="T147">
        <v>-1</v>
      </c>
      <c r="U147">
        <v>1</v>
      </c>
      <c r="V147">
        <v>-2</v>
      </c>
      <c r="W147">
        <v>-2</v>
      </c>
      <c r="X147">
        <v>-1</v>
      </c>
      <c r="Y147">
        <v>-3</v>
      </c>
      <c r="Z147">
        <v>1</v>
      </c>
      <c r="AA147">
        <v>-2</v>
      </c>
      <c r="AB147">
        <v>-1</v>
      </c>
      <c r="AC147">
        <v>3</v>
      </c>
      <c r="AD147">
        <v>-1</v>
      </c>
      <c r="AE147">
        <v>1</v>
      </c>
      <c r="AF147">
        <v>2</v>
      </c>
      <c r="AG147">
        <v>-1</v>
      </c>
      <c r="AH147">
        <v>1</v>
      </c>
    </row>
    <row r="148" spans="1:34" x14ac:dyDescent="0.3">
      <c r="A148" s="42">
        <f t="shared" si="11"/>
        <v>66</v>
      </c>
      <c r="B148" s="44">
        <f t="shared" ref="B148:B154" si="12" xml:space="preserve"> AVERAGE($C148:$AH148)</f>
        <v>-0.625</v>
      </c>
      <c r="C148">
        <v>-2</v>
      </c>
      <c r="D148">
        <v>1</v>
      </c>
      <c r="E148">
        <v>1</v>
      </c>
      <c r="F148">
        <v>-3</v>
      </c>
      <c r="G148">
        <v>-3</v>
      </c>
      <c r="H148">
        <v>-3</v>
      </c>
      <c r="I148">
        <v>2</v>
      </c>
      <c r="J148">
        <v>-1</v>
      </c>
      <c r="K148">
        <v>1</v>
      </c>
      <c r="L148">
        <v>-2</v>
      </c>
      <c r="M148">
        <v>2</v>
      </c>
      <c r="N148">
        <v>-1</v>
      </c>
      <c r="O148">
        <v>1</v>
      </c>
      <c r="P148">
        <v>1</v>
      </c>
      <c r="Q148">
        <v>1</v>
      </c>
      <c r="R148">
        <v>-1</v>
      </c>
      <c r="S148">
        <v>1</v>
      </c>
      <c r="T148">
        <v>-1</v>
      </c>
      <c r="U148">
        <v>1</v>
      </c>
      <c r="V148">
        <v>-3</v>
      </c>
      <c r="W148">
        <v>-3</v>
      </c>
      <c r="X148">
        <v>-1</v>
      </c>
      <c r="Y148">
        <v>-3</v>
      </c>
      <c r="Z148">
        <v>1</v>
      </c>
      <c r="AA148">
        <v>-2</v>
      </c>
      <c r="AB148">
        <v>-1</v>
      </c>
      <c r="AC148">
        <v>-1</v>
      </c>
      <c r="AD148">
        <v>-2</v>
      </c>
      <c r="AE148">
        <v>-1</v>
      </c>
      <c r="AF148">
        <v>2</v>
      </c>
      <c r="AG148">
        <v>-2</v>
      </c>
      <c r="AH148">
        <v>1</v>
      </c>
    </row>
    <row r="149" spans="1:34" x14ac:dyDescent="0.3">
      <c r="A149" s="42">
        <f t="shared" ref="A149:A154" si="13" xml:space="preserve"> A148 + 1</f>
        <v>67</v>
      </c>
      <c r="B149" s="44">
        <f t="shared" si="12"/>
        <v>-0.53125</v>
      </c>
      <c r="C149">
        <v>-1</v>
      </c>
      <c r="D149">
        <v>1</v>
      </c>
      <c r="E149">
        <v>1</v>
      </c>
      <c r="F149">
        <v>-3</v>
      </c>
      <c r="G149">
        <v>-3</v>
      </c>
      <c r="H149">
        <v>-3</v>
      </c>
      <c r="I149">
        <v>2</v>
      </c>
      <c r="J149">
        <v>-1</v>
      </c>
      <c r="K149">
        <v>1</v>
      </c>
      <c r="L149">
        <v>-3</v>
      </c>
      <c r="M149">
        <v>2</v>
      </c>
      <c r="N149">
        <v>-1</v>
      </c>
      <c r="O149">
        <v>1</v>
      </c>
      <c r="P149">
        <v>1</v>
      </c>
      <c r="Q149">
        <v>1</v>
      </c>
      <c r="R149">
        <v>-1</v>
      </c>
      <c r="S149">
        <v>1</v>
      </c>
      <c r="T149">
        <v>-1</v>
      </c>
      <c r="U149">
        <v>-1</v>
      </c>
      <c r="V149">
        <v>1</v>
      </c>
      <c r="W149">
        <v>-2</v>
      </c>
      <c r="X149">
        <v>-1</v>
      </c>
      <c r="Y149">
        <v>-3</v>
      </c>
      <c r="Z149">
        <v>3</v>
      </c>
      <c r="AA149">
        <v>-2</v>
      </c>
      <c r="AB149">
        <v>-1</v>
      </c>
      <c r="AC149">
        <v>-1</v>
      </c>
      <c r="AD149">
        <v>-3</v>
      </c>
      <c r="AE149">
        <v>-1</v>
      </c>
      <c r="AF149">
        <v>2</v>
      </c>
      <c r="AG149">
        <v>-3</v>
      </c>
      <c r="AH149">
        <v>1</v>
      </c>
    </row>
    <row r="150" spans="1:34" x14ac:dyDescent="0.3">
      <c r="A150" s="42">
        <f t="shared" si="13"/>
        <v>68</v>
      </c>
      <c r="B150" s="44">
        <f t="shared" si="12"/>
        <v>-0.4375</v>
      </c>
      <c r="C150">
        <v>-2</v>
      </c>
      <c r="D150">
        <v>1</v>
      </c>
      <c r="E150">
        <v>1</v>
      </c>
      <c r="F150">
        <v>-3</v>
      </c>
      <c r="G150">
        <v>-3</v>
      </c>
      <c r="H150">
        <v>-3</v>
      </c>
      <c r="I150">
        <v>1</v>
      </c>
      <c r="J150">
        <v>-1</v>
      </c>
      <c r="K150">
        <v>1</v>
      </c>
      <c r="L150">
        <v>-3</v>
      </c>
      <c r="M150">
        <v>2</v>
      </c>
      <c r="N150">
        <v>-1</v>
      </c>
      <c r="O150">
        <v>1</v>
      </c>
      <c r="P150">
        <v>1</v>
      </c>
      <c r="Q150">
        <v>1</v>
      </c>
      <c r="R150">
        <v>-1</v>
      </c>
      <c r="S150">
        <v>2</v>
      </c>
      <c r="T150">
        <v>-1</v>
      </c>
      <c r="U150">
        <v>1</v>
      </c>
      <c r="V150">
        <v>1</v>
      </c>
      <c r="W150">
        <v>-3</v>
      </c>
      <c r="X150">
        <v>-1</v>
      </c>
      <c r="Y150">
        <v>-3</v>
      </c>
      <c r="Z150">
        <v>3</v>
      </c>
      <c r="AA150">
        <v>-1</v>
      </c>
      <c r="AB150">
        <v>-1</v>
      </c>
      <c r="AC150">
        <v>-1</v>
      </c>
      <c r="AD150">
        <v>-1</v>
      </c>
      <c r="AE150">
        <v>-1</v>
      </c>
      <c r="AF150">
        <v>1</v>
      </c>
      <c r="AG150">
        <v>-3</v>
      </c>
      <c r="AH150">
        <v>2</v>
      </c>
    </row>
    <row r="151" spans="1:34" x14ac:dyDescent="0.3">
      <c r="A151" s="42">
        <f t="shared" si="13"/>
        <v>69</v>
      </c>
      <c r="B151" s="44">
        <f t="shared" si="12"/>
        <v>-0.53125</v>
      </c>
      <c r="C151">
        <v>-2</v>
      </c>
      <c r="D151">
        <v>-1</v>
      </c>
      <c r="E151">
        <v>1</v>
      </c>
      <c r="F151">
        <v>-2</v>
      </c>
      <c r="G151">
        <v>-3</v>
      </c>
      <c r="H151">
        <v>-3</v>
      </c>
      <c r="I151">
        <v>2</v>
      </c>
      <c r="J151">
        <v>-1</v>
      </c>
      <c r="K151">
        <v>2</v>
      </c>
      <c r="L151">
        <v>-2</v>
      </c>
      <c r="M151">
        <v>2</v>
      </c>
      <c r="N151">
        <v>-1</v>
      </c>
      <c r="O151">
        <v>1</v>
      </c>
      <c r="P151">
        <v>-1</v>
      </c>
      <c r="Q151">
        <v>1</v>
      </c>
      <c r="R151">
        <v>-1</v>
      </c>
      <c r="S151">
        <v>1</v>
      </c>
      <c r="T151">
        <v>-1</v>
      </c>
      <c r="U151">
        <v>1</v>
      </c>
      <c r="V151">
        <v>1</v>
      </c>
      <c r="W151">
        <v>-3</v>
      </c>
      <c r="X151">
        <v>-1</v>
      </c>
      <c r="Y151">
        <v>-3</v>
      </c>
      <c r="Z151">
        <v>3</v>
      </c>
      <c r="AA151">
        <v>-2</v>
      </c>
      <c r="AB151">
        <v>-1</v>
      </c>
      <c r="AC151">
        <v>-1</v>
      </c>
      <c r="AD151">
        <v>-3</v>
      </c>
      <c r="AE151">
        <v>-1</v>
      </c>
      <c r="AF151">
        <v>2</v>
      </c>
      <c r="AG151">
        <v>-3</v>
      </c>
      <c r="AH151">
        <v>2</v>
      </c>
    </row>
    <row r="152" spans="1:34" x14ac:dyDescent="0.3">
      <c r="A152" s="42">
        <f t="shared" si="13"/>
        <v>70</v>
      </c>
      <c r="B152" s="44">
        <f t="shared" si="12"/>
        <v>-0.375</v>
      </c>
      <c r="C152">
        <v>-2</v>
      </c>
      <c r="D152">
        <v>1</v>
      </c>
      <c r="E152">
        <v>1</v>
      </c>
      <c r="F152">
        <v>-3</v>
      </c>
      <c r="G152">
        <v>-2</v>
      </c>
      <c r="H152">
        <v>-3</v>
      </c>
      <c r="I152">
        <v>2</v>
      </c>
      <c r="J152">
        <v>-1</v>
      </c>
      <c r="K152">
        <v>1</v>
      </c>
      <c r="L152">
        <v>-2</v>
      </c>
      <c r="M152">
        <v>1</v>
      </c>
      <c r="N152">
        <v>-1</v>
      </c>
      <c r="O152">
        <v>1</v>
      </c>
      <c r="P152">
        <v>-1</v>
      </c>
      <c r="Q152">
        <v>2</v>
      </c>
      <c r="R152">
        <v>-1</v>
      </c>
      <c r="S152">
        <v>2</v>
      </c>
      <c r="T152">
        <v>-1</v>
      </c>
      <c r="U152">
        <v>2</v>
      </c>
      <c r="V152">
        <v>3</v>
      </c>
      <c r="W152">
        <v>-2</v>
      </c>
      <c r="X152">
        <v>-1</v>
      </c>
      <c r="Y152">
        <v>-3</v>
      </c>
      <c r="Z152">
        <v>3</v>
      </c>
      <c r="AA152">
        <v>-2</v>
      </c>
      <c r="AB152">
        <v>-1</v>
      </c>
      <c r="AC152">
        <v>-1</v>
      </c>
      <c r="AD152">
        <v>-3</v>
      </c>
      <c r="AE152">
        <v>-1</v>
      </c>
      <c r="AF152">
        <v>2</v>
      </c>
      <c r="AG152">
        <v>-3</v>
      </c>
      <c r="AH152">
        <v>1</v>
      </c>
    </row>
    <row r="153" spans="1:34" x14ac:dyDescent="0.3">
      <c r="A153" s="42">
        <f t="shared" si="13"/>
        <v>71</v>
      </c>
      <c r="B153" s="44">
        <f t="shared" si="12"/>
        <v>-0.3125</v>
      </c>
      <c r="C153">
        <v>-1</v>
      </c>
      <c r="D153">
        <v>2</v>
      </c>
      <c r="E153">
        <v>1</v>
      </c>
      <c r="F153">
        <v>1</v>
      </c>
      <c r="G153">
        <v>-2</v>
      </c>
      <c r="H153">
        <v>-3</v>
      </c>
      <c r="I153">
        <v>1</v>
      </c>
      <c r="J153">
        <v>-1</v>
      </c>
      <c r="K153">
        <v>-2</v>
      </c>
      <c r="L153">
        <v>-1</v>
      </c>
      <c r="M153">
        <v>1</v>
      </c>
      <c r="N153">
        <v>-1</v>
      </c>
      <c r="O153">
        <v>-1</v>
      </c>
      <c r="P153">
        <v>1</v>
      </c>
      <c r="Q153">
        <v>2</v>
      </c>
      <c r="R153">
        <v>-1</v>
      </c>
      <c r="S153">
        <v>2</v>
      </c>
      <c r="T153">
        <v>-1</v>
      </c>
      <c r="U153">
        <v>2</v>
      </c>
      <c r="V153">
        <v>1</v>
      </c>
      <c r="W153">
        <v>-2</v>
      </c>
      <c r="X153">
        <v>-1</v>
      </c>
      <c r="Y153">
        <v>-3</v>
      </c>
      <c r="Z153">
        <v>3</v>
      </c>
      <c r="AA153">
        <v>-1</v>
      </c>
      <c r="AB153">
        <v>-1</v>
      </c>
      <c r="AC153">
        <v>-1</v>
      </c>
      <c r="AD153">
        <v>-3</v>
      </c>
      <c r="AE153">
        <v>-1</v>
      </c>
      <c r="AF153">
        <v>2</v>
      </c>
      <c r="AG153">
        <v>-3</v>
      </c>
      <c r="AH153">
        <v>1</v>
      </c>
    </row>
    <row r="154" spans="1:34" x14ac:dyDescent="0.3">
      <c r="A154" s="42">
        <f t="shared" si="13"/>
        <v>72</v>
      </c>
      <c r="B154" s="44">
        <f t="shared" si="12"/>
        <v>-0.34375</v>
      </c>
      <c r="C154">
        <v>1</v>
      </c>
      <c r="D154">
        <v>-1</v>
      </c>
      <c r="E154">
        <v>1</v>
      </c>
      <c r="F154">
        <v>-2</v>
      </c>
      <c r="G154">
        <v>3</v>
      </c>
      <c r="H154">
        <v>-3</v>
      </c>
      <c r="I154">
        <v>1</v>
      </c>
      <c r="J154">
        <v>-1</v>
      </c>
      <c r="K154">
        <v>2</v>
      </c>
      <c r="L154">
        <v>-1</v>
      </c>
      <c r="M154">
        <v>-3</v>
      </c>
      <c r="N154">
        <v>-1</v>
      </c>
      <c r="O154">
        <v>-2</v>
      </c>
      <c r="P154">
        <v>1</v>
      </c>
      <c r="Q154">
        <v>3</v>
      </c>
      <c r="R154">
        <v>-2</v>
      </c>
      <c r="S154">
        <v>2</v>
      </c>
      <c r="T154">
        <v>3</v>
      </c>
      <c r="U154">
        <v>2</v>
      </c>
      <c r="V154">
        <v>-3</v>
      </c>
      <c r="W154">
        <v>-1</v>
      </c>
      <c r="X154">
        <v>-1</v>
      </c>
      <c r="Y154">
        <v>-3</v>
      </c>
      <c r="Z154">
        <v>3</v>
      </c>
      <c r="AA154">
        <v>-2</v>
      </c>
      <c r="AB154">
        <v>-1</v>
      </c>
      <c r="AC154">
        <v>-1</v>
      </c>
      <c r="AD154">
        <v>-3</v>
      </c>
      <c r="AE154">
        <v>-1</v>
      </c>
      <c r="AF154">
        <v>1</v>
      </c>
      <c r="AG154">
        <v>-3</v>
      </c>
      <c r="AH154">
        <v>1</v>
      </c>
    </row>
    <row r="161" spans="1:34" x14ac:dyDescent="0.3">
      <c r="A161" s="45"/>
      <c r="B161" s="53" t="s">
        <v>113</v>
      </c>
      <c r="C161" s="48"/>
      <c r="D161" s="48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</row>
    <row r="162" spans="1:34" s="49" customFormat="1" x14ac:dyDescent="0.3">
      <c r="A162" s="49" t="s">
        <v>141</v>
      </c>
      <c r="B162" s="52" t="s">
        <v>116</v>
      </c>
      <c r="C162" s="49" t="s">
        <v>142</v>
      </c>
      <c r="D162" s="49" t="s">
        <v>143</v>
      </c>
      <c r="E162" s="49" t="s">
        <v>144</v>
      </c>
      <c r="F162" s="49" t="s">
        <v>145</v>
      </c>
      <c r="G162" s="49" t="s">
        <v>146</v>
      </c>
      <c r="H162" s="49" t="s">
        <v>147</v>
      </c>
      <c r="I162" s="49" t="s">
        <v>148</v>
      </c>
      <c r="J162" s="49" t="s">
        <v>149</v>
      </c>
      <c r="K162" s="49" t="s">
        <v>150</v>
      </c>
      <c r="L162" s="49" t="s">
        <v>151</v>
      </c>
      <c r="M162" s="49" t="s">
        <v>152</v>
      </c>
      <c r="N162" s="49" t="s">
        <v>153</v>
      </c>
      <c r="O162" s="49" t="s">
        <v>154</v>
      </c>
      <c r="P162" s="49" t="s">
        <v>155</v>
      </c>
      <c r="Q162" s="49" t="s">
        <v>156</v>
      </c>
      <c r="R162" s="49" t="s">
        <v>157</v>
      </c>
      <c r="S162" s="49" t="s">
        <v>158</v>
      </c>
      <c r="T162" s="49" t="s">
        <v>159</v>
      </c>
      <c r="U162" s="49" t="s">
        <v>160</v>
      </c>
      <c r="V162" s="49" t="s">
        <v>161</v>
      </c>
      <c r="W162" s="49" t="s">
        <v>162</v>
      </c>
      <c r="X162" s="49" t="s">
        <v>163</v>
      </c>
      <c r="Y162" s="49" t="s">
        <v>164</v>
      </c>
      <c r="Z162" s="49" t="s">
        <v>165</v>
      </c>
      <c r="AA162" s="49" t="s">
        <v>166</v>
      </c>
      <c r="AB162" s="49" t="s">
        <v>167</v>
      </c>
      <c r="AC162" s="49" t="s">
        <v>168</v>
      </c>
      <c r="AD162" s="49" t="s">
        <v>173</v>
      </c>
      <c r="AE162" s="49" t="s">
        <v>169</v>
      </c>
      <c r="AF162" s="49" t="s">
        <v>170</v>
      </c>
      <c r="AG162" s="49" t="s">
        <v>171</v>
      </c>
      <c r="AH162" s="49" t="s">
        <v>172</v>
      </c>
    </row>
    <row r="163" spans="1:34" x14ac:dyDescent="0.3">
      <c r="A163" s="42">
        <v>1</v>
      </c>
      <c r="B163" s="44">
        <f xml:space="preserve"> AVERAGE($C163:$AH163)</f>
        <v>-0.59375</v>
      </c>
      <c r="C163">
        <v>-1</v>
      </c>
      <c r="D163">
        <v>-1</v>
      </c>
      <c r="E163">
        <v>-2</v>
      </c>
      <c r="F163">
        <v>1</v>
      </c>
      <c r="G163">
        <v>-2</v>
      </c>
      <c r="H163">
        <v>-1</v>
      </c>
      <c r="I163">
        <v>-2</v>
      </c>
      <c r="J163">
        <v>-1</v>
      </c>
      <c r="K163">
        <v>2</v>
      </c>
      <c r="L163">
        <v>1</v>
      </c>
      <c r="M163">
        <v>2</v>
      </c>
      <c r="N163">
        <v>-2</v>
      </c>
      <c r="O163">
        <v>1</v>
      </c>
      <c r="P163">
        <v>-1</v>
      </c>
      <c r="Q163">
        <v>-2</v>
      </c>
      <c r="R163">
        <v>1</v>
      </c>
      <c r="S163">
        <v>-2</v>
      </c>
      <c r="T163">
        <v>-2</v>
      </c>
      <c r="U163">
        <v>-1</v>
      </c>
      <c r="V163">
        <v>-2</v>
      </c>
      <c r="W163">
        <v>-2</v>
      </c>
      <c r="X163">
        <v>1</v>
      </c>
      <c r="Y163">
        <v>2</v>
      </c>
      <c r="Z163">
        <v>1</v>
      </c>
      <c r="AA163">
        <v>-1</v>
      </c>
      <c r="AB163">
        <v>-2</v>
      </c>
      <c r="AC163">
        <v>1</v>
      </c>
      <c r="AD163">
        <v>-1</v>
      </c>
      <c r="AE163">
        <v>-1</v>
      </c>
      <c r="AF163">
        <v>1</v>
      </c>
      <c r="AG163">
        <v>-2</v>
      </c>
      <c r="AH163">
        <v>-2</v>
      </c>
    </row>
    <row r="164" spans="1:34" x14ac:dyDescent="0.3">
      <c r="A164" s="42">
        <f xml:space="preserve"> A163 + 1</f>
        <v>2</v>
      </c>
      <c r="B164" s="44">
        <f t="shared" ref="B164:B227" si="14" xml:space="preserve"> AVERAGE($C164:$AH164)</f>
        <v>-0.5625</v>
      </c>
      <c r="C164">
        <v>1</v>
      </c>
      <c r="D164">
        <v>-1</v>
      </c>
      <c r="E164">
        <v>-2</v>
      </c>
      <c r="F164">
        <v>-2</v>
      </c>
      <c r="G164">
        <v>-2</v>
      </c>
      <c r="H164">
        <v>-2</v>
      </c>
      <c r="I164">
        <v>-2</v>
      </c>
      <c r="J164">
        <v>-1</v>
      </c>
      <c r="K164">
        <v>2</v>
      </c>
      <c r="L164">
        <v>-2</v>
      </c>
      <c r="M164">
        <v>-2</v>
      </c>
      <c r="N164">
        <v>-1</v>
      </c>
      <c r="O164">
        <v>1</v>
      </c>
      <c r="P164">
        <v>-1</v>
      </c>
      <c r="Q164">
        <v>-1</v>
      </c>
      <c r="R164">
        <v>-1</v>
      </c>
      <c r="S164">
        <v>1</v>
      </c>
      <c r="T164">
        <v>1</v>
      </c>
      <c r="U164">
        <v>1</v>
      </c>
      <c r="V164">
        <v>3</v>
      </c>
      <c r="W164">
        <v>-2</v>
      </c>
      <c r="X164">
        <v>1</v>
      </c>
      <c r="Y164">
        <v>-2</v>
      </c>
      <c r="Z164">
        <v>-1</v>
      </c>
      <c r="AA164">
        <v>-2</v>
      </c>
      <c r="AB164">
        <v>1</v>
      </c>
      <c r="AC164">
        <v>-1</v>
      </c>
      <c r="AD164">
        <v>1</v>
      </c>
      <c r="AE164">
        <v>-1</v>
      </c>
      <c r="AF164">
        <v>2</v>
      </c>
      <c r="AG164">
        <v>-2</v>
      </c>
      <c r="AH164">
        <v>-2</v>
      </c>
    </row>
    <row r="165" spans="1:34" x14ac:dyDescent="0.3">
      <c r="A165" s="42">
        <f t="shared" ref="A165:A228" si="15" xml:space="preserve"> A164 + 1</f>
        <v>3</v>
      </c>
      <c r="B165" s="44">
        <f t="shared" si="14"/>
        <v>-0.1875</v>
      </c>
      <c r="C165">
        <v>1</v>
      </c>
      <c r="D165">
        <v>-1</v>
      </c>
      <c r="E165">
        <v>-2</v>
      </c>
      <c r="F165">
        <v>-1</v>
      </c>
      <c r="G165">
        <v>-2</v>
      </c>
      <c r="H165">
        <v>-1</v>
      </c>
      <c r="I165">
        <v>-3</v>
      </c>
      <c r="J165">
        <v>-1</v>
      </c>
      <c r="K165">
        <v>2</v>
      </c>
      <c r="L165">
        <v>-1</v>
      </c>
      <c r="M165">
        <v>1</v>
      </c>
      <c r="N165">
        <v>-1</v>
      </c>
      <c r="O165">
        <v>-1</v>
      </c>
      <c r="P165">
        <v>1</v>
      </c>
      <c r="Q165">
        <v>1</v>
      </c>
      <c r="R165">
        <v>1</v>
      </c>
      <c r="S165">
        <v>1</v>
      </c>
      <c r="T165">
        <v>-3</v>
      </c>
      <c r="U165">
        <v>1</v>
      </c>
      <c r="V165">
        <v>2</v>
      </c>
      <c r="W165">
        <v>-2</v>
      </c>
      <c r="X165">
        <v>1</v>
      </c>
      <c r="Y165">
        <v>2</v>
      </c>
      <c r="Z165">
        <v>1</v>
      </c>
      <c r="AA165">
        <v>-1</v>
      </c>
      <c r="AB165">
        <v>1</v>
      </c>
      <c r="AC165">
        <v>-1</v>
      </c>
      <c r="AD165">
        <v>-1</v>
      </c>
      <c r="AE165">
        <v>-1</v>
      </c>
      <c r="AF165">
        <v>1</v>
      </c>
      <c r="AG165">
        <v>1</v>
      </c>
      <c r="AH165">
        <v>-1</v>
      </c>
    </row>
    <row r="166" spans="1:34" x14ac:dyDescent="0.3">
      <c r="A166" s="42">
        <f t="shared" si="15"/>
        <v>4</v>
      </c>
      <c r="B166" s="44">
        <f t="shared" si="14"/>
        <v>-1.0625</v>
      </c>
      <c r="C166">
        <v>1</v>
      </c>
      <c r="D166">
        <v>-2</v>
      </c>
      <c r="E166">
        <v>-1</v>
      </c>
      <c r="F166">
        <v>-3</v>
      </c>
      <c r="G166">
        <v>-2</v>
      </c>
      <c r="H166">
        <v>-2</v>
      </c>
      <c r="I166">
        <v>-3</v>
      </c>
      <c r="J166">
        <v>-2</v>
      </c>
      <c r="K166">
        <v>2</v>
      </c>
      <c r="L166">
        <v>-1</v>
      </c>
      <c r="M166">
        <v>-2</v>
      </c>
      <c r="N166">
        <v>-2</v>
      </c>
      <c r="O166">
        <v>-1</v>
      </c>
      <c r="P166">
        <v>1</v>
      </c>
      <c r="Q166">
        <v>-2</v>
      </c>
      <c r="R166">
        <v>-2</v>
      </c>
      <c r="S166">
        <v>1</v>
      </c>
      <c r="T166">
        <v>-2</v>
      </c>
      <c r="U166">
        <v>-1</v>
      </c>
      <c r="V166">
        <v>-3</v>
      </c>
      <c r="W166">
        <v>-2</v>
      </c>
      <c r="X166">
        <v>2</v>
      </c>
      <c r="Y166">
        <v>2</v>
      </c>
      <c r="Z166">
        <v>-3</v>
      </c>
      <c r="AA166">
        <v>-2</v>
      </c>
      <c r="AB166">
        <v>-2</v>
      </c>
      <c r="AC166">
        <v>-1</v>
      </c>
      <c r="AD166">
        <v>2</v>
      </c>
      <c r="AE166">
        <v>-1</v>
      </c>
      <c r="AF166">
        <v>1</v>
      </c>
      <c r="AG166">
        <v>-3</v>
      </c>
      <c r="AH166">
        <v>-1</v>
      </c>
    </row>
    <row r="167" spans="1:34" x14ac:dyDescent="0.3">
      <c r="A167" s="42">
        <f t="shared" si="15"/>
        <v>5</v>
      </c>
      <c r="B167" s="44">
        <f t="shared" si="14"/>
        <v>-0.75</v>
      </c>
      <c r="C167">
        <v>-2</v>
      </c>
      <c r="D167">
        <v>-3</v>
      </c>
      <c r="E167">
        <v>-2</v>
      </c>
      <c r="F167">
        <v>-1</v>
      </c>
      <c r="G167">
        <v>-3</v>
      </c>
      <c r="H167">
        <v>-2</v>
      </c>
      <c r="I167">
        <v>-2</v>
      </c>
      <c r="J167">
        <v>-2</v>
      </c>
      <c r="K167">
        <v>2</v>
      </c>
      <c r="L167">
        <v>-2</v>
      </c>
      <c r="M167">
        <v>2</v>
      </c>
      <c r="N167">
        <v>-1</v>
      </c>
      <c r="O167">
        <v>1</v>
      </c>
      <c r="P167">
        <v>-1</v>
      </c>
      <c r="Q167">
        <v>-1</v>
      </c>
      <c r="R167">
        <v>-2</v>
      </c>
      <c r="S167">
        <v>1</v>
      </c>
      <c r="T167">
        <v>1</v>
      </c>
      <c r="U167">
        <v>-2</v>
      </c>
      <c r="V167">
        <v>-2</v>
      </c>
      <c r="W167">
        <v>-2</v>
      </c>
      <c r="X167">
        <v>2</v>
      </c>
      <c r="Y167">
        <v>3</v>
      </c>
      <c r="Z167">
        <v>-1</v>
      </c>
      <c r="AA167">
        <v>-1</v>
      </c>
      <c r="AB167">
        <v>-2</v>
      </c>
      <c r="AC167">
        <v>-2</v>
      </c>
      <c r="AD167">
        <v>2</v>
      </c>
      <c r="AE167">
        <v>-1</v>
      </c>
      <c r="AF167">
        <v>1</v>
      </c>
      <c r="AG167">
        <v>-3</v>
      </c>
      <c r="AH167">
        <v>1</v>
      </c>
    </row>
    <row r="168" spans="1:34" x14ac:dyDescent="0.3">
      <c r="A168" s="42">
        <f t="shared" si="15"/>
        <v>6</v>
      </c>
      <c r="B168" s="44">
        <f t="shared" si="14"/>
        <v>-0.75</v>
      </c>
      <c r="C168">
        <v>-2</v>
      </c>
      <c r="D168">
        <v>-1</v>
      </c>
      <c r="E168">
        <v>-2</v>
      </c>
      <c r="F168">
        <v>2</v>
      </c>
      <c r="G168">
        <v>-2</v>
      </c>
      <c r="H168">
        <v>-1</v>
      </c>
      <c r="I168">
        <v>-2</v>
      </c>
      <c r="J168">
        <v>-2</v>
      </c>
      <c r="K168">
        <v>1</v>
      </c>
      <c r="L168">
        <v>-1</v>
      </c>
      <c r="M168">
        <v>-2</v>
      </c>
      <c r="N168">
        <v>-1</v>
      </c>
      <c r="O168">
        <v>-1</v>
      </c>
      <c r="P168">
        <v>-1</v>
      </c>
      <c r="Q168">
        <v>-2</v>
      </c>
      <c r="R168">
        <v>-2</v>
      </c>
      <c r="S168">
        <v>-2</v>
      </c>
      <c r="T168">
        <v>-1</v>
      </c>
      <c r="U168">
        <v>1</v>
      </c>
      <c r="V168">
        <v>1</v>
      </c>
      <c r="W168">
        <v>-3</v>
      </c>
      <c r="X168">
        <v>3</v>
      </c>
      <c r="Y168">
        <v>3</v>
      </c>
      <c r="Z168">
        <v>-2</v>
      </c>
      <c r="AA168">
        <v>-2</v>
      </c>
      <c r="AB168">
        <v>-2</v>
      </c>
      <c r="AC168">
        <v>-2</v>
      </c>
      <c r="AD168">
        <v>1</v>
      </c>
      <c r="AE168">
        <v>-1</v>
      </c>
      <c r="AF168">
        <v>2</v>
      </c>
      <c r="AG168">
        <v>-2</v>
      </c>
      <c r="AH168">
        <v>1</v>
      </c>
    </row>
    <row r="169" spans="1:34" x14ac:dyDescent="0.3">
      <c r="A169" s="42">
        <f t="shared" si="15"/>
        <v>7</v>
      </c>
      <c r="B169" s="44">
        <f t="shared" si="14"/>
        <v>-0.3125</v>
      </c>
      <c r="C169">
        <v>-2</v>
      </c>
      <c r="D169">
        <v>1</v>
      </c>
      <c r="E169">
        <v>-2</v>
      </c>
      <c r="F169">
        <v>3</v>
      </c>
      <c r="G169">
        <v>-2</v>
      </c>
      <c r="H169">
        <v>-2</v>
      </c>
      <c r="I169">
        <v>1</v>
      </c>
      <c r="J169">
        <v>-3</v>
      </c>
      <c r="K169">
        <v>1</v>
      </c>
      <c r="L169">
        <v>-2</v>
      </c>
      <c r="M169">
        <v>1</v>
      </c>
      <c r="N169">
        <v>-1</v>
      </c>
      <c r="O169">
        <v>-1</v>
      </c>
      <c r="P169">
        <v>-2</v>
      </c>
      <c r="Q169">
        <v>-2</v>
      </c>
      <c r="R169">
        <v>-1</v>
      </c>
      <c r="S169">
        <v>-2</v>
      </c>
      <c r="T169">
        <v>1</v>
      </c>
      <c r="U169">
        <v>1</v>
      </c>
      <c r="V169">
        <v>-2</v>
      </c>
      <c r="W169">
        <v>-2</v>
      </c>
      <c r="X169">
        <v>1</v>
      </c>
      <c r="Y169">
        <v>2</v>
      </c>
      <c r="Z169">
        <v>1</v>
      </c>
      <c r="AA169">
        <v>-1</v>
      </c>
      <c r="AB169">
        <v>-1</v>
      </c>
      <c r="AC169">
        <v>-1</v>
      </c>
      <c r="AD169">
        <v>1</v>
      </c>
      <c r="AE169">
        <v>1</v>
      </c>
      <c r="AF169">
        <v>2</v>
      </c>
      <c r="AG169">
        <v>1</v>
      </c>
      <c r="AH169">
        <v>1</v>
      </c>
    </row>
    <row r="170" spans="1:34" x14ac:dyDescent="0.3">
      <c r="A170" s="42">
        <f t="shared" si="15"/>
        <v>8</v>
      </c>
      <c r="B170" s="44">
        <f t="shared" si="14"/>
        <v>-0.5625</v>
      </c>
      <c r="C170">
        <v>1</v>
      </c>
      <c r="D170">
        <v>-3</v>
      </c>
      <c r="E170">
        <v>-1</v>
      </c>
      <c r="F170">
        <v>3</v>
      </c>
      <c r="G170">
        <v>-3</v>
      </c>
      <c r="H170">
        <v>-3</v>
      </c>
      <c r="I170">
        <v>1</v>
      </c>
      <c r="J170">
        <v>-2</v>
      </c>
      <c r="K170">
        <v>2</v>
      </c>
      <c r="L170">
        <v>-1</v>
      </c>
      <c r="M170">
        <v>2</v>
      </c>
      <c r="N170">
        <v>-1</v>
      </c>
      <c r="O170">
        <v>-1</v>
      </c>
      <c r="P170">
        <v>-2</v>
      </c>
      <c r="Q170">
        <v>-2</v>
      </c>
      <c r="R170">
        <v>-2</v>
      </c>
      <c r="S170">
        <v>-2</v>
      </c>
      <c r="T170">
        <v>-2</v>
      </c>
      <c r="U170">
        <v>-2</v>
      </c>
      <c r="V170">
        <v>1</v>
      </c>
      <c r="W170">
        <v>-3</v>
      </c>
      <c r="X170">
        <v>1</v>
      </c>
      <c r="Y170">
        <v>3</v>
      </c>
      <c r="Z170">
        <v>-2</v>
      </c>
      <c r="AA170">
        <v>-2</v>
      </c>
      <c r="AB170">
        <v>3</v>
      </c>
      <c r="AC170">
        <v>-2</v>
      </c>
      <c r="AD170">
        <v>2</v>
      </c>
      <c r="AE170">
        <v>1</v>
      </c>
      <c r="AF170">
        <v>3</v>
      </c>
      <c r="AG170">
        <v>-3</v>
      </c>
      <c r="AH170">
        <v>-2</v>
      </c>
    </row>
    <row r="171" spans="1:34" x14ac:dyDescent="0.3">
      <c r="A171" s="42">
        <f t="shared" si="15"/>
        <v>9</v>
      </c>
      <c r="B171" s="44">
        <f t="shared" si="14"/>
        <v>-1.03125</v>
      </c>
      <c r="C171">
        <v>-2</v>
      </c>
      <c r="D171">
        <v>1</v>
      </c>
      <c r="E171">
        <v>-2</v>
      </c>
      <c r="F171">
        <v>-2</v>
      </c>
      <c r="G171">
        <v>-3</v>
      </c>
      <c r="H171">
        <v>-2</v>
      </c>
      <c r="I171">
        <v>-3</v>
      </c>
      <c r="J171">
        <v>-3</v>
      </c>
      <c r="K171">
        <v>-2</v>
      </c>
      <c r="L171">
        <v>1</v>
      </c>
      <c r="M171">
        <v>1</v>
      </c>
      <c r="N171">
        <v>-1</v>
      </c>
      <c r="O171">
        <v>-1</v>
      </c>
      <c r="P171">
        <v>1</v>
      </c>
      <c r="Q171">
        <v>-1</v>
      </c>
      <c r="R171">
        <v>-1</v>
      </c>
      <c r="S171">
        <v>-3</v>
      </c>
      <c r="T171">
        <v>-2</v>
      </c>
      <c r="U171">
        <v>1</v>
      </c>
      <c r="V171">
        <v>-3</v>
      </c>
      <c r="W171">
        <v>-3</v>
      </c>
      <c r="X171">
        <v>1</v>
      </c>
      <c r="Y171">
        <v>-3</v>
      </c>
      <c r="Z171">
        <v>-3</v>
      </c>
      <c r="AA171">
        <v>-1</v>
      </c>
      <c r="AB171">
        <v>-2</v>
      </c>
      <c r="AC171">
        <v>-1</v>
      </c>
      <c r="AD171">
        <v>2</v>
      </c>
      <c r="AE171">
        <v>1</v>
      </c>
      <c r="AF171">
        <v>2</v>
      </c>
      <c r="AG171">
        <v>-1</v>
      </c>
      <c r="AH171">
        <v>1</v>
      </c>
    </row>
    <row r="172" spans="1:34" x14ac:dyDescent="0.3">
      <c r="A172" s="42">
        <f t="shared" si="15"/>
        <v>10</v>
      </c>
      <c r="B172" s="44">
        <f t="shared" si="14"/>
        <v>-9.375E-2</v>
      </c>
      <c r="C172">
        <v>-2</v>
      </c>
      <c r="D172">
        <v>1</v>
      </c>
      <c r="E172">
        <v>1</v>
      </c>
      <c r="F172">
        <v>1</v>
      </c>
      <c r="G172">
        <v>-2</v>
      </c>
      <c r="H172">
        <v>1</v>
      </c>
      <c r="I172">
        <v>-2</v>
      </c>
      <c r="J172">
        <v>-2</v>
      </c>
      <c r="K172">
        <v>1</v>
      </c>
      <c r="L172">
        <v>-1</v>
      </c>
      <c r="M172">
        <v>2</v>
      </c>
      <c r="N172">
        <v>-1</v>
      </c>
      <c r="O172">
        <v>-1</v>
      </c>
      <c r="P172">
        <v>-1</v>
      </c>
      <c r="Q172">
        <v>-2</v>
      </c>
      <c r="R172">
        <v>-2</v>
      </c>
      <c r="S172">
        <v>-1</v>
      </c>
      <c r="T172">
        <v>-1</v>
      </c>
      <c r="U172">
        <v>1</v>
      </c>
      <c r="V172">
        <v>1</v>
      </c>
      <c r="W172">
        <v>-3</v>
      </c>
      <c r="X172">
        <v>1</v>
      </c>
      <c r="Y172">
        <v>3</v>
      </c>
      <c r="Z172">
        <v>2</v>
      </c>
      <c r="AA172">
        <v>1</v>
      </c>
      <c r="AB172">
        <v>1</v>
      </c>
      <c r="AC172">
        <v>-1</v>
      </c>
      <c r="AD172">
        <v>1</v>
      </c>
      <c r="AE172">
        <v>-1</v>
      </c>
      <c r="AF172">
        <v>2</v>
      </c>
      <c r="AG172">
        <v>1</v>
      </c>
      <c r="AH172">
        <v>-1</v>
      </c>
    </row>
    <row r="173" spans="1:34" x14ac:dyDescent="0.3">
      <c r="A173" s="42">
        <f t="shared" si="15"/>
        <v>11</v>
      </c>
      <c r="B173" s="44">
        <f t="shared" si="14"/>
        <v>-0.375</v>
      </c>
      <c r="C173">
        <v>-2</v>
      </c>
      <c r="D173">
        <v>-2</v>
      </c>
      <c r="E173">
        <v>1</v>
      </c>
      <c r="F173">
        <v>3</v>
      </c>
      <c r="G173">
        <v>2</v>
      </c>
      <c r="H173">
        <v>-3</v>
      </c>
      <c r="I173">
        <v>1</v>
      </c>
      <c r="J173">
        <v>-2</v>
      </c>
      <c r="K173">
        <v>-3</v>
      </c>
      <c r="L173">
        <v>-3</v>
      </c>
      <c r="M173">
        <v>3</v>
      </c>
      <c r="N173">
        <v>-2</v>
      </c>
      <c r="O173">
        <v>1</v>
      </c>
      <c r="P173">
        <v>-1</v>
      </c>
      <c r="Q173">
        <v>1</v>
      </c>
      <c r="R173">
        <v>-2</v>
      </c>
      <c r="S173">
        <v>-3</v>
      </c>
      <c r="T173">
        <v>-1</v>
      </c>
      <c r="U173">
        <v>2</v>
      </c>
      <c r="V173">
        <v>-3</v>
      </c>
      <c r="W173">
        <v>-3</v>
      </c>
      <c r="X173">
        <v>2</v>
      </c>
      <c r="Y173">
        <v>3</v>
      </c>
      <c r="Z173">
        <v>-3</v>
      </c>
      <c r="AA173">
        <v>-2</v>
      </c>
      <c r="AB173">
        <v>3</v>
      </c>
      <c r="AC173">
        <v>-2</v>
      </c>
      <c r="AD173">
        <v>1</v>
      </c>
      <c r="AE173">
        <v>1</v>
      </c>
      <c r="AF173">
        <v>2</v>
      </c>
      <c r="AG173">
        <v>-3</v>
      </c>
      <c r="AH173">
        <v>2</v>
      </c>
    </row>
    <row r="174" spans="1:34" x14ac:dyDescent="0.3">
      <c r="A174" s="42">
        <f t="shared" si="15"/>
        <v>12</v>
      </c>
      <c r="B174" s="44">
        <f t="shared" si="14"/>
        <v>-0.1875</v>
      </c>
      <c r="C174">
        <v>2</v>
      </c>
      <c r="D174">
        <v>1</v>
      </c>
      <c r="E174">
        <v>1</v>
      </c>
      <c r="F174">
        <v>3</v>
      </c>
      <c r="G174">
        <v>1</v>
      </c>
      <c r="H174">
        <v>1</v>
      </c>
      <c r="I174">
        <v>-2</v>
      </c>
      <c r="J174">
        <v>-3</v>
      </c>
      <c r="K174">
        <v>-1</v>
      </c>
      <c r="L174">
        <v>-2</v>
      </c>
      <c r="M174">
        <v>-3</v>
      </c>
      <c r="N174">
        <v>-2</v>
      </c>
      <c r="O174">
        <v>-1</v>
      </c>
      <c r="P174">
        <v>-1</v>
      </c>
      <c r="Q174">
        <v>1</v>
      </c>
      <c r="R174">
        <v>1</v>
      </c>
      <c r="S174">
        <v>1</v>
      </c>
      <c r="T174">
        <v>-2</v>
      </c>
      <c r="U174">
        <v>1</v>
      </c>
      <c r="V174">
        <v>-2</v>
      </c>
      <c r="W174">
        <v>-3</v>
      </c>
      <c r="X174">
        <v>2</v>
      </c>
      <c r="Y174">
        <v>3</v>
      </c>
      <c r="Z174">
        <v>-1</v>
      </c>
      <c r="AA174">
        <v>1</v>
      </c>
      <c r="AB174">
        <v>-2</v>
      </c>
      <c r="AC174">
        <v>-3</v>
      </c>
      <c r="AD174">
        <v>3</v>
      </c>
      <c r="AE174">
        <v>1</v>
      </c>
      <c r="AF174">
        <v>3</v>
      </c>
      <c r="AG174">
        <v>-2</v>
      </c>
      <c r="AH174">
        <v>-2</v>
      </c>
    </row>
    <row r="175" spans="1:34" x14ac:dyDescent="0.3">
      <c r="A175" s="42">
        <f t="shared" si="15"/>
        <v>13</v>
      </c>
      <c r="B175" s="44">
        <f t="shared" si="14"/>
        <v>-6.25E-2</v>
      </c>
      <c r="C175">
        <v>1</v>
      </c>
      <c r="D175">
        <v>-3</v>
      </c>
      <c r="E175">
        <v>-1</v>
      </c>
      <c r="F175">
        <v>3</v>
      </c>
      <c r="G175">
        <v>-2</v>
      </c>
      <c r="H175">
        <v>1</v>
      </c>
      <c r="I175">
        <v>-1</v>
      </c>
      <c r="J175">
        <v>-2</v>
      </c>
      <c r="K175">
        <v>2</v>
      </c>
      <c r="L175">
        <v>1</v>
      </c>
      <c r="M175">
        <v>1</v>
      </c>
      <c r="N175">
        <v>-2</v>
      </c>
      <c r="O175">
        <v>1</v>
      </c>
      <c r="P175">
        <v>-1</v>
      </c>
      <c r="Q175">
        <v>-1</v>
      </c>
      <c r="R175">
        <v>-1</v>
      </c>
      <c r="S175">
        <v>-2</v>
      </c>
      <c r="T175">
        <v>-2</v>
      </c>
      <c r="U175">
        <v>1</v>
      </c>
      <c r="V175">
        <v>-2</v>
      </c>
      <c r="W175">
        <v>-1</v>
      </c>
      <c r="X175">
        <v>2</v>
      </c>
      <c r="Y175">
        <v>3</v>
      </c>
      <c r="Z175">
        <v>-1</v>
      </c>
      <c r="AA175">
        <v>-1</v>
      </c>
      <c r="AB175">
        <v>2</v>
      </c>
      <c r="AC175">
        <v>-1</v>
      </c>
      <c r="AD175">
        <v>1</v>
      </c>
      <c r="AE175">
        <v>-1</v>
      </c>
      <c r="AF175">
        <v>2</v>
      </c>
      <c r="AG175">
        <v>1</v>
      </c>
      <c r="AH175">
        <v>1</v>
      </c>
    </row>
    <row r="176" spans="1:34" x14ac:dyDescent="0.3">
      <c r="A176" s="42">
        <f t="shared" si="15"/>
        <v>14</v>
      </c>
      <c r="B176" s="44">
        <f t="shared" si="14"/>
        <v>-0.28125</v>
      </c>
      <c r="C176">
        <v>1</v>
      </c>
      <c r="D176">
        <v>1</v>
      </c>
      <c r="E176">
        <v>-2</v>
      </c>
      <c r="F176">
        <v>-1</v>
      </c>
      <c r="G176">
        <v>-2</v>
      </c>
      <c r="H176">
        <v>-2</v>
      </c>
      <c r="I176">
        <v>-1</v>
      </c>
      <c r="J176">
        <v>-1</v>
      </c>
      <c r="K176">
        <v>1</v>
      </c>
      <c r="L176">
        <v>-2</v>
      </c>
      <c r="M176">
        <v>-1</v>
      </c>
      <c r="N176">
        <v>-1</v>
      </c>
      <c r="O176">
        <v>1</v>
      </c>
      <c r="P176">
        <v>-1</v>
      </c>
      <c r="Q176">
        <v>1</v>
      </c>
      <c r="R176">
        <v>-1</v>
      </c>
      <c r="S176">
        <v>-2</v>
      </c>
      <c r="T176">
        <v>-2</v>
      </c>
      <c r="U176">
        <v>1</v>
      </c>
      <c r="V176">
        <v>2</v>
      </c>
      <c r="W176">
        <v>-1</v>
      </c>
      <c r="X176">
        <v>1</v>
      </c>
      <c r="Y176">
        <v>3</v>
      </c>
      <c r="Z176">
        <v>3</v>
      </c>
      <c r="AA176">
        <v>-1</v>
      </c>
      <c r="AB176">
        <v>-1</v>
      </c>
      <c r="AC176">
        <v>-1</v>
      </c>
      <c r="AD176">
        <v>1</v>
      </c>
      <c r="AE176">
        <v>-1</v>
      </c>
      <c r="AF176">
        <v>2</v>
      </c>
      <c r="AG176">
        <v>-1</v>
      </c>
      <c r="AH176">
        <v>-2</v>
      </c>
    </row>
    <row r="177" spans="1:34" x14ac:dyDescent="0.3">
      <c r="A177" s="42">
        <f t="shared" si="15"/>
        <v>15</v>
      </c>
      <c r="B177" s="44">
        <f t="shared" si="14"/>
        <v>-0.96875</v>
      </c>
      <c r="C177">
        <v>-2</v>
      </c>
      <c r="D177">
        <v>-2</v>
      </c>
      <c r="E177">
        <v>-2</v>
      </c>
      <c r="F177">
        <v>-3</v>
      </c>
      <c r="G177">
        <v>-2</v>
      </c>
      <c r="H177">
        <v>-2</v>
      </c>
      <c r="I177">
        <v>-2</v>
      </c>
      <c r="J177">
        <v>-3</v>
      </c>
      <c r="K177">
        <v>1</v>
      </c>
      <c r="L177">
        <v>-1</v>
      </c>
      <c r="M177">
        <v>2</v>
      </c>
      <c r="N177">
        <v>-1</v>
      </c>
      <c r="O177">
        <v>-1</v>
      </c>
      <c r="P177">
        <v>-1</v>
      </c>
      <c r="Q177">
        <v>-2</v>
      </c>
      <c r="R177">
        <v>1</v>
      </c>
      <c r="S177">
        <v>-3</v>
      </c>
      <c r="T177">
        <v>1</v>
      </c>
      <c r="U177">
        <v>-2</v>
      </c>
      <c r="V177">
        <v>1</v>
      </c>
      <c r="W177">
        <v>-2</v>
      </c>
      <c r="X177">
        <v>1</v>
      </c>
      <c r="Y177">
        <v>3</v>
      </c>
      <c r="Z177">
        <v>-3</v>
      </c>
      <c r="AA177">
        <v>-1</v>
      </c>
      <c r="AB177">
        <v>-1</v>
      </c>
      <c r="AC177">
        <v>-2</v>
      </c>
      <c r="AD177">
        <v>-2</v>
      </c>
      <c r="AE177">
        <v>-1</v>
      </c>
      <c r="AF177">
        <v>2</v>
      </c>
      <c r="AG177">
        <v>-3</v>
      </c>
      <c r="AH177">
        <v>1</v>
      </c>
    </row>
    <row r="178" spans="1:34" x14ac:dyDescent="0.3">
      <c r="A178" s="42">
        <f t="shared" si="15"/>
        <v>16</v>
      </c>
      <c r="B178" s="44">
        <f t="shared" si="14"/>
        <v>-0.9375</v>
      </c>
      <c r="C178">
        <v>1</v>
      </c>
      <c r="D178">
        <v>1</v>
      </c>
      <c r="E178">
        <v>-2</v>
      </c>
      <c r="F178">
        <v>3</v>
      </c>
      <c r="G178">
        <v>-1</v>
      </c>
      <c r="H178">
        <v>-2</v>
      </c>
      <c r="I178">
        <v>-2</v>
      </c>
      <c r="J178">
        <v>-2</v>
      </c>
      <c r="K178">
        <v>-2</v>
      </c>
      <c r="L178">
        <v>-2</v>
      </c>
      <c r="M178">
        <v>-2</v>
      </c>
      <c r="N178">
        <v>-2</v>
      </c>
      <c r="O178">
        <v>-1</v>
      </c>
      <c r="P178">
        <v>-1</v>
      </c>
      <c r="Q178">
        <v>-2</v>
      </c>
      <c r="R178">
        <v>-1</v>
      </c>
      <c r="S178">
        <v>-2</v>
      </c>
      <c r="T178">
        <v>-2</v>
      </c>
      <c r="U178">
        <v>1</v>
      </c>
      <c r="V178">
        <v>-2</v>
      </c>
      <c r="W178">
        <v>-2</v>
      </c>
      <c r="X178">
        <v>-1</v>
      </c>
      <c r="Y178">
        <v>3</v>
      </c>
      <c r="Z178">
        <v>-2</v>
      </c>
      <c r="AA178">
        <v>-2</v>
      </c>
      <c r="AB178">
        <v>-2</v>
      </c>
      <c r="AC178">
        <v>-2</v>
      </c>
      <c r="AD178">
        <v>1</v>
      </c>
      <c r="AE178">
        <v>-1</v>
      </c>
      <c r="AF178">
        <v>2</v>
      </c>
      <c r="AG178">
        <v>-3</v>
      </c>
      <c r="AH178">
        <v>1</v>
      </c>
    </row>
    <row r="179" spans="1:34" x14ac:dyDescent="0.3">
      <c r="A179" s="42">
        <f t="shared" si="15"/>
        <v>17</v>
      </c>
      <c r="B179" s="44">
        <f t="shared" si="14"/>
        <v>-0.40625</v>
      </c>
      <c r="C179">
        <v>2</v>
      </c>
      <c r="D179">
        <v>1</v>
      </c>
      <c r="E179">
        <v>1</v>
      </c>
      <c r="F179">
        <v>-3</v>
      </c>
      <c r="G179">
        <v>-3</v>
      </c>
      <c r="H179">
        <v>-2</v>
      </c>
      <c r="I179">
        <v>1</v>
      </c>
      <c r="J179">
        <v>1</v>
      </c>
      <c r="K179">
        <v>1</v>
      </c>
      <c r="L179">
        <v>1</v>
      </c>
      <c r="M179">
        <v>-1</v>
      </c>
      <c r="N179">
        <v>-1</v>
      </c>
      <c r="O179">
        <v>-1</v>
      </c>
      <c r="P179">
        <v>-2</v>
      </c>
      <c r="Q179">
        <v>-1</v>
      </c>
      <c r="R179">
        <v>-2</v>
      </c>
      <c r="S179">
        <v>-2</v>
      </c>
      <c r="T179">
        <v>1</v>
      </c>
      <c r="U179">
        <v>-1</v>
      </c>
      <c r="V179">
        <v>-3</v>
      </c>
      <c r="W179">
        <v>-1</v>
      </c>
      <c r="X179">
        <v>1</v>
      </c>
      <c r="Y179">
        <v>3</v>
      </c>
      <c r="Z179">
        <v>-1</v>
      </c>
      <c r="AA179">
        <v>-1</v>
      </c>
      <c r="AB179">
        <v>-1</v>
      </c>
      <c r="AC179">
        <v>-2</v>
      </c>
      <c r="AD179">
        <v>1</v>
      </c>
      <c r="AE179">
        <v>1</v>
      </c>
      <c r="AF179">
        <v>2</v>
      </c>
      <c r="AG179">
        <v>-3</v>
      </c>
      <c r="AH179">
        <v>1</v>
      </c>
    </row>
    <row r="180" spans="1:34" x14ac:dyDescent="0.3">
      <c r="A180" s="42">
        <f t="shared" si="15"/>
        <v>18</v>
      </c>
      <c r="B180" s="44">
        <f t="shared" si="14"/>
        <v>-0.84375</v>
      </c>
      <c r="C180">
        <v>1</v>
      </c>
      <c r="D180">
        <v>-2</v>
      </c>
      <c r="E180">
        <v>-1</v>
      </c>
      <c r="F180">
        <v>-3</v>
      </c>
      <c r="G180">
        <v>-2</v>
      </c>
      <c r="H180">
        <v>-3</v>
      </c>
      <c r="I180">
        <v>-3</v>
      </c>
      <c r="J180">
        <v>-2</v>
      </c>
      <c r="K180">
        <v>1</v>
      </c>
      <c r="L180">
        <v>1</v>
      </c>
      <c r="M180">
        <v>-3</v>
      </c>
      <c r="N180">
        <v>-2</v>
      </c>
      <c r="O180">
        <v>1</v>
      </c>
      <c r="P180">
        <v>1</v>
      </c>
      <c r="Q180">
        <v>1</v>
      </c>
      <c r="R180">
        <v>-2</v>
      </c>
      <c r="S180">
        <v>-2</v>
      </c>
      <c r="T180">
        <v>-1</v>
      </c>
      <c r="U180">
        <v>1</v>
      </c>
      <c r="V180">
        <v>-1</v>
      </c>
      <c r="W180">
        <v>-3</v>
      </c>
      <c r="X180">
        <v>2</v>
      </c>
      <c r="Y180">
        <v>3</v>
      </c>
      <c r="Z180">
        <v>-2</v>
      </c>
      <c r="AA180">
        <v>2</v>
      </c>
      <c r="AB180">
        <v>-2</v>
      </c>
      <c r="AC180">
        <v>-3</v>
      </c>
      <c r="AD180">
        <v>-1</v>
      </c>
      <c r="AE180">
        <v>-1</v>
      </c>
      <c r="AF180">
        <v>2</v>
      </c>
      <c r="AG180">
        <v>-2</v>
      </c>
      <c r="AH180">
        <v>-2</v>
      </c>
    </row>
    <row r="181" spans="1:34" x14ac:dyDescent="0.3">
      <c r="A181" s="42">
        <f t="shared" si="15"/>
        <v>19</v>
      </c>
      <c r="B181" s="44">
        <f t="shared" si="14"/>
        <v>-1.28125</v>
      </c>
      <c r="C181">
        <v>-3</v>
      </c>
      <c r="D181">
        <v>-3</v>
      </c>
      <c r="E181">
        <v>1</v>
      </c>
      <c r="F181">
        <v>2</v>
      </c>
      <c r="G181">
        <v>-1</v>
      </c>
      <c r="H181">
        <v>-3</v>
      </c>
      <c r="I181">
        <v>-2</v>
      </c>
      <c r="J181">
        <v>-3</v>
      </c>
      <c r="K181">
        <v>-2</v>
      </c>
      <c r="L181">
        <v>-1</v>
      </c>
      <c r="M181">
        <v>-2</v>
      </c>
      <c r="N181">
        <v>-1</v>
      </c>
      <c r="O181">
        <v>-1</v>
      </c>
      <c r="P181">
        <v>-1</v>
      </c>
      <c r="Q181">
        <v>-1</v>
      </c>
      <c r="R181">
        <v>-2</v>
      </c>
      <c r="S181">
        <v>-3</v>
      </c>
      <c r="T181">
        <v>-1</v>
      </c>
      <c r="U181">
        <v>1</v>
      </c>
      <c r="V181">
        <v>-3</v>
      </c>
      <c r="W181">
        <v>-1</v>
      </c>
      <c r="X181">
        <v>1</v>
      </c>
      <c r="Y181">
        <v>-3</v>
      </c>
      <c r="Z181">
        <v>-1</v>
      </c>
      <c r="AA181">
        <v>-1</v>
      </c>
      <c r="AB181">
        <v>-3</v>
      </c>
      <c r="AC181">
        <v>-1</v>
      </c>
      <c r="AD181">
        <v>1</v>
      </c>
      <c r="AE181">
        <v>-2</v>
      </c>
      <c r="AF181">
        <v>3</v>
      </c>
      <c r="AG181">
        <v>-3</v>
      </c>
      <c r="AH181">
        <v>-2</v>
      </c>
    </row>
    <row r="182" spans="1:34" x14ac:dyDescent="0.3">
      <c r="A182" s="42">
        <f t="shared" si="15"/>
        <v>20</v>
      </c>
      <c r="B182" s="44">
        <f t="shared" si="14"/>
        <v>-1</v>
      </c>
      <c r="C182">
        <v>-3</v>
      </c>
      <c r="D182">
        <v>-2</v>
      </c>
      <c r="E182">
        <v>1</v>
      </c>
      <c r="F182">
        <v>-1</v>
      </c>
      <c r="G182">
        <v>1</v>
      </c>
      <c r="H182">
        <v>-2</v>
      </c>
      <c r="I182">
        <v>-2</v>
      </c>
      <c r="J182">
        <v>-2</v>
      </c>
      <c r="K182">
        <v>-2</v>
      </c>
      <c r="L182">
        <v>-1</v>
      </c>
      <c r="M182">
        <v>-2</v>
      </c>
      <c r="N182">
        <v>-1</v>
      </c>
      <c r="O182">
        <v>-1</v>
      </c>
      <c r="P182">
        <v>1</v>
      </c>
      <c r="Q182">
        <v>1</v>
      </c>
      <c r="R182">
        <v>-1</v>
      </c>
      <c r="S182">
        <v>-3</v>
      </c>
      <c r="T182">
        <v>-1</v>
      </c>
      <c r="U182">
        <v>-1</v>
      </c>
      <c r="V182">
        <v>-3</v>
      </c>
      <c r="W182">
        <v>-2</v>
      </c>
      <c r="X182">
        <v>-1</v>
      </c>
      <c r="Y182">
        <v>-3</v>
      </c>
      <c r="Z182">
        <v>-1</v>
      </c>
      <c r="AA182">
        <v>-2</v>
      </c>
      <c r="AB182">
        <v>1</v>
      </c>
      <c r="AC182">
        <v>-1</v>
      </c>
      <c r="AD182">
        <v>1</v>
      </c>
      <c r="AE182">
        <v>-1</v>
      </c>
      <c r="AF182">
        <v>2</v>
      </c>
      <c r="AG182">
        <v>1</v>
      </c>
      <c r="AH182">
        <v>-2</v>
      </c>
    </row>
    <row r="183" spans="1:34" x14ac:dyDescent="0.3">
      <c r="A183" s="42">
        <f t="shared" si="15"/>
        <v>21</v>
      </c>
      <c r="B183" s="44">
        <f t="shared" si="14"/>
        <v>-0.84375</v>
      </c>
      <c r="C183">
        <v>-2</v>
      </c>
      <c r="D183">
        <v>-1</v>
      </c>
      <c r="E183">
        <v>1</v>
      </c>
      <c r="F183">
        <v>-2</v>
      </c>
      <c r="G183">
        <v>-2</v>
      </c>
      <c r="H183">
        <v>-3</v>
      </c>
      <c r="I183">
        <v>-1</v>
      </c>
      <c r="J183">
        <v>-1</v>
      </c>
      <c r="K183">
        <v>-3</v>
      </c>
      <c r="L183">
        <v>-1</v>
      </c>
      <c r="M183">
        <v>-2</v>
      </c>
      <c r="N183">
        <v>-1</v>
      </c>
      <c r="O183">
        <v>1</v>
      </c>
      <c r="P183">
        <v>-2</v>
      </c>
      <c r="Q183">
        <v>-2</v>
      </c>
      <c r="R183">
        <v>-1</v>
      </c>
      <c r="S183">
        <v>-3</v>
      </c>
      <c r="T183">
        <v>-1</v>
      </c>
      <c r="U183">
        <v>-1</v>
      </c>
      <c r="V183">
        <v>-1</v>
      </c>
      <c r="W183">
        <v>-2</v>
      </c>
      <c r="X183">
        <v>2</v>
      </c>
      <c r="Y183">
        <v>3</v>
      </c>
      <c r="Z183">
        <v>-1</v>
      </c>
      <c r="AA183">
        <v>1</v>
      </c>
      <c r="AB183">
        <v>-1</v>
      </c>
      <c r="AC183">
        <v>-2</v>
      </c>
      <c r="AD183">
        <v>2</v>
      </c>
      <c r="AE183">
        <v>1</v>
      </c>
      <c r="AF183">
        <v>3</v>
      </c>
      <c r="AG183">
        <v>-3</v>
      </c>
      <c r="AH183">
        <v>-2</v>
      </c>
    </row>
    <row r="184" spans="1:34" x14ac:dyDescent="0.3">
      <c r="A184" s="42">
        <f t="shared" si="15"/>
        <v>22</v>
      </c>
      <c r="B184" s="44">
        <f t="shared" si="14"/>
        <v>-0.6875</v>
      </c>
      <c r="C184">
        <v>1</v>
      </c>
      <c r="D184">
        <v>-1</v>
      </c>
      <c r="E184">
        <v>1</v>
      </c>
      <c r="F184">
        <v>-3</v>
      </c>
      <c r="G184">
        <v>-2</v>
      </c>
      <c r="H184">
        <v>-2</v>
      </c>
      <c r="I184">
        <v>1</v>
      </c>
      <c r="J184">
        <v>-1</v>
      </c>
      <c r="K184">
        <v>-2</v>
      </c>
      <c r="L184">
        <v>-2</v>
      </c>
      <c r="M184">
        <v>1</v>
      </c>
      <c r="N184">
        <v>-1</v>
      </c>
      <c r="O184">
        <v>-1</v>
      </c>
      <c r="P184">
        <v>-1</v>
      </c>
      <c r="Q184">
        <v>-1</v>
      </c>
      <c r="R184">
        <v>-1</v>
      </c>
      <c r="S184">
        <v>-3</v>
      </c>
      <c r="T184">
        <v>1</v>
      </c>
      <c r="U184">
        <v>1</v>
      </c>
      <c r="V184">
        <v>-1</v>
      </c>
      <c r="W184">
        <v>-2</v>
      </c>
      <c r="X184">
        <v>2</v>
      </c>
      <c r="Y184">
        <v>-3</v>
      </c>
      <c r="Z184">
        <v>-1</v>
      </c>
      <c r="AA184">
        <v>1</v>
      </c>
      <c r="AB184">
        <v>-1</v>
      </c>
      <c r="AC184">
        <v>-1</v>
      </c>
      <c r="AD184">
        <v>1</v>
      </c>
      <c r="AE184">
        <v>-1</v>
      </c>
      <c r="AF184">
        <v>2</v>
      </c>
      <c r="AG184">
        <v>-1</v>
      </c>
      <c r="AH184">
        <v>-2</v>
      </c>
    </row>
    <row r="185" spans="1:34" x14ac:dyDescent="0.3">
      <c r="A185" s="42">
        <f t="shared" si="15"/>
        <v>23</v>
      </c>
      <c r="B185" s="44">
        <f t="shared" si="14"/>
        <v>-0.625</v>
      </c>
      <c r="C185">
        <v>-2</v>
      </c>
      <c r="D185">
        <v>-1</v>
      </c>
      <c r="E185">
        <v>1</v>
      </c>
      <c r="F185">
        <v>-1</v>
      </c>
      <c r="G185">
        <v>-3</v>
      </c>
      <c r="H185">
        <v>-2</v>
      </c>
      <c r="I185">
        <v>-1</v>
      </c>
      <c r="J185">
        <v>-1</v>
      </c>
      <c r="K185">
        <v>1</v>
      </c>
      <c r="L185">
        <v>-1</v>
      </c>
      <c r="M185">
        <v>2</v>
      </c>
      <c r="N185">
        <v>-1</v>
      </c>
      <c r="O185">
        <v>1</v>
      </c>
      <c r="P185">
        <v>1</v>
      </c>
      <c r="Q185">
        <v>1</v>
      </c>
      <c r="R185">
        <v>-1</v>
      </c>
      <c r="S185">
        <v>-2</v>
      </c>
      <c r="T185">
        <v>-2</v>
      </c>
      <c r="U185">
        <v>1</v>
      </c>
      <c r="V185">
        <v>-3</v>
      </c>
      <c r="W185">
        <v>-1</v>
      </c>
      <c r="X185">
        <v>-1</v>
      </c>
      <c r="Y185">
        <v>-3</v>
      </c>
      <c r="Z185">
        <v>-1</v>
      </c>
      <c r="AA185">
        <v>-2</v>
      </c>
      <c r="AB185">
        <v>1</v>
      </c>
      <c r="AC185">
        <v>-1</v>
      </c>
      <c r="AD185">
        <v>1</v>
      </c>
      <c r="AE185">
        <v>-1</v>
      </c>
      <c r="AF185">
        <v>2</v>
      </c>
      <c r="AG185">
        <v>1</v>
      </c>
      <c r="AH185">
        <v>-2</v>
      </c>
    </row>
    <row r="186" spans="1:34" x14ac:dyDescent="0.3">
      <c r="A186" s="42">
        <f t="shared" si="15"/>
        <v>24</v>
      </c>
      <c r="B186" s="44">
        <f t="shared" si="14"/>
        <v>-0.4375</v>
      </c>
      <c r="C186">
        <v>-1</v>
      </c>
      <c r="D186">
        <v>-2</v>
      </c>
      <c r="E186">
        <v>-2</v>
      </c>
      <c r="F186">
        <v>3</v>
      </c>
      <c r="G186">
        <v>1</v>
      </c>
      <c r="H186">
        <v>-3</v>
      </c>
      <c r="I186">
        <v>1</v>
      </c>
      <c r="J186">
        <v>-1</v>
      </c>
      <c r="K186">
        <v>-2</v>
      </c>
      <c r="L186">
        <v>-2</v>
      </c>
      <c r="M186">
        <v>3</v>
      </c>
      <c r="N186">
        <v>-1</v>
      </c>
      <c r="O186">
        <v>-1</v>
      </c>
      <c r="P186">
        <v>-1</v>
      </c>
      <c r="Q186">
        <v>1</v>
      </c>
      <c r="R186">
        <v>-1</v>
      </c>
      <c r="S186">
        <v>-2</v>
      </c>
      <c r="T186">
        <v>-2</v>
      </c>
      <c r="U186">
        <v>2</v>
      </c>
      <c r="V186">
        <v>-3</v>
      </c>
      <c r="W186">
        <v>-2</v>
      </c>
      <c r="X186">
        <v>-2</v>
      </c>
      <c r="Y186">
        <v>3</v>
      </c>
      <c r="Z186">
        <v>1</v>
      </c>
      <c r="AA186">
        <v>-2</v>
      </c>
      <c r="AB186">
        <v>-2</v>
      </c>
      <c r="AC186">
        <v>-1</v>
      </c>
      <c r="AD186">
        <v>1</v>
      </c>
      <c r="AE186">
        <v>1</v>
      </c>
      <c r="AF186">
        <v>2</v>
      </c>
      <c r="AG186">
        <v>2</v>
      </c>
      <c r="AH186">
        <v>-2</v>
      </c>
    </row>
    <row r="187" spans="1:34" x14ac:dyDescent="0.3">
      <c r="A187" s="42">
        <f t="shared" si="15"/>
        <v>25</v>
      </c>
      <c r="B187" s="44">
        <f t="shared" si="14"/>
        <v>-0.71875</v>
      </c>
      <c r="C187">
        <v>2</v>
      </c>
      <c r="D187">
        <v>2</v>
      </c>
      <c r="E187">
        <v>-1</v>
      </c>
      <c r="F187">
        <v>-3</v>
      </c>
      <c r="G187">
        <v>-3</v>
      </c>
      <c r="H187">
        <v>-3</v>
      </c>
      <c r="I187">
        <v>2</v>
      </c>
      <c r="J187">
        <v>-2</v>
      </c>
      <c r="K187">
        <v>-2</v>
      </c>
      <c r="L187">
        <v>1</v>
      </c>
      <c r="M187">
        <v>2</v>
      </c>
      <c r="N187">
        <v>-1</v>
      </c>
      <c r="O187">
        <v>-1</v>
      </c>
      <c r="P187">
        <v>1</v>
      </c>
      <c r="Q187">
        <v>1</v>
      </c>
      <c r="R187">
        <v>1</v>
      </c>
      <c r="S187">
        <v>-2</v>
      </c>
      <c r="T187">
        <v>-1</v>
      </c>
      <c r="U187">
        <v>2</v>
      </c>
      <c r="V187">
        <v>-3</v>
      </c>
      <c r="W187">
        <v>-3</v>
      </c>
      <c r="X187">
        <v>-1</v>
      </c>
      <c r="Y187">
        <v>-3</v>
      </c>
      <c r="Z187">
        <v>-2</v>
      </c>
      <c r="AA187">
        <v>-2</v>
      </c>
      <c r="AB187">
        <v>-1</v>
      </c>
      <c r="AC187">
        <v>-2</v>
      </c>
      <c r="AD187">
        <v>1</v>
      </c>
      <c r="AE187">
        <v>1</v>
      </c>
      <c r="AF187">
        <v>2</v>
      </c>
      <c r="AG187">
        <v>-3</v>
      </c>
      <c r="AH187">
        <v>-2</v>
      </c>
    </row>
    <row r="188" spans="1:34" x14ac:dyDescent="0.3">
      <c r="A188" s="42">
        <f t="shared" si="15"/>
        <v>26</v>
      </c>
      <c r="B188" s="44">
        <f t="shared" si="14"/>
        <v>-1.0625</v>
      </c>
      <c r="C188">
        <v>-1</v>
      </c>
      <c r="D188">
        <v>-3</v>
      </c>
      <c r="E188">
        <v>-1</v>
      </c>
      <c r="F188">
        <v>-3</v>
      </c>
      <c r="G188">
        <v>-2</v>
      </c>
      <c r="H188">
        <v>-3</v>
      </c>
      <c r="I188">
        <v>-3</v>
      </c>
      <c r="J188">
        <v>-2</v>
      </c>
      <c r="K188">
        <v>1</v>
      </c>
      <c r="L188">
        <v>-1</v>
      </c>
      <c r="M188">
        <v>1</v>
      </c>
      <c r="N188">
        <v>-1</v>
      </c>
      <c r="O188">
        <v>-1</v>
      </c>
      <c r="P188">
        <v>-1</v>
      </c>
      <c r="Q188">
        <v>1</v>
      </c>
      <c r="R188">
        <v>1</v>
      </c>
      <c r="S188">
        <v>-2</v>
      </c>
      <c r="T188">
        <v>-3</v>
      </c>
      <c r="U188">
        <v>-1</v>
      </c>
      <c r="V188">
        <v>-3</v>
      </c>
      <c r="W188">
        <v>-3</v>
      </c>
      <c r="X188">
        <v>1</v>
      </c>
      <c r="Y188">
        <v>3</v>
      </c>
      <c r="Z188">
        <v>-2</v>
      </c>
      <c r="AA188">
        <v>-1</v>
      </c>
      <c r="AB188">
        <v>-2</v>
      </c>
      <c r="AC188">
        <v>-1</v>
      </c>
      <c r="AD188">
        <v>1</v>
      </c>
      <c r="AE188">
        <v>-1</v>
      </c>
      <c r="AF188">
        <v>2</v>
      </c>
      <c r="AG188">
        <v>-1</v>
      </c>
      <c r="AH188">
        <v>-3</v>
      </c>
    </row>
    <row r="189" spans="1:34" x14ac:dyDescent="0.3">
      <c r="A189" s="42">
        <f t="shared" si="15"/>
        <v>27</v>
      </c>
      <c r="B189" s="44">
        <f t="shared" si="14"/>
        <v>-0.875</v>
      </c>
      <c r="C189">
        <v>-1</v>
      </c>
      <c r="D189">
        <v>-3</v>
      </c>
      <c r="E189">
        <v>-1</v>
      </c>
      <c r="F189">
        <v>2</v>
      </c>
      <c r="G189">
        <v>-3</v>
      </c>
      <c r="H189">
        <v>-2</v>
      </c>
      <c r="I189">
        <v>-3</v>
      </c>
      <c r="J189">
        <v>-3</v>
      </c>
      <c r="K189">
        <v>1</v>
      </c>
      <c r="L189">
        <v>-1</v>
      </c>
      <c r="M189">
        <v>1</v>
      </c>
      <c r="N189">
        <v>-1</v>
      </c>
      <c r="O189">
        <v>-1</v>
      </c>
      <c r="P189">
        <v>-1</v>
      </c>
      <c r="Q189">
        <v>1</v>
      </c>
      <c r="R189">
        <v>-1</v>
      </c>
      <c r="S189">
        <v>-2</v>
      </c>
      <c r="T189">
        <v>-2</v>
      </c>
      <c r="U189">
        <v>-2</v>
      </c>
      <c r="V189">
        <v>-1</v>
      </c>
      <c r="W189">
        <v>-1</v>
      </c>
      <c r="X189">
        <v>1</v>
      </c>
      <c r="Y189">
        <v>3</v>
      </c>
      <c r="Z189">
        <v>-1</v>
      </c>
      <c r="AA189">
        <v>-2</v>
      </c>
      <c r="AB189">
        <v>-2</v>
      </c>
      <c r="AC189">
        <v>-1</v>
      </c>
      <c r="AD189">
        <v>1</v>
      </c>
      <c r="AE189">
        <v>-1</v>
      </c>
      <c r="AF189">
        <v>2</v>
      </c>
      <c r="AG189">
        <v>-2</v>
      </c>
      <c r="AH189">
        <v>-2</v>
      </c>
    </row>
    <row r="190" spans="1:34" x14ac:dyDescent="0.3">
      <c r="A190" s="42">
        <f t="shared" si="15"/>
        <v>28</v>
      </c>
      <c r="B190" s="44">
        <f t="shared" si="14"/>
        <v>-0.40625</v>
      </c>
      <c r="C190">
        <v>1</v>
      </c>
      <c r="D190">
        <v>-2</v>
      </c>
      <c r="E190">
        <v>1</v>
      </c>
      <c r="F190">
        <v>-2</v>
      </c>
      <c r="G190">
        <v>-3</v>
      </c>
      <c r="H190">
        <v>-2</v>
      </c>
      <c r="I190">
        <v>-2</v>
      </c>
      <c r="J190">
        <v>-1</v>
      </c>
      <c r="K190">
        <v>2</v>
      </c>
      <c r="L190">
        <v>1</v>
      </c>
      <c r="M190">
        <v>1</v>
      </c>
      <c r="N190">
        <v>-1</v>
      </c>
      <c r="O190">
        <v>-1</v>
      </c>
      <c r="P190">
        <v>-1</v>
      </c>
      <c r="Q190">
        <v>1</v>
      </c>
      <c r="R190">
        <v>1</v>
      </c>
      <c r="S190">
        <v>-3</v>
      </c>
      <c r="T190">
        <v>-1</v>
      </c>
      <c r="U190">
        <v>-2</v>
      </c>
      <c r="V190">
        <v>-1</v>
      </c>
      <c r="W190">
        <v>-1</v>
      </c>
      <c r="X190">
        <v>-1</v>
      </c>
      <c r="Y190">
        <v>3</v>
      </c>
      <c r="Z190">
        <v>-1</v>
      </c>
      <c r="AA190">
        <v>1</v>
      </c>
      <c r="AB190">
        <v>-2</v>
      </c>
      <c r="AC190">
        <v>-1</v>
      </c>
      <c r="AD190">
        <v>1</v>
      </c>
      <c r="AE190">
        <v>-1</v>
      </c>
      <c r="AF190">
        <v>1</v>
      </c>
      <c r="AG190">
        <v>1</v>
      </c>
      <c r="AH190">
        <v>1</v>
      </c>
    </row>
    <row r="191" spans="1:34" x14ac:dyDescent="0.3">
      <c r="A191" s="42">
        <f t="shared" si="15"/>
        <v>29</v>
      </c>
      <c r="B191" s="44">
        <f t="shared" si="14"/>
        <v>-0.71875</v>
      </c>
      <c r="C191">
        <v>1</v>
      </c>
      <c r="D191">
        <v>-1</v>
      </c>
      <c r="E191">
        <v>2</v>
      </c>
      <c r="F191">
        <v>2</v>
      </c>
      <c r="G191">
        <v>-3</v>
      </c>
      <c r="H191">
        <v>-3</v>
      </c>
      <c r="I191">
        <v>2</v>
      </c>
      <c r="J191">
        <v>-1</v>
      </c>
      <c r="K191">
        <v>-1</v>
      </c>
      <c r="L191">
        <v>-2</v>
      </c>
      <c r="M191">
        <v>1</v>
      </c>
      <c r="N191">
        <v>-1</v>
      </c>
      <c r="O191">
        <v>-2</v>
      </c>
      <c r="P191">
        <v>-1</v>
      </c>
      <c r="Q191">
        <v>1</v>
      </c>
      <c r="R191">
        <v>-2</v>
      </c>
      <c r="S191">
        <v>-2</v>
      </c>
      <c r="T191">
        <v>-1</v>
      </c>
      <c r="U191">
        <v>-1</v>
      </c>
      <c r="V191">
        <v>-3</v>
      </c>
      <c r="W191">
        <v>-2</v>
      </c>
      <c r="X191">
        <v>1</v>
      </c>
      <c r="Y191">
        <v>-3</v>
      </c>
      <c r="Z191">
        <v>-2</v>
      </c>
      <c r="AA191">
        <v>-1</v>
      </c>
      <c r="AB191">
        <v>-2</v>
      </c>
      <c r="AC191">
        <v>-1</v>
      </c>
      <c r="AD191">
        <v>1</v>
      </c>
      <c r="AE191">
        <v>-2</v>
      </c>
      <c r="AF191">
        <v>1</v>
      </c>
      <c r="AG191">
        <v>1</v>
      </c>
      <c r="AH191">
        <v>1</v>
      </c>
    </row>
    <row r="192" spans="1:34" x14ac:dyDescent="0.3">
      <c r="A192" s="42">
        <f t="shared" si="15"/>
        <v>30</v>
      </c>
      <c r="B192" s="44">
        <f t="shared" si="14"/>
        <v>-0.5</v>
      </c>
      <c r="C192">
        <v>1</v>
      </c>
      <c r="D192">
        <v>-2</v>
      </c>
      <c r="E192">
        <v>-1</v>
      </c>
      <c r="F192">
        <v>3</v>
      </c>
      <c r="G192">
        <v>-3</v>
      </c>
      <c r="H192">
        <v>2</v>
      </c>
      <c r="I192">
        <v>-2</v>
      </c>
      <c r="J192">
        <v>-2</v>
      </c>
      <c r="K192">
        <v>-2</v>
      </c>
      <c r="L192">
        <v>-2</v>
      </c>
      <c r="M192">
        <v>2</v>
      </c>
      <c r="N192">
        <v>-1</v>
      </c>
      <c r="O192">
        <v>-2</v>
      </c>
      <c r="P192">
        <v>1</v>
      </c>
      <c r="Q192">
        <v>2</v>
      </c>
      <c r="R192">
        <v>-2</v>
      </c>
      <c r="S192">
        <v>-3</v>
      </c>
      <c r="T192">
        <v>1</v>
      </c>
      <c r="U192">
        <v>1</v>
      </c>
      <c r="V192">
        <v>-3</v>
      </c>
      <c r="W192">
        <v>-2</v>
      </c>
      <c r="X192">
        <v>1</v>
      </c>
      <c r="Y192">
        <v>3</v>
      </c>
      <c r="Z192">
        <v>-3</v>
      </c>
      <c r="AA192">
        <v>-2</v>
      </c>
      <c r="AB192">
        <v>-2</v>
      </c>
      <c r="AC192">
        <v>1</v>
      </c>
      <c r="AD192">
        <v>1</v>
      </c>
      <c r="AE192">
        <v>-1</v>
      </c>
      <c r="AF192">
        <v>1</v>
      </c>
      <c r="AG192">
        <v>-2</v>
      </c>
      <c r="AH192">
        <v>1</v>
      </c>
    </row>
    <row r="193" spans="1:34" x14ac:dyDescent="0.3">
      <c r="A193" s="42">
        <f t="shared" si="15"/>
        <v>31</v>
      </c>
      <c r="B193" s="44">
        <f t="shared" si="14"/>
        <v>-1.09375</v>
      </c>
      <c r="C193">
        <v>-1</v>
      </c>
      <c r="D193">
        <v>-3</v>
      </c>
      <c r="E193">
        <v>-1</v>
      </c>
      <c r="F193">
        <v>-3</v>
      </c>
      <c r="G193">
        <v>-3</v>
      </c>
      <c r="H193">
        <v>-3</v>
      </c>
      <c r="I193">
        <v>-3</v>
      </c>
      <c r="J193">
        <v>-2</v>
      </c>
      <c r="K193">
        <v>-2</v>
      </c>
      <c r="L193">
        <v>-2</v>
      </c>
      <c r="M193">
        <v>-1</v>
      </c>
      <c r="N193">
        <v>-1</v>
      </c>
      <c r="O193">
        <v>-2</v>
      </c>
      <c r="P193">
        <v>1</v>
      </c>
      <c r="Q193">
        <v>2</v>
      </c>
      <c r="R193">
        <v>-2</v>
      </c>
      <c r="S193">
        <v>-3</v>
      </c>
      <c r="T193">
        <v>-1</v>
      </c>
      <c r="U193">
        <v>3</v>
      </c>
      <c r="V193">
        <v>-3</v>
      </c>
      <c r="W193">
        <v>-2</v>
      </c>
      <c r="X193">
        <v>3</v>
      </c>
      <c r="Y193">
        <v>-3</v>
      </c>
      <c r="Z193">
        <v>-3</v>
      </c>
      <c r="AA193">
        <v>-1</v>
      </c>
      <c r="AB193">
        <v>1</v>
      </c>
      <c r="AC193">
        <v>-2</v>
      </c>
      <c r="AD193">
        <v>1</v>
      </c>
      <c r="AE193">
        <v>-1</v>
      </c>
      <c r="AF193">
        <v>3</v>
      </c>
      <c r="AG193">
        <v>-3</v>
      </c>
      <c r="AH193">
        <v>2</v>
      </c>
    </row>
    <row r="194" spans="1:34" x14ac:dyDescent="0.3">
      <c r="A194" s="42">
        <f t="shared" si="15"/>
        <v>32</v>
      </c>
      <c r="B194" s="44">
        <f t="shared" si="14"/>
        <v>-0.21875</v>
      </c>
      <c r="C194">
        <v>1</v>
      </c>
      <c r="D194">
        <v>-2</v>
      </c>
      <c r="E194">
        <v>-1</v>
      </c>
      <c r="F194">
        <v>-3</v>
      </c>
      <c r="G194">
        <v>2</v>
      </c>
      <c r="H194">
        <v>-3</v>
      </c>
      <c r="I194">
        <v>-3</v>
      </c>
      <c r="J194">
        <v>-2</v>
      </c>
      <c r="K194">
        <v>-2</v>
      </c>
      <c r="L194">
        <v>-2</v>
      </c>
      <c r="M194">
        <v>2</v>
      </c>
      <c r="N194">
        <v>-1</v>
      </c>
      <c r="O194">
        <v>-3</v>
      </c>
      <c r="P194">
        <v>1</v>
      </c>
      <c r="Q194">
        <v>2</v>
      </c>
      <c r="R194">
        <v>1</v>
      </c>
      <c r="S194">
        <v>-3</v>
      </c>
      <c r="T194">
        <v>1</v>
      </c>
      <c r="U194">
        <v>1</v>
      </c>
      <c r="V194">
        <v>-2</v>
      </c>
      <c r="W194">
        <v>-3</v>
      </c>
      <c r="X194">
        <v>2</v>
      </c>
      <c r="Y194">
        <v>3</v>
      </c>
      <c r="Z194">
        <v>-3</v>
      </c>
      <c r="AA194">
        <v>-2</v>
      </c>
      <c r="AB194">
        <v>2</v>
      </c>
      <c r="AC194">
        <v>1</v>
      </c>
      <c r="AD194">
        <v>2</v>
      </c>
      <c r="AE194">
        <v>1</v>
      </c>
      <c r="AF194">
        <v>2</v>
      </c>
      <c r="AG194">
        <v>1</v>
      </c>
      <c r="AH194">
        <v>3</v>
      </c>
    </row>
    <row r="195" spans="1:34" x14ac:dyDescent="0.3">
      <c r="A195" s="42">
        <f t="shared" si="15"/>
        <v>33</v>
      </c>
      <c r="B195" s="44">
        <f t="shared" si="14"/>
        <v>-0.1875</v>
      </c>
      <c r="C195">
        <v>-1</v>
      </c>
      <c r="D195">
        <v>-1</v>
      </c>
      <c r="E195">
        <v>-1</v>
      </c>
      <c r="F195">
        <v>3</v>
      </c>
      <c r="G195">
        <v>2</v>
      </c>
      <c r="H195">
        <v>-1</v>
      </c>
      <c r="I195">
        <v>-1</v>
      </c>
      <c r="J195">
        <v>-2</v>
      </c>
      <c r="K195">
        <v>1</v>
      </c>
      <c r="L195">
        <v>-1</v>
      </c>
      <c r="M195">
        <v>1</v>
      </c>
      <c r="N195">
        <v>-1</v>
      </c>
      <c r="O195">
        <v>1</v>
      </c>
      <c r="P195">
        <v>-1</v>
      </c>
      <c r="Q195">
        <v>2</v>
      </c>
      <c r="R195">
        <v>-2</v>
      </c>
      <c r="S195">
        <v>-2</v>
      </c>
      <c r="T195">
        <v>-2</v>
      </c>
      <c r="U195">
        <v>1</v>
      </c>
      <c r="V195">
        <v>-2</v>
      </c>
      <c r="W195">
        <v>-2</v>
      </c>
      <c r="X195">
        <v>2</v>
      </c>
      <c r="Y195">
        <v>3</v>
      </c>
      <c r="Z195">
        <v>-1</v>
      </c>
      <c r="AA195">
        <v>-1</v>
      </c>
      <c r="AB195">
        <v>-1</v>
      </c>
      <c r="AC195">
        <v>-1</v>
      </c>
      <c r="AD195">
        <v>1</v>
      </c>
      <c r="AE195">
        <v>-1</v>
      </c>
      <c r="AF195">
        <v>2</v>
      </c>
      <c r="AG195">
        <v>-1</v>
      </c>
      <c r="AH195">
        <v>1</v>
      </c>
    </row>
    <row r="196" spans="1:34" x14ac:dyDescent="0.3">
      <c r="A196" s="42">
        <f t="shared" si="15"/>
        <v>34</v>
      </c>
      <c r="B196" s="44">
        <f t="shared" si="14"/>
        <v>-1.15625</v>
      </c>
      <c r="C196">
        <v>-2</v>
      </c>
      <c r="D196">
        <v>-2</v>
      </c>
      <c r="E196">
        <v>-2</v>
      </c>
      <c r="F196">
        <v>-3</v>
      </c>
      <c r="G196">
        <v>-3</v>
      </c>
      <c r="H196">
        <v>-3</v>
      </c>
      <c r="I196">
        <v>-2</v>
      </c>
      <c r="J196">
        <v>-3</v>
      </c>
      <c r="K196">
        <v>-2</v>
      </c>
      <c r="L196">
        <v>-2</v>
      </c>
      <c r="M196">
        <v>-2</v>
      </c>
      <c r="N196">
        <v>-2</v>
      </c>
      <c r="O196">
        <v>-2</v>
      </c>
      <c r="P196">
        <v>1</v>
      </c>
      <c r="Q196">
        <v>1</v>
      </c>
      <c r="R196">
        <v>-2</v>
      </c>
      <c r="S196">
        <v>-3</v>
      </c>
      <c r="T196">
        <v>-1</v>
      </c>
      <c r="U196">
        <v>1</v>
      </c>
      <c r="V196">
        <v>-3</v>
      </c>
      <c r="W196">
        <v>-3</v>
      </c>
      <c r="X196">
        <v>3</v>
      </c>
      <c r="Y196">
        <v>3</v>
      </c>
      <c r="Z196">
        <v>-2</v>
      </c>
      <c r="AA196">
        <v>1</v>
      </c>
      <c r="AB196">
        <v>-1</v>
      </c>
      <c r="AC196">
        <v>1</v>
      </c>
      <c r="AD196">
        <v>1</v>
      </c>
      <c r="AE196">
        <v>-2</v>
      </c>
      <c r="AF196">
        <v>2</v>
      </c>
      <c r="AG196">
        <v>-2</v>
      </c>
      <c r="AH196">
        <v>-2</v>
      </c>
    </row>
    <row r="197" spans="1:34" x14ac:dyDescent="0.3">
      <c r="A197" s="42">
        <f t="shared" si="15"/>
        <v>35</v>
      </c>
      <c r="B197" s="44">
        <f t="shared" si="14"/>
        <v>-0.28125</v>
      </c>
      <c r="C197">
        <v>1</v>
      </c>
      <c r="D197">
        <v>-1</v>
      </c>
      <c r="E197">
        <v>1</v>
      </c>
      <c r="F197">
        <v>3</v>
      </c>
      <c r="G197">
        <v>1</v>
      </c>
      <c r="H197">
        <v>-2</v>
      </c>
      <c r="I197">
        <v>-1</v>
      </c>
      <c r="J197">
        <v>-2</v>
      </c>
      <c r="K197">
        <v>-2</v>
      </c>
      <c r="L197">
        <v>-2</v>
      </c>
      <c r="M197">
        <v>1</v>
      </c>
      <c r="N197">
        <v>-2</v>
      </c>
      <c r="O197">
        <v>1</v>
      </c>
      <c r="P197">
        <v>1</v>
      </c>
      <c r="Q197">
        <v>2</v>
      </c>
      <c r="R197">
        <v>1</v>
      </c>
      <c r="S197">
        <v>-2</v>
      </c>
      <c r="T197">
        <v>-2</v>
      </c>
      <c r="U197">
        <v>1</v>
      </c>
      <c r="V197">
        <v>-3</v>
      </c>
      <c r="W197">
        <v>-1</v>
      </c>
      <c r="X197">
        <v>-1</v>
      </c>
      <c r="Y197">
        <v>3</v>
      </c>
      <c r="Z197">
        <v>-1</v>
      </c>
      <c r="AA197">
        <v>-2</v>
      </c>
      <c r="AB197">
        <v>-1</v>
      </c>
      <c r="AC197">
        <v>-1</v>
      </c>
      <c r="AD197">
        <v>1</v>
      </c>
      <c r="AE197">
        <v>-1</v>
      </c>
      <c r="AF197">
        <v>2</v>
      </c>
      <c r="AG197">
        <v>1</v>
      </c>
      <c r="AH197">
        <v>-2</v>
      </c>
    </row>
    <row r="198" spans="1:34" x14ac:dyDescent="0.3">
      <c r="A198" s="42">
        <f t="shared" si="15"/>
        <v>36</v>
      </c>
      <c r="B198" s="44">
        <f t="shared" si="14"/>
        <v>-0.28125</v>
      </c>
      <c r="C198">
        <v>1</v>
      </c>
      <c r="D198">
        <v>-2</v>
      </c>
      <c r="E198">
        <v>1</v>
      </c>
      <c r="F198">
        <v>2</v>
      </c>
      <c r="G198">
        <v>-1</v>
      </c>
      <c r="H198">
        <v>-1</v>
      </c>
      <c r="I198">
        <v>-1</v>
      </c>
      <c r="J198">
        <v>-3</v>
      </c>
      <c r="K198">
        <v>-1</v>
      </c>
      <c r="L198">
        <v>-1</v>
      </c>
      <c r="M198">
        <v>2</v>
      </c>
      <c r="N198">
        <v>-1</v>
      </c>
      <c r="O198">
        <v>1</v>
      </c>
      <c r="P198">
        <v>-1</v>
      </c>
      <c r="Q198">
        <v>2</v>
      </c>
      <c r="R198">
        <v>-1</v>
      </c>
      <c r="S198">
        <v>-1</v>
      </c>
      <c r="T198">
        <v>-2</v>
      </c>
      <c r="U198">
        <v>1</v>
      </c>
      <c r="V198">
        <v>1</v>
      </c>
      <c r="W198">
        <v>-3</v>
      </c>
      <c r="X198">
        <v>2</v>
      </c>
      <c r="Y198">
        <v>3</v>
      </c>
      <c r="Z198">
        <v>-1</v>
      </c>
      <c r="AA198">
        <v>-2</v>
      </c>
      <c r="AB198">
        <v>-1</v>
      </c>
      <c r="AC198">
        <v>-2</v>
      </c>
      <c r="AD198">
        <v>1</v>
      </c>
      <c r="AE198">
        <v>-1</v>
      </c>
      <c r="AF198">
        <v>1</v>
      </c>
      <c r="AG198">
        <v>-2</v>
      </c>
      <c r="AH198">
        <v>1</v>
      </c>
    </row>
    <row r="199" spans="1:34" x14ac:dyDescent="0.3">
      <c r="A199" s="42">
        <f t="shared" si="15"/>
        <v>37</v>
      </c>
      <c r="B199" s="44">
        <f t="shared" si="14"/>
        <v>-0.34375</v>
      </c>
      <c r="C199">
        <v>-3</v>
      </c>
      <c r="D199">
        <v>-1</v>
      </c>
      <c r="E199">
        <v>-1</v>
      </c>
      <c r="F199">
        <v>-3</v>
      </c>
      <c r="G199">
        <v>1</v>
      </c>
      <c r="H199">
        <v>1</v>
      </c>
      <c r="I199">
        <v>-1</v>
      </c>
      <c r="J199">
        <v>-1</v>
      </c>
      <c r="K199">
        <v>1</v>
      </c>
      <c r="L199">
        <v>-1</v>
      </c>
      <c r="M199">
        <v>-1</v>
      </c>
      <c r="N199">
        <v>-2</v>
      </c>
      <c r="O199">
        <v>1</v>
      </c>
      <c r="P199">
        <v>1</v>
      </c>
      <c r="Q199">
        <v>1</v>
      </c>
      <c r="R199">
        <v>-1</v>
      </c>
      <c r="S199">
        <v>1</v>
      </c>
      <c r="T199">
        <v>-2</v>
      </c>
      <c r="U199">
        <v>-1</v>
      </c>
      <c r="V199">
        <v>-2</v>
      </c>
      <c r="W199">
        <v>-2</v>
      </c>
      <c r="X199">
        <v>1</v>
      </c>
      <c r="Y199">
        <v>3</v>
      </c>
      <c r="Z199">
        <v>-1</v>
      </c>
      <c r="AA199">
        <v>-1</v>
      </c>
      <c r="AB199">
        <v>2</v>
      </c>
      <c r="AC199">
        <v>-1</v>
      </c>
      <c r="AD199">
        <v>1</v>
      </c>
      <c r="AE199">
        <v>-2</v>
      </c>
      <c r="AF199">
        <v>-1</v>
      </c>
      <c r="AG199">
        <v>1</v>
      </c>
      <c r="AH199">
        <v>2</v>
      </c>
    </row>
    <row r="200" spans="1:34" x14ac:dyDescent="0.3">
      <c r="A200" s="42">
        <f t="shared" si="15"/>
        <v>38</v>
      </c>
      <c r="B200" s="44">
        <f t="shared" si="14"/>
        <v>-0.21875</v>
      </c>
      <c r="C200">
        <v>1</v>
      </c>
      <c r="D200">
        <v>-1</v>
      </c>
      <c r="E200">
        <v>-1</v>
      </c>
      <c r="F200">
        <v>-3</v>
      </c>
      <c r="G200">
        <v>3</v>
      </c>
      <c r="H200">
        <v>-2</v>
      </c>
      <c r="I200">
        <v>-3</v>
      </c>
      <c r="J200">
        <v>-1</v>
      </c>
      <c r="K200">
        <v>1</v>
      </c>
      <c r="L200">
        <v>-2</v>
      </c>
      <c r="M200">
        <v>1</v>
      </c>
      <c r="N200">
        <v>-1</v>
      </c>
      <c r="O200">
        <v>1</v>
      </c>
      <c r="P200">
        <v>-1</v>
      </c>
      <c r="Q200">
        <v>2</v>
      </c>
      <c r="R200">
        <v>-1</v>
      </c>
      <c r="S200">
        <v>1</v>
      </c>
      <c r="T200">
        <v>-2</v>
      </c>
      <c r="U200">
        <v>1</v>
      </c>
      <c r="V200">
        <v>-2</v>
      </c>
      <c r="W200">
        <v>-2</v>
      </c>
      <c r="X200">
        <v>1</v>
      </c>
      <c r="Y200">
        <v>3</v>
      </c>
      <c r="Z200">
        <v>1</v>
      </c>
      <c r="AA200">
        <v>1</v>
      </c>
      <c r="AB200">
        <v>-1</v>
      </c>
      <c r="AC200">
        <v>-2</v>
      </c>
      <c r="AD200">
        <v>1</v>
      </c>
      <c r="AE200">
        <v>-1</v>
      </c>
      <c r="AF200">
        <v>1</v>
      </c>
      <c r="AG200">
        <v>-1</v>
      </c>
      <c r="AH200">
        <v>1</v>
      </c>
    </row>
    <row r="201" spans="1:34" x14ac:dyDescent="0.3">
      <c r="A201" s="42">
        <f t="shared" si="15"/>
        <v>39</v>
      </c>
      <c r="B201" s="44">
        <f t="shared" si="14"/>
        <v>-0.15625</v>
      </c>
      <c r="C201">
        <v>1</v>
      </c>
      <c r="D201">
        <v>-2</v>
      </c>
      <c r="E201">
        <v>-1</v>
      </c>
      <c r="F201">
        <v>3</v>
      </c>
      <c r="G201">
        <v>-1</v>
      </c>
      <c r="H201">
        <v>-1</v>
      </c>
      <c r="I201">
        <v>1</v>
      </c>
      <c r="J201">
        <v>1</v>
      </c>
      <c r="K201">
        <v>1</v>
      </c>
      <c r="L201">
        <v>-1</v>
      </c>
      <c r="M201">
        <v>1</v>
      </c>
      <c r="N201">
        <v>-1</v>
      </c>
      <c r="O201">
        <v>-1</v>
      </c>
      <c r="P201">
        <v>1</v>
      </c>
      <c r="Q201">
        <v>2</v>
      </c>
      <c r="R201">
        <v>-1</v>
      </c>
      <c r="S201">
        <v>-2</v>
      </c>
      <c r="T201">
        <v>-2</v>
      </c>
      <c r="U201">
        <v>-1</v>
      </c>
      <c r="V201">
        <v>-2</v>
      </c>
      <c r="W201">
        <v>-2</v>
      </c>
      <c r="X201">
        <v>2</v>
      </c>
      <c r="Y201">
        <v>3</v>
      </c>
      <c r="Z201">
        <v>-1</v>
      </c>
      <c r="AA201">
        <v>-1</v>
      </c>
      <c r="AB201">
        <v>-1</v>
      </c>
      <c r="AC201">
        <v>1</v>
      </c>
      <c r="AD201">
        <v>-1</v>
      </c>
      <c r="AE201">
        <v>-1</v>
      </c>
      <c r="AF201">
        <v>1</v>
      </c>
      <c r="AG201">
        <v>2</v>
      </c>
      <c r="AH201">
        <v>-2</v>
      </c>
    </row>
    <row r="202" spans="1:34" x14ac:dyDescent="0.3">
      <c r="A202" s="42">
        <f t="shared" si="15"/>
        <v>40</v>
      </c>
      <c r="B202" s="44">
        <f t="shared" si="14"/>
        <v>-1.4375</v>
      </c>
      <c r="C202">
        <v>-2</v>
      </c>
      <c r="D202">
        <v>-3</v>
      </c>
      <c r="E202">
        <v>-1</v>
      </c>
      <c r="F202">
        <v>1</v>
      </c>
      <c r="G202">
        <v>3</v>
      </c>
      <c r="H202">
        <v>-3</v>
      </c>
      <c r="I202">
        <v>-2</v>
      </c>
      <c r="J202">
        <v>-3</v>
      </c>
      <c r="K202">
        <v>-3</v>
      </c>
      <c r="L202">
        <v>-3</v>
      </c>
      <c r="M202">
        <v>-2</v>
      </c>
      <c r="N202">
        <v>-1</v>
      </c>
      <c r="O202">
        <v>-3</v>
      </c>
      <c r="P202">
        <v>-2</v>
      </c>
      <c r="Q202">
        <v>2</v>
      </c>
      <c r="R202">
        <v>-2</v>
      </c>
      <c r="S202">
        <v>-2</v>
      </c>
      <c r="T202">
        <v>-3</v>
      </c>
      <c r="U202">
        <v>-2</v>
      </c>
      <c r="V202">
        <v>-3</v>
      </c>
      <c r="W202">
        <v>-3</v>
      </c>
      <c r="X202">
        <v>3</v>
      </c>
      <c r="Y202">
        <v>3</v>
      </c>
      <c r="Z202">
        <v>-3</v>
      </c>
      <c r="AA202">
        <v>-2</v>
      </c>
      <c r="AB202">
        <v>-2</v>
      </c>
      <c r="AC202">
        <v>-2</v>
      </c>
      <c r="AD202">
        <v>1</v>
      </c>
      <c r="AE202">
        <v>1</v>
      </c>
      <c r="AF202">
        <v>-2</v>
      </c>
      <c r="AG202">
        <v>-3</v>
      </c>
      <c r="AH202">
        <v>-3</v>
      </c>
    </row>
    <row r="203" spans="1:34" x14ac:dyDescent="0.3">
      <c r="A203" s="42">
        <f t="shared" si="15"/>
        <v>41</v>
      </c>
      <c r="B203" s="44">
        <f t="shared" si="14"/>
        <v>-1.21875</v>
      </c>
      <c r="C203">
        <v>-2</v>
      </c>
      <c r="D203">
        <v>1</v>
      </c>
      <c r="E203">
        <v>-2</v>
      </c>
      <c r="F203">
        <v>-2</v>
      </c>
      <c r="G203">
        <v>-2</v>
      </c>
      <c r="H203">
        <v>-3</v>
      </c>
      <c r="I203">
        <v>-1</v>
      </c>
      <c r="J203">
        <v>-3</v>
      </c>
      <c r="K203">
        <v>-2</v>
      </c>
      <c r="L203">
        <v>-2</v>
      </c>
      <c r="M203">
        <v>1</v>
      </c>
      <c r="N203">
        <v>-1</v>
      </c>
      <c r="O203">
        <v>-2</v>
      </c>
      <c r="P203">
        <v>-2</v>
      </c>
      <c r="Q203">
        <v>2</v>
      </c>
      <c r="R203">
        <v>-2</v>
      </c>
      <c r="S203">
        <v>-2</v>
      </c>
      <c r="T203">
        <v>-2</v>
      </c>
      <c r="U203">
        <v>-1</v>
      </c>
      <c r="V203">
        <v>-2</v>
      </c>
      <c r="W203">
        <v>-3</v>
      </c>
      <c r="X203">
        <v>3</v>
      </c>
      <c r="Y203">
        <v>3</v>
      </c>
      <c r="Z203">
        <v>-2</v>
      </c>
      <c r="AA203">
        <v>-2</v>
      </c>
      <c r="AB203">
        <v>-2</v>
      </c>
      <c r="AC203">
        <v>-2</v>
      </c>
      <c r="AD203">
        <v>1</v>
      </c>
      <c r="AE203">
        <v>-2</v>
      </c>
      <c r="AF203">
        <v>-1</v>
      </c>
      <c r="AG203">
        <v>-1</v>
      </c>
      <c r="AH203">
        <v>-2</v>
      </c>
    </row>
    <row r="204" spans="1:34" x14ac:dyDescent="0.3">
      <c r="A204" s="42">
        <f t="shared" si="15"/>
        <v>42</v>
      </c>
      <c r="B204" s="44">
        <f t="shared" si="14"/>
        <v>-0.46875</v>
      </c>
      <c r="C204">
        <v>-2</v>
      </c>
      <c r="D204">
        <v>-1</v>
      </c>
      <c r="E204">
        <v>-1</v>
      </c>
      <c r="F204">
        <v>3</v>
      </c>
      <c r="G204">
        <v>2</v>
      </c>
      <c r="H204">
        <v>-2</v>
      </c>
      <c r="I204">
        <v>-3</v>
      </c>
      <c r="J204">
        <v>-2</v>
      </c>
      <c r="K204">
        <v>-1</v>
      </c>
      <c r="L204">
        <v>-2</v>
      </c>
      <c r="M204">
        <v>-1</v>
      </c>
      <c r="N204">
        <v>-1</v>
      </c>
      <c r="O204">
        <v>1</v>
      </c>
      <c r="P204">
        <v>-1</v>
      </c>
      <c r="Q204">
        <v>1</v>
      </c>
      <c r="R204">
        <v>-1</v>
      </c>
      <c r="S204">
        <v>-2</v>
      </c>
      <c r="T204">
        <v>-1</v>
      </c>
      <c r="U204">
        <v>1</v>
      </c>
      <c r="V204">
        <v>1</v>
      </c>
      <c r="W204">
        <v>-3</v>
      </c>
      <c r="X204">
        <v>1</v>
      </c>
      <c r="Y204">
        <v>3</v>
      </c>
      <c r="Z204">
        <v>-1</v>
      </c>
      <c r="AA204">
        <v>-1</v>
      </c>
      <c r="AB204">
        <v>-1</v>
      </c>
      <c r="AC204">
        <v>-2</v>
      </c>
      <c r="AD204">
        <v>-1</v>
      </c>
      <c r="AE204">
        <v>-1</v>
      </c>
      <c r="AF204">
        <v>1</v>
      </c>
      <c r="AG204">
        <v>1</v>
      </c>
      <c r="AH204">
        <v>1</v>
      </c>
    </row>
    <row r="205" spans="1:34" x14ac:dyDescent="0.3">
      <c r="A205" s="42">
        <f t="shared" si="15"/>
        <v>43</v>
      </c>
      <c r="B205" s="44">
        <f t="shared" si="14"/>
        <v>-9.375E-2</v>
      </c>
      <c r="C205">
        <v>-2</v>
      </c>
      <c r="D205">
        <v>-1</v>
      </c>
      <c r="E205">
        <v>1</v>
      </c>
      <c r="F205">
        <v>3</v>
      </c>
      <c r="G205">
        <v>2</v>
      </c>
      <c r="H205">
        <v>-1</v>
      </c>
      <c r="I205">
        <v>-3</v>
      </c>
      <c r="J205">
        <v>-1</v>
      </c>
      <c r="K205">
        <v>-2</v>
      </c>
      <c r="L205">
        <v>-1</v>
      </c>
      <c r="M205">
        <v>1</v>
      </c>
      <c r="N205">
        <v>-1</v>
      </c>
      <c r="O205">
        <v>1</v>
      </c>
      <c r="P205">
        <v>-1</v>
      </c>
      <c r="Q205">
        <v>2</v>
      </c>
      <c r="R205">
        <v>-1</v>
      </c>
      <c r="S205">
        <v>-1</v>
      </c>
      <c r="T205">
        <v>-1</v>
      </c>
      <c r="U205">
        <v>1</v>
      </c>
      <c r="V205">
        <v>1</v>
      </c>
      <c r="W205">
        <v>-2</v>
      </c>
      <c r="X205">
        <v>1</v>
      </c>
      <c r="Y205">
        <v>3</v>
      </c>
      <c r="Z205">
        <v>1</v>
      </c>
      <c r="AA205">
        <v>-1</v>
      </c>
      <c r="AB205">
        <v>-1</v>
      </c>
      <c r="AC205">
        <v>-1</v>
      </c>
      <c r="AD205">
        <v>1</v>
      </c>
      <c r="AE205">
        <v>-2</v>
      </c>
      <c r="AF205">
        <v>-2</v>
      </c>
      <c r="AG205">
        <v>3</v>
      </c>
      <c r="AH205">
        <v>1</v>
      </c>
    </row>
    <row r="206" spans="1:34" x14ac:dyDescent="0.3">
      <c r="A206" s="42">
        <f t="shared" si="15"/>
        <v>44</v>
      </c>
      <c r="B206" s="44">
        <f t="shared" si="14"/>
        <v>-0.3125</v>
      </c>
      <c r="C206">
        <v>-2</v>
      </c>
      <c r="D206">
        <v>-2</v>
      </c>
      <c r="E206">
        <v>1</v>
      </c>
      <c r="F206">
        <v>3</v>
      </c>
      <c r="G206">
        <v>3</v>
      </c>
      <c r="H206">
        <v>-1</v>
      </c>
      <c r="I206">
        <v>1</v>
      </c>
      <c r="J206">
        <v>-1</v>
      </c>
      <c r="K206">
        <v>-2</v>
      </c>
      <c r="L206">
        <v>-1</v>
      </c>
      <c r="M206">
        <v>1</v>
      </c>
      <c r="N206">
        <v>-1</v>
      </c>
      <c r="O206">
        <v>1</v>
      </c>
      <c r="P206">
        <v>-2</v>
      </c>
      <c r="Q206">
        <v>2</v>
      </c>
      <c r="R206">
        <v>-1</v>
      </c>
      <c r="S206">
        <v>-2</v>
      </c>
      <c r="T206">
        <v>-2</v>
      </c>
      <c r="U206">
        <v>-1</v>
      </c>
      <c r="V206">
        <v>-2</v>
      </c>
      <c r="W206">
        <v>-2</v>
      </c>
      <c r="X206">
        <v>2</v>
      </c>
      <c r="Y206">
        <v>2</v>
      </c>
      <c r="Z206">
        <v>1</v>
      </c>
      <c r="AA206">
        <v>-2</v>
      </c>
      <c r="AB206">
        <v>-1</v>
      </c>
      <c r="AC206">
        <v>-1</v>
      </c>
      <c r="AD206">
        <v>1</v>
      </c>
      <c r="AE206">
        <v>-1</v>
      </c>
      <c r="AF206">
        <v>-1</v>
      </c>
      <c r="AG206">
        <v>-1</v>
      </c>
      <c r="AH206">
        <v>1</v>
      </c>
    </row>
    <row r="207" spans="1:34" x14ac:dyDescent="0.3">
      <c r="A207" s="42">
        <f t="shared" si="15"/>
        <v>45</v>
      </c>
      <c r="B207" s="44">
        <f t="shared" si="14"/>
        <v>-0.28125</v>
      </c>
      <c r="C207">
        <v>-2</v>
      </c>
      <c r="D207">
        <v>1</v>
      </c>
      <c r="E207">
        <v>1</v>
      </c>
      <c r="F207">
        <v>2</v>
      </c>
      <c r="G207">
        <v>3</v>
      </c>
      <c r="H207">
        <v>-2</v>
      </c>
      <c r="I207">
        <v>-2</v>
      </c>
      <c r="J207">
        <v>-2</v>
      </c>
      <c r="K207">
        <v>1</v>
      </c>
      <c r="L207">
        <v>-2</v>
      </c>
      <c r="M207">
        <v>2</v>
      </c>
      <c r="N207">
        <v>-2</v>
      </c>
      <c r="O207">
        <v>2</v>
      </c>
      <c r="P207">
        <v>-1</v>
      </c>
      <c r="Q207">
        <v>2</v>
      </c>
      <c r="R207">
        <v>-2</v>
      </c>
      <c r="S207">
        <v>1</v>
      </c>
      <c r="T207">
        <v>-1</v>
      </c>
      <c r="U207">
        <v>1</v>
      </c>
      <c r="V207">
        <v>-2</v>
      </c>
      <c r="W207">
        <v>-3</v>
      </c>
      <c r="X207">
        <v>1</v>
      </c>
      <c r="Y207">
        <v>-3</v>
      </c>
      <c r="Z207">
        <v>-1</v>
      </c>
      <c r="AA207">
        <v>-1</v>
      </c>
      <c r="AB207">
        <v>-1</v>
      </c>
      <c r="AC207">
        <v>-3</v>
      </c>
      <c r="AD207">
        <v>1</v>
      </c>
      <c r="AE207">
        <v>-2</v>
      </c>
      <c r="AF207">
        <v>2</v>
      </c>
      <c r="AG207">
        <v>2</v>
      </c>
      <c r="AH207">
        <v>1</v>
      </c>
    </row>
    <row r="208" spans="1:34" x14ac:dyDescent="0.3">
      <c r="A208" s="42">
        <f t="shared" si="15"/>
        <v>46</v>
      </c>
      <c r="B208" s="44">
        <f t="shared" si="14"/>
        <v>-0.6875</v>
      </c>
      <c r="C208">
        <v>-2</v>
      </c>
      <c r="D208">
        <v>-2</v>
      </c>
      <c r="E208">
        <v>-1</v>
      </c>
      <c r="F208">
        <v>-2</v>
      </c>
      <c r="G208">
        <v>-3</v>
      </c>
      <c r="H208">
        <v>-2</v>
      </c>
      <c r="I208">
        <v>-2</v>
      </c>
      <c r="J208">
        <v>-2</v>
      </c>
      <c r="K208">
        <v>-2</v>
      </c>
      <c r="L208">
        <v>-1</v>
      </c>
      <c r="M208">
        <v>1</v>
      </c>
      <c r="N208">
        <v>-1</v>
      </c>
      <c r="O208">
        <v>1</v>
      </c>
      <c r="P208">
        <v>-1</v>
      </c>
      <c r="Q208">
        <v>2</v>
      </c>
      <c r="R208">
        <v>-1</v>
      </c>
      <c r="S208">
        <v>1</v>
      </c>
      <c r="T208">
        <v>-1</v>
      </c>
      <c r="U208">
        <v>1</v>
      </c>
      <c r="V208">
        <v>-3</v>
      </c>
      <c r="W208">
        <v>-3</v>
      </c>
      <c r="X208">
        <v>3</v>
      </c>
      <c r="Y208">
        <v>3</v>
      </c>
      <c r="Z208">
        <v>-3</v>
      </c>
      <c r="AA208">
        <v>1</v>
      </c>
      <c r="AB208">
        <v>-1</v>
      </c>
      <c r="AC208">
        <v>-2</v>
      </c>
      <c r="AD208">
        <v>1</v>
      </c>
      <c r="AE208">
        <v>-1</v>
      </c>
      <c r="AF208">
        <v>2</v>
      </c>
      <c r="AG208">
        <v>-3</v>
      </c>
      <c r="AH208">
        <v>1</v>
      </c>
    </row>
    <row r="209" spans="1:34" x14ac:dyDescent="0.3">
      <c r="A209" s="42">
        <f t="shared" si="15"/>
        <v>47</v>
      </c>
      <c r="B209" s="44">
        <f t="shared" si="14"/>
        <v>-3.125E-2</v>
      </c>
      <c r="C209">
        <v>1</v>
      </c>
      <c r="D209">
        <v>-1</v>
      </c>
      <c r="E209">
        <v>1</v>
      </c>
      <c r="F209">
        <v>3</v>
      </c>
      <c r="G209">
        <v>3</v>
      </c>
      <c r="H209">
        <v>-2</v>
      </c>
      <c r="I209">
        <v>2</v>
      </c>
      <c r="J209">
        <v>-2</v>
      </c>
      <c r="K209">
        <v>-2</v>
      </c>
      <c r="L209">
        <v>-1</v>
      </c>
      <c r="M209">
        <v>1</v>
      </c>
      <c r="N209">
        <v>-1</v>
      </c>
      <c r="O209">
        <v>1</v>
      </c>
      <c r="P209">
        <v>1</v>
      </c>
      <c r="Q209">
        <v>-2</v>
      </c>
      <c r="R209">
        <v>-1</v>
      </c>
      <c r="S209">
        <v>-2</v>
      </c>
      <c r="T209">
        <v>-1</v>
      </c>
      <c r="U209">
        <v>1</v>
      </c>
      <c r="V209">
        <v>-2</v>
      </c>
      <c r="W209">
        <v>-1</v>
      </c>
      <c r="X209">
        <v>3</v>
      </c>
      <c r="Y209">
        <v>3</v>
      </c>
      <c r="Z209">
        <v>-1</v>
      </c>
      <c r="AA209">
        <v>-1</v>
      </c>
      <c r="AB209">
        <v>-2</v>
      </c>
      <c r="AC209">
        <v>-1</v>
      </c>
      <c r="AD209">
        <v>-1</v>
      </c>
      <c r="AE209">
        <v>-1</v>
      </c>
      <c r="AF209">
        <v>2</v>
      </c>
      <c r="AG209">
        <v>1</v>
      </c>
      <c r="AH209">
        <v>1</v>
      </c>
    </row>
    <row r="210" spans="1:34" x14ac:dyDescent="0.3">
      <c r="A210" s="42">
        <f t="shared" si="15"/>
        <v>48</v>
      </c>
      <c r="B210" s="44">
        <f t="shared" si="14"/>
        <v>-0.5625</v>
      </c>
      <c r="C210">
        <v>-2</v>
      </c>
      <c r="D210">
        <v>-2</v>
      </c>
      <c r="E210">
        <v>-2</v>
      </c>
      <c r="F210">
        <v>-1</v>
      </c>
      <c r="G210">
        <v>1</v>
      </c>
      <c r="H210">
        <v>-2</v>
      </c>
      <c r="I210">
        <v>3</v>
      </c>
      <c r="J210">
        <v>-1</v>
      </c>
      <c r="K210">
        <v>-2</v>
      </c>
      <c r="L210">
        <v>-2</v>
      </c>
      <c r="M210">
        <v>2</v>
      </c>
      <c r="N210">
        <v>-1</v>
      </c>
      <c r="O210">
        <v>1</v>
      </c>
      <c r="P210">
        <v>-1</v>
      </c>
      <c r="Q210">
        <v>-2</v>
      </c>
      <c r="R210">
        <v>-1</v>
      </c>
      <c r="S210">
        <v>-1</v>
      </c>
      <c r="T210">
        <v>-2</v>
      </c>
      <c r="U210">
        <v>-1</v>
      </c>
      <c r="V210">
        <v>-1</v>
      </c>
      <c r="W210">
        <v>-1</v>
      </c>
      <c r="X210">
        <v>-1</v>
      </c>
      <c r="Y210">
        <v>2</v>
      </c>
      <c r="Z210">
        <v>1</v>
      </c>
      <c r="AA210">
        <v>-1</v>
      </c>
      <c r="AB210">
        <v>-1</v>
      </c>
      <c r="AC210">
        <v>-1</v>
      </c>
      <c r="AD210">
        <v>1</v>
      </c>
      <c r="AE210">
        <v>-1</v>
      </c>
      <c r="AF210">
        <v>2</v>
      </c>
      <c r="AG210">
        <v>-2</v>
      </c>
      <c r="AH210">
        <v>1</v>
      </c>
    </row>
    <row r="211" spans="1:34" x14ac:dyDescent="0.3">
      <c r="A211" s="42">
        <f t="shared" si="15"/>
        <v>49</v>
      </c>
      <c r="B211" s="44">
        <f t="shared" si="14"/>
        <v>-0.5</v>
      </c>
      <c r="C211">
        <v>-2</v>
      </c>
      <c r="D211">
        <v>-2</v>
      </c>
      <c r="E211">
        <v>-1</v>
      </c>
      <c r="F211">
        <v>-3</v>
      </c>
      <c r="G211">
        <v>1</v>
      </c>
      <c r="H211">
        <v>-1</v>
      </c>
      <c r="I211">
        <v>1</v>
      </c>
      <c r="J211">
        <v>-2</v>
      </c>
      <c r="K211">
        <v>1</v>
      </c>
      <c r="L211">
        <v>-1</v>
      </c>
      <c r="M211">
        <v>1</v>
      </c>
      <c r="N211">
        <v>-1</v>
      </c>
      <c r="O211">
        <v>-1</v>
      </c>
      <c r="P211">
        <v>-1</v>
      </c>
      <c r="Q211">
        <v>-2</v>
      </c>
      <c r="R211">
        <v>-2</v>
      </c>
      <c r="S211">
        <v>-2</v>
      </c>
      <c r="T211">
        <v>-1</v>
      </c>
      <c r="U211">
        <v>1</v>
      </c>
      <c r="V211">
        <v>-3</v>
      </c>
      <c r="W211">
        <v>-2</v>
      </c>
      <c r="X211">
        <v>3</v>
      </c>
      <c r="Y211">
        <v>3</v>
      </c>
      <c r="Z211">
        <v>-2</v>
      </c>
      <c r="AA211">
        <v>1</v>
      </c>
      <c r="AB211">
        <v>1</v>
      </c>
      <c r="AC211">
        <v>-1</v>
      </c>
      <c r="AD211">
        <v>1</v>
      </c>
      <c r="AE211">
        <v>-1</v>
      </c>
      <c r="AF211">
        <v>2</v>
      </c>
      <c r="AG211">
        <v>-2</v>
      </c>
      <c r="AH211">
        <v>1</v>
      </c>
    </row>
    <row r="212" spans="1:34" x14ac:dyDescent="0.3">
      <c r="A212" s="42">
        <f t="shared" si="15"/>
        <v>50</v>
      </c>
      <c r="B212" s="44">
        <f t="shared" si="14"/>
        <v>-0.84375</v>
      </c>
      <c r="C212">
        <v>-1</v>
      </c>
      <c r="D212">
        <v>-1</v>
      </c>
      <c r="E212">
        <v>-1</v>
      </c>
      <c r="F212">
        <v>-3</v>
      </c>
      <c r="G212">
        <v>-2</v>
      </c>
      <c r="H212">
        <v>-2</v>
      </c>
      <c r="I212">
        <v>2</v>
      </c>
      <c r="J212">
        <v>-2</v>
      </c>
      <c r="K212">
        <v>-2</v>
      </c>
      <c r="L212">
        <v>-2</v>
      </c>
      <c r="M212">
        <v>-1</v>
      </c>
      <c r="N212">
        <v>-1</v>
      </c>
      <c r="O212">
        <v>1</v>
      </c>
      <c r="P212">
        <v>-1</v>
      </c>
      <c r="Q212">
        <v>-2</v>
      </c>
      <c r="R212">
        <v>-1</v>
      </c>
      <c r="S212">
        <v>-3</v>
      </c>
      <c r="T212">
        <v>-2</v>
      </c>
      <c r="U212">
        <v>-2</v>
      </c>
      <c r="V212">
        <v>-2</v>
      </c>
      <c r="W212">
        <v>-3</v>
      </c>
      <c r="X212">
        <v>3</v>
      </c>
      <c r="Y212">
        <v>2</v>
      </c>
      <c r="Z212">
        <v>-2</v>
      </c>
      <c r="AA212">
        <v>1</v>
      </c>
      <c r="AB212">
        <v>-2</v>
      </c>
      <c r="AC212">
        <v>-2</v>
      </c>
      <c r="AD212">
        <v>1</v>
      </c>
      <c r="AE212">
        <v>1</v>
      </c>
      <c r="AF212">
        <v>2</v>
      </c>
      <c r="AG212">
        <v>-1</v>
      </c>
      <c r="AH212">
        <v>1</v>
      </c>
    </row>
    <row r="213" spans="1:34" x14ac:dyDescent="0.3">
      <c r="A213" s="42">
        <f t="shared" si="15"/>
        <v>51</v>
      </c>
      <c r="B213" s="44">
        <f t="shared" si="14"/>
        <v>-0.6875</v>
      </c>
      <c r="C213">
        <v>-3</v>
      </c>
      <c r="D213">
        <v>-1</v>
      </c>
      <c r="E213">
        <v>1</v>
      </c>
      <c r="F213">
        <v>1</v>
      </c>
      <c r="G213">
        <v>-1</v>
      </c>
      <c r="H213">
        <v>-1</v>
      </c>
      <c r="I213">
        <v>-1</v>
      </c>
      <c r="J213">
        <v>-1</v>
      </c>
      <c r="K213">
        <v>-2</v>
      </c>
      <c r="L213">
        <v>-2</v>
      </c>
      <c r="M213">
        <v>-1</v>
      </c>
      <c r="N213">
        <v>-1</v>
      </c>
      <c r="O213">
        <v>-1</v>
      </c>
      <c r="P213">
        <v>-2</v>
      </c>
      <c r="Q213">
        <v>-2</v>
      </c>
      <c r="R213">
        <v>-1</v>
      </c>
      <c r="S213">
        <v>-2</v>
      </c>
      <c r="T213">
        <v>-2</v>
      </c>
      <c r="U213">
        <v>1</v>
      </c>
      <c r="V213">
        <v>-1</v>
      </c>
      <c r="W213">
        <v>-2</v>
      </c>
      <c r="X213">
        <v>3</v>
      </c>
      <c r="Y213">
        <v>2</v>
      </c>
      <c r="Z213">
        <v>1</v>
      </c>
      <c r="AA213">
        <v>-1</v>
      </c>
      <c r="AB213">
        <v>-1</v>
      </c>
      <c r="AC213">
        <v>-1</v>
      </c>
      <c r="AD213">
        <v>-2</v>
      </c>
      <c r="AE213">
        <v>-1</v>
      </c>
      <c r="AF213">
        <v>2</v>
      </c>
      <c r="AG213">
        <v>-1</v>
      </c>
      <c r="AH213">
        <v>1</v>
      </c>
    </row>
    <row r="214" spans="1:34" x14ac:dyDescent="0.3">
      <c r="A214" s="42">
        <f t="shared" si="15"/>
        <v>52</v>
      </c>
      <c r="B214" s="44">
        <f t="shared" si="14"/>
        <v>-0.1875</v>
      </c>
      <c r="C214">
        <v>3</v>
      </c>
      <c r="D214">
        <v>-2</v>
      </c>
      <c r="E214">
        <v>-2</v>
      </c>
      <c r="F214">
        <v>3</v>
      </c>
      <c r="G214">
        <v>3</v>
      </c>
      <c r="H214">
        <v>-3</v>
      </c>
      <c r="I214">
        <v>3</v>
      </c>
      <c r="J214">
        <v>-3</v>
      </c>
      <c r="K214">
        <v>1</v>
      </c>
      <c r="L214">
        <v>-2</v>
      </c>
      <c r="M214">
        <v>-3</v>
      </c>
      <c r="N214">
        <v>-1</v>
      </c>
      <c r="O214">
        <v>1</v>
      </c>
      <c r="P214">
        <v>-2</v>
      </c>
      <c r="Q214">
        <v>1</v>
      </c>
      <c r="R214">
        <v>-1</v>
      </c>
      <c r="S214">
        <v>-2</v>
      </c>
      <c r="T214">
        <v>1</v>
      </c>
      <c r="U214">
        <v>2</v>
      </c>
      <c r="V214">
        <v>-3</v>
      </c>
      <c r="W214">
        <v>-2</v>
      </c>
      <c r="X214">
        <v>3</v>
      </c>
      <c r="Y214">
        <v>3</v>
      </c>
      <c r="Z214">
        <v>-2</v>
      </c>
      <c r="AA214">
        <v>-2</v>
      </c>
      <c r="AB214">
        <v>-2</v>
      </c>
      <c r="AC214">
        <v>-2</v>
      </c>
      <c r="AD214">
        <v>1</v>
      </c>
      <c r="AE214">
        <v>2</v>
      </c>
      <c r="AF214">
        <v>1</v>
      </c>
      <c r="AG214">
        <v>2</v>
      </c>
      <c r="AH214">
        <v>-2</v>
      </c>
    </row>
    <row r="215" spans="1:34" x14ac:dyDescent="0.3">
      <c r="A215" s="42">
        <f t="shared" si="15"/>
        <v>53</v>
      </c>
      <c r="B215" s="44">
        <f t="shared" si="14"/>
        <v>-0.25</v>
      </c>
      <c r="C215">
        <v>-2</v>
      </c>
      <c r="D215">
        <v>-1</v>
      </c>
      <c r="E215">
        <v>-1</v>
      </c>
      <c r="F215">
        <v>3</v>
      </c>
      <c r="G215">
        <v>2</v>
      </c>
      <c r="H215">
        <v>1</v>
      </c>
      <c r="I215">
        <v>1</v>
      </c>
      <c r="J215">
        <v>-1</v>
      </c>
      <c r="K215">
        <v>-2</v>
      </c>
      <c r="L215">
        <v>-1</v>
      </c>
      <c r="M215">
        <v>1</v>
      </c>
      <c r="N215">
        <v>-1</v>
      </c>
      <c r="O215">
        <v>1</v>
      </c>
      <c r="P215">
        <v>-2</v>
      </c>
      <c r="Q215">
        <v>1</v>
      </c>
      <c r="R215">
        <v>-2</v>
      </c>
      <c r="S215">
        <v>1</v>
      </c>
      <c r="T215">
        <v>-3</v>
      </c>
      <c r="U215">
        <v>-1</v>
      </c>
      <c r="V215">
        <v>-3</v>
      </c>
      <c r="W215">
        <v>-1</v>
      </c>
      <c r="X215">
        <v>2</v>
      </c>
      <c r="Y215">
        <v>3</v>
      </c>
      <c r="Z215">
        <v>-1</v>
      </c>
      <c r="AA215">
        <v>-2</v>
      </c>
      <c r="AB215">
        <v>1</v>
      </c>
      <c r="AC215">
        <v>-2</v>
      </c>
      <c r="AD215">
        <v>1</v>
      </c>
      <c r="AE215">
        <v>-1</v>
      </c>
      <c r="AF215">
        <v>1</v>
      </c>
      <c r="AG215">
        <v>-1</v>
      </c>
      <c r="AH215">
        <v>1</v>
      </c>
    </row>
    <row r="216" spans="1:34" x14ac:dyDescent="0.3">
      <c r="A216" s="42">
        <f t="shared" si="15"/>
        <v>54</v>
      </c>
      <c r="B216" s="44">
        <f t="shared" si="14"/>
        <v>9.375E-2</v>
      </c>
      <c r="C216">
        <v>1</v>
      </c>
      <c r="D216">
        <v>-1</v>
      </c>
      <c r="E216">
        <v>-1</v>
      </c>
      <c r="F216">
        <v>3</v>
      </c>
      <c r="G216">
        <v>3</v>
      </c>
      <c r="H216">
        <v>-2</v>
      </c>
      <c r="I216">
        <v>2</v>
      </c>
      <c r="J216">
        <v>-2</v>
      </c>
      <c r="K216">
        <v>-2</v>
      </c>
      <c r="L216">
        <v>-2</v>
      </c>
      <c r="M216">
        <v>1</v>
      </c>
      <c r="N216">
        <v>-1</v>
      </c>
      <c r="O216">
        <v>1</v>
      </c>
      <c r="P216">
        <v>-1</v>
      </c>
      <c r="Q216">
        <v>1</v>
      </c>
      <c r="R216">
        <v>-1</v>
      </c>
      <c r="S216">
        <v>1</v>
      </c>
      <c r="T216">
        <v>-2</v>
      </c>
      <c r="U216">
        <v>1</v>
      </c>
      <c r="V216">
        <v>-3</v>
      </c>
      <c r="W216">
        <v>-3</v>
      </c>
      <c r="X216">
        <v>3</v>
      </c>
      <c r="Y216">
        <v>3</v>
      </c>
      <c r="Z216">
        <v>-1</v>
      </c>
      <c r="AA216">
        <v>1</v>
      </c>
      <c r="AB216">
        <v>1</v>
      </c>
      <c r="AC216">
        <v>-2</v>
      </c>
      <c r="AD216">
        <v>1</v>
      </c>
      <c r="AE216">
        <v>-1</v>
      </c>
      <c r="AF216">
        <v>1</v>
      </c>
      <c r="AG216">
        <v>3</v>
      </c>
      <c r="AH216">
        <v>1</v>
      </c>
    </row>
    <row r="217" spans="1:34" x14ac:dyDescent="0.3">
      <c r="A217" s="42">
        <f t="shared" si="15"/>
        <v>55</v>
      </c>
      <c r="B217" s="44">
        <f t="shared" si="14"/>
        <v>9.375E-2</v>
      </c>
      <c r="C217">
        <v>2</v>
      </c>
      <c r="D217">
        <v>-2</v>
      </c>
      <c r="E217">
        <v>1</v>
      </c>
      <c r="F217">
        <v>-2</v>
      </c>
      <c r="G217">
        <v>-2</v>
      </c>
      <c r="H217">
        <v>1</v>
      </c>
      <c r="I217">
        <v>3</v>
      </c>
      <c r="J217">
        <v>1</v>
      </c>
      <c r="K217">
        <v>-1</v>
      </c>
      <c r="L217">
        <v>-2</v>
      </c>
      <c r="M217">
        <v>1</v>
      </c>
      <c r="N217">
        <v>-1</v>
      </c>
      <c r="O217">
        <v>1</v>
      </c>
      <c r="P217">
        <v>-1</v>
      </c>
      <c r="Q217">
        <v>-1</v>
      </c>
      <c r="R217">
        <v>-2</v>
      </c>
      <c r="S217">
        <v>1</v>
      </c>
      <c r="T217">
        <v>1</v>
      </c>
      <c r="U217">
        <v>2</v>
      </c>
      <c r="V217">
        <v>2</v>
      </c>
      <c r="W217">
        <v>-3</v>
      </c>
      <c r="X217">
        <v>3</v>
      </c>
      <c r="Y217">
        <v>3</v>
      </c>
      <c r="Z217">
        <v>-2</v>
      </c>
      <c r="AA217">
        <v>1</v>
      </c>
      <c r="AB217">
        <v>-1</v>
      </c>
      <c r="AC217">
        <v>-1</v>
      </c>
      <c r="AD217">
        <v>1</v>
      </c>
      <c r="AE217">
        <v>1</v>
      </c>
      <c r="AF217">
        <v>-1</v>
      </c>
      <c r="AG217">
        <v>-2</v>
      </c>
      <c r="AH217">
        <v>2</v>
      </c>
    </row>
    <row r="218" spans="1:34" x14ac:dyDescent="0.3">
      <c r="A218" s="42">
        <f t="shared" si="15"/>
        <v>56</v>
      </c>
      <c r="B218" s="44">
        <f t="shared" si="14"/>
        <v>-9.375E-2</v>
      </c>
      <c r="C218">
        <v>-1</v>
      </c>
      <c r="D218">
        <v>-1</v>
      </c>
      <c r="E218">
        <v>1</v>
      </c>
      <c r="F218">
        <v>2</v>
      </c>
      <c r="G218">
        <v>1</v>
      </c>
      <c r="H218">
        <v>1</v>
      </c>
      <c r="I218">
        <v>1</v>
      </c>
      <c r="J218">
        <v>1</v>
      </c>
      <c r="K218">
        <v>-2</v>
      </c>
      <c r="L218">
        <v>-2</v>
      </c>
      <c r="M218">
        <v>2</v>
      </c>
      <c r="N218">
        <v>-1</v>
      </c>
      <c r="O218">
        <v>1</v>
      </c>
      <c r="P218">
        <v>-1</v>
      </c>
      <c r="Q218">
        <v>2</v>
      </c>
      <c r="R218">
        <v>-1</v>
      </c>
      <c r="S218">
        <v>-1</v>
      </c>
      <c r="T218">
        <v>-2</v>
      </c>
      <c r="U218">
        <v>1</v>
      </c>
      <c r="V218">
        <v>2</v>
      </c>
      <c r="W218">
        <v>-3</v>
      </c>
      <c r="X218">
        <v>-1</v>
      </c>
      <c r="Y218">
        <v>3</v>
      </c>
      <c r="Z218">
        <v>-2</v>
      </c>
      <c r="AA218">
        <v>-1</v>
      </c>
      <c r="AB218">
        <v>-2</v>
      </c>
      <c r="AC218">
        <v>-1</v>
      </c>
      <c r="AD218">
        <v>-1</v>
      </c>
      <c r="AE218">
        <v>-1</v>
      </c>
      <c r="AF218">
        <v>1</v>
      </c>
      <c r="AG218">
        <v>1</v>
      </c>
      <c r="AH218">
        <v>1</v>
      </c>
    </row>
    <row r="219" spans="1:34" x14ac:dyDescent="0.3">
      <c r="A219" s="42">
        <f t="shared" si="15"/>
        <v>57</v>
      </c>
      <c r="B219" s="44">
        <f t="shared" si="14"/>
        <v>-0.4375</v>
      </c>
      <c r="C219">
        <v>1</v>
      </c>
      <c r="D219">
        <v>-1</v>
      </c>
      <c r="E219">
        <v>1</v>
      </c>
      <c r="F219">
        <v>1</v>
      </c>
      <c r="G219">
        <v>1</v>
      </c>
      <c r="H219">
        <v>-2</v>
      </c>
      <c r="I219">
        <v>2</v>
      </c>
      <c r="J219">
        <v>-2</v>
      </c>
      <c r="K219">
        <v>-2</v>
      </c>
      <c r="L219">
        <v>-2</v>
      </c>
      <c r="M219">
        <v>-2</v>
      </c>
      <c r="N219">
        <v>-1</v>
      </c>
      <c r="O219">
        <v>-2</v>
      </c>
      <c r="P219">
        <v>-2</v>
      </c>
      <c r="Q219">
        <v>2</v>
      </c>
      <c r="R219">
        <v>-1</v>
      </c>
      <c r="S219">
        <v>-2</v>
      </c>
      <c r="T219">
        <v>-1</v>
      </c>
      <c r="U219">
        <v>1</v>
      </c>
      <c r="V219">
        <v>-3</v>
      </c>
      <c r="W219">
        <v>-3</v>
      </c>
      <c r="X219">
        <v>-1</v>
      </c>
      <c r="Y219">
        <v>3</v>
      </c>
      <c r="Z219">
        <v>-2</v>
      </c>
      <c r="AA219">
        <v>-1</v>
      </c>
      <c r="AB219">
        <v>1</v>
      </c>
      <c r="AC219">
        <v>-2</v>
      </c>
      <c r="AD219">
        <v>-1</v>
      </c>
      <c r="AE219">
        <v>1</v>
      </c>
      <c r="AF219">
        <v>2</v>
      </c>
      <c r="AG219">
        <v>1</v>
      </c>
      <c r="AH219">
        <v>2</v>
      </c>
    </row>
    <row r="220" spans="1:34" x14ac:dyDescent="0.3">
      <c r="A220" s="42">
        <f t="shared" si="15"/>
        <v>58</v>
      </c>
      <c r="B220" s="44">
        <f t="shared" si="14"/>
        <v>-0.75</v>
      </c>
      <c r="C220">
        <v>-3</v>
      </c>
      <c r="D220">
        <v>-3</v>
      </c>
      <c r="E220">
        <v>1</v>
      </c>
      <c r="F220">
        <v>2</v>
      </c>
      <c r="G220">
        <v>2</v>
      </c>
      <c r="H220">
        <v>-3</v>
      </c>
      <c r="I220">
        <v>2</v>
      </c>
      <c r="J220">
        <v>-1</v>
      </c>
      <c r="K220">
        <v>-2</v>
      </c>
      <c r="L220">
        <v>-3</v>
      </c>
      <c r="M220">
        <v>1</v>
      </c>
      <c r="N220">
        <v>-1</v>
      </c>
      <c r="O220">
        <v>-1</v>
      </c>
      <c r="P220">
        <v>-2</v>
      </c>
      <c r="Q220">
        <v>2</v>
      </c>
      <c r="R220">
        <v>-1</v>
      </c>
      <c r="S220">
        <v>-2</v>
      </c>
      <c r="T220">
        <v>-1</v>
      </c>
      <c r="U220">
        <v>-2</v>
      </c>
      <c r="V220">
        <v>-3</v>
      </c>
      <c r="W220">
        <v>-2</v>
      </c>
      <c r="X220">
        <v>3</v>
      </c>
      <c r="Y220">
        <v>-3</v>
      </c>
      <c r="Z220">
        <v>-2</v>
      </c>
      <c r="AA220">
        <v>-3</v>
      </c>
      <c r="AB220">
        <v>-2</v>
      </c>
      <c r="AC220">
        <v>-1</v>
      </c>
      <c r="AD220">
        <v>1</v>
      </c>
      <c r="AE220">
        <v>-1</v>
      </c>
      <c r="AF220">
        <v>3</v>
      </c>
      <c r="AG220">
        <v>3</v>
      </c>
      <c r="AH220">
        <v>-2</v>
      </c>
    </row>
    <row r="221" spans="1:34" x14ac:dyDescent="0.3">
      <c r="A221" s="42">
        <f t="shared" si="15"/>
        <v>59</v>
      </c>
      <c r="B221" s="44">
        <f t="shared" si="14"/>
        <v>0.1875</v>
      </c>
      <c r="C221">
        <v>-2</v>
      </c>
      <c r="D221">
        <v>3</v>
      </c>
      <c r="E221">
        <v>-1</v>
      </c>
      <c r="F221">
        <v>-1</v>
      </c>
      <c r="G221">
        <v>3</v>
      </c>
      <c r="H221">
        <v>-2</v>
      </c>
      <c r="I221">
        <v>2</v>
      </c>
      <c r="J221">
        <v>1</v>
      </c>
      <c r="K221">
        <v>-2</v>
      </c>
      <c r="L221">
        <v>2</v>
      </c>
      <c r="M221">
        <v>2</v>
      </c>
      <c r="N221">
        <v>-1</v>
      </c>
      <c r="O221">
        <v>-1</v>
      </c>
      <c r="P221">
        <v>-2</v>
      </c>
      <c r="Q221">
        <v>2</v>
      </c>
      <c r="R221">
        <v>-1</v>
      </c>
      <c r="S221">
        <v>-1</v>
      </c>
      <c r="T221">
        <v>-1</v>
      </c>
      <c r="U221">
        <v>2</v>
      </c>
      <c r="V221">
        <v>-2</v>
      </c>
      <c r="W221">
        <v>-3</v>
      </c>
      <c r="X221">
        <v>3</v>
      </c>
      <c r="Y221">
        <v>3</v>
      </c>
      <c r="Z221">
        <v>-2</v>
      </c>
      <c r="AA221">
        <v>-1</v>
      </c>
      <c r="AB221">
        <v>-2</v>
      </c>
      <c r="AC221">
        <v>1</v>
      </c>
      <c r="AD221">
        <v>1</v>
      </c>
      <c r="AE221">
        <v>-1</v>
      </c>
      <c r="AF221">
        <v>2</v>
      </c>
      <c r="AG221">
        <v>3</v>
      </c>
      <c r="AH221">
        <v>2</v>
      </c>
    </row>
    <row r="222" spans="1:34" x14ac:dyDescent="0.3">
      <c r="A222" s="42">
        <f t="shared" si="15"/>
        <v>60</v>
      </c>
      <c r="B222" s="44">
        <f t="shared" si="14"/>
        <v>0.15625</v>
      </c>
      <c r="C222">
        <v>-3</v>
      </c>
      <c r="D222">
        <v>-2</v>
      </c>
      <c r="E222">
        <v>1</v>
      </c>
      <c r="F222">
        <v>3</v>
      </c>
      <c r="G222">
        <v>3</v>
      </c>
      <c r="H222">
        <v>1</v>
      </c>
      <c r="I222">
        <v>1</v>
      </c>
      <c r="J222">
        <v>-1</v>
      </c>
      <c r="K222">
        <v>-2</v>
      </c>
      <c r="L222">
        <v>-1</v>
      </c>
      <c r="M222">
        <v>2</v>
      </c>
      <c r="N222">
        <v>-1</v>
      </c>
      <c r="O222">
        <v>1</v>
      </c>
      <c r="P222">
        <v>-2</v>
      </c>
      <c r="Q222">
        <v>2</v>
      </c>
      <c r="R222">
        <v>-1</v>
      </c>
      <c r="S222">
        <v>-1</v>
      </c>
      <c r="T222">
        <v>1</v>
      </c>
      <c r="U222">
        <v>1</v>
      </c>
      <c r="V222">
        <v>-3</v>
      </c>
      <c r="W222">
        <v>-3</v>
      </c>
      <c r="X222">
        <v>3</v>
      </c>
      <c r="Y222">
        <v>3</v>
      </c>
      <c r="Z222">
        <v>-1</v>
      </c>
      <c r="AA222">
        <v>-1</v>
      </c>
      <c r="AB222">
        <v>1</v>
      </c>
      <c r="AC222">
        <v>-1</v>
      </c>
      <c r="AD222">
        <v>1</v>
      </c>
      <c r="AE222">
        <v>-1</v>
      </c>
      <c r="AF222">
        <v>2</v>
      </c>
      <c r="AG222">
        <v>2</v>
      </c>
      <c r="AH222">
        <v>1</v>
      </c>
    </row>
    <row r="223" spans="1:34" x14ac:dyDescent="0.3">
      <c r="A223" s="42">
        <f t="shared" si="15"/>
        <v>61</v>
      </c>
      <c r="B223" s="44">
        <f t="shared" si="14"/>
        <v>-0.15625</v>
      </c>
      <c r="C223">
        <v>-2</v>
      </c>
      <c r="D223">
        <v>-1</v>
      </c>
      <c r="E223">
        <v>1</v>
      </c>
      <c r="F223">
        <v>2</v>
      </c>
      <c r="G223">
        <v>-2</v>
      </c>
      <c r="H223">
        <v>1</v>
      </c>
      <c r="I223">
        <v>2</v>
      </c>
      <c r="J223">
        <v>-1</v>
      </c>
      <c r="K223">
        <v>-1</v>
      </c>
      <c r="L223">
        <v>-1</v>
      </c>
      <c r="M223">
        <v>-1</v>
      </c>
      <c r="N223">
        <v>-1</v>
      </c>
      <c r="O223">
        <v>-1</v>
      </c>
      <c r="P223">
        <v>-1</v>
      </c>
      <c r="Q223">
        <v>1</v>
      </c>
      <c r="R223">
        <v>-1</v>
      </c>
      <c r="S223">
        <v>-1</v>
      </c>
      <c r="T223">
        <v>1</v>
      </c>
      <c r="U223">
        <v>1</v>
      </c>
      <c r="V223">
        <v>1</v>
      </c>
      <c r="W223">
        <v>-3</v>
      </c>
      <c r="X223">
        <v>3</v>
      </c>
      <c r="Y223">
        <v>3</v>
      </c>
      <c r="Z223">
        <v>-2</v>
      </c>
      <c r="AA223">
        <v>-1</v>
      </c>
      <c r="AB223">
        <v>-3</v>
      </c>
      <c r="AC223">
        <v>-1</v>
      </c>
      <c r="AD223">
        <v>-1</v>
      </c>
      <c r="AE223">
        <v>-1</v>
      </c>
      <c r="AF223">
        <v>2</v>
      </c>
      <c r="AG223">
        <v>2</v>
      </c>
      <c r="AH223">
        <v>1</v>
      </c>
    </row>
    <row r="224" spans="1:34" x14ac:dyDescent="0.3">
      <c r="A224" s="42">
        <f t="shared" si="15"/>
        <v>62</v>
      </c>
      <c r="B224" s="44">
        <f t="shared" si="14"/>
        <v>-0.3125</v>
      </c>
      <c r="C224">
        <v>3</v>
      </c>
      <c r="D224">
        <v>-1</v>
      </c>
      <c r="E224">
        <v>1</v>
      </c>
      <c r="F224">
        <v>3</v>
      </c>
      <c r="G224">
        <v>3</v>
      </c>
      <c r="H224">
        <v>-2</v>
      </c>
      <c r="I224">
        <v>2</v>
      </c>
      <c r="J224">
        <v>-1</v>
      </c>
      <c r="K224">
        <v>-2</v>
      </c>
      <c r="L224">
        <v>-2</v>
      </c>
      <c r="M224">
        <v>1</v>
      </c>
      <c r="N224">
        <v>-1</v>
      </c>
      <c r="O224">
        <v>-1</v>
      </c>
      <c r="P224">
        <v>-1</v>
      </c>
      <c r="Q224">
        <v>1</v>
      </c>
      <c r="R224">
        <v>-2</v>
      </c>
      <c r="S224">
        <v>-1</v>
      </c>
      <c r="T224">
        <v>-1</v>
      </c>
      <c r="U224">
        <v>1</v>
      </c>
      <c r="V224">
        <v>-3</v>
      </c>
      <c r="W224">
        <v>-3</v>
      </c>
      <c r="X224">
        <v>3</v>
      </c>
      <c r="Y224">
        <v>2</v>
      </c>
      <c r="Z224">
        <v>-2</v>
      </c>
      <c r="AA224">
        <v>-1</v>
      </c>
      <c r="AB224">
        <v>-2</v>
      </c>
      <c r="AC224">
        <v>-2</v>
      </c>
      <c r="AD224">
        <v>2</v>
      </c>
      <c r="AE224">
        <v>-1</v>
      </c>
      <c r="AF224">
        <v>2</v>
      </c>
      <c r="AG224">
        <v>-3</v>
      </c>
      <c r="AH224">
        <v>-2</v>
      </c>
    </row>
    <row r="225" spans="1:34" x14ac:dyDescent="0.3">
      <c r="A225" s="42">
        <f t="shared" si="15"/>
        <v>63</v>
      </c>
      <c r="B225" s="44">
        <f t="shared" si="14"/>
        <v>-0.40625</v>
      </c>
      <c r="C225">
        <v>-2</v>
      </c>
      <c r="D225">
        <v>1</v>
      </c>
      <c r="E225">
        <v>1</v>
      </c>
      <c r="F225">
        <v>-2</v>
      </c>
      <c r="G225">
        <v>1</v>
      </c>
      <c r="H225">
        <v>-3</v>
      </c>
      <c r="I225">
        <v>2</v>
      </c>
      <c r="J225">
        <v>-2</v>
      </c>
      <c r="K225">
        <v>-2</v>
      </c>
      <c r="L225">
        <v>-1</v>
      </c>
      <c r="M225">
        <v>-3</v>
      </c>
      <c r="N225">
        <v>-1</v>
      </c>
      <c r="O225">
        <v>-1</v>
      </c>
      <c r="P225">
        <v>-2</v>
      </c>
      <c r="Q225">
        <v>2</v>
      </c>
      <c r="R225">
        <v>-1</v>
      </c>
      <c r="S225">
        <v>-2</v>
      </c>
      <c r="T225">
        <v>-1</v>
      </c>
      <c r="U225">
        <v>2</v>
      </c>
      <c r="V225">
        <v>-3</v>
      </c>
      <c r="W225">
        <v>-3</v>
      </c>
      <c r="X225">
        <v>3</v>
      </c>
      <c r="Y225">
        <v>3</v>
      </c>
      <c r="Z225">
        <v>-2</v>
      </c>
      <c r="AA225">
        <v>-1</v>
      </c>
      <c r="AB225">
        <v>2</v>
      </c>
      <c r="AC225">
        <v>-2</v>
      </c>
      <c r="AD225">
        <v>1</v>
      </c>
      <c r="AE225">
        <v>1</v>
      </c>
      <c r="AF225">
        <v>2</v>
      </c>
      <c r="AG225">
        <v>-1</v>
      </c>
      <c r="AH225">
        <v>1</v>
      </c>
    </row>
    <row r="226" spans="1:34" x14ac:dyDescent="0.3">
      <c r="A226" s="42">
        <f t="shared" si="15"/>
        <v>64</v>
      </c>
      <c r="B226" s="44">
        <f t="shared" si="14"/>
        <v>-0.65625</v>
      </c>
      <c r="C226">
        <v>-2</v>
      </c>
      <c r="D226">
        <v>2</v>
      </c>
      <c r="E226">
        <v>1</v>
      </c>
      <c r="F226">
        <v>-3</v>
      </c>
      <c r="G226">
        <v>1</v>
      </c>
      <c r="H226">
        <v>-3</v>
      </c>
      <c r="I226">
        <v>1</v>
      </c>
      <c r="J226">
        <v>-1</v>
      </c>
      <c r="K226">
        <v>-2</v>
      </c>
      <c r="L226">
        <v>-1</v>
      </c>
      <c r="M226">
        <v>-3</v>
      </c>
      <c r="N226">
        <v>-1</v>
      </c>
      <c r="O226">
        <v>1</v>
      </c>
      <c r="P226">
        <v>-1</v>
      </c>
      <c r="Q226">
        <v>1</v>
      </c>
      <c r="R226">
        <v>-1</v>
      </c>
      <c r="S226">
        <v>-2</v>
      </c>
      <c r="T226">
        <v>-1</v>
      </c>
      <c r="U226">
        <v>-2</v>
      </c>
      <c r="V226">
        <v>-1</v>
      </c>
      <c r="W226">
        <v>-2</v>
      </c>
      <c r="X226">
        <v>3</v>
      </c>
      <c r="Y226">
        <v>-3</v>
      </c>
      <c r="Z226">
        <v>-1</v>
      </c>
      <c r="AA226">
        <v>-1</v>
      </c>
      <c r="AB226">
        <v>-1</v>
      </c>
      <c r="AC226">
        <v>-1</v>
      </c>
      <c r="AD226">
        <v>-1</v>
      </c>
      <c r="AE226">
        <v>1</v>
      </c>
      <c r="AF226">
        <v>2</v>
      </c>
      <c r="AG226">
        <v>-1</v>
      </c>
      <c r="AH226">
        <v>1</v>
      </c>
    </row>
    <row r="227" spans="1:34" x14ac:dyDescent="0.3">
      <c r="A227" s="42">
        <f t="shared" si="15"/>
        <v>65</v>
      </c>
      <c r="B227" s="44">
        <f t="shared" si="14"/>
        <v>-0.78125</v>
      </c>
      <c r="C227">
        <v>-2</v>
      </c>
      <c r="D227">
        <v>2</v>
      </c>
      <c r="E227">
        <v>-2</v>
      </c>
      <c r="F227">
        <v>-3</v>
      </c>
      <c r="G227">
        <v>-2</v>
      </c>
      <c r="H227">
        <v>-2</v>
      </c>
      <c r="I227">
        <v>1</v>
      </c>
      <c r="J227">
        <v>-2</v>
      </c>
      <c r="K227">
        <v>1</v>
      </c>
      <c r="L227">
        <v>-2</v>
      </c>
      <c r="M227">
        <v>2</v>
      </c>
      <c r="N227">
        <v>-1</v>
      </c>
      <c r="O227">
        <v>-2</v>
      </c>
      <c r="P227">
        <v>-2</v>
      </c>
      <c r="Q227">
        <v>1</v>
      </c>
      <c r="R227">
        <v>-1</v>
      </c>
      <c r="S227">
        <v>-3</v>
      </c>
      <c r="T227">
        <v>-1</v>
      </c>
      <c r="U227">
        <v>1</v>
      </c>
      <c r="V227">
        <v>-3</v>
      </c>
      <c r="W227">
        <v>-2</v>
      </c>
      <c r="X227">
        <v>3</v>
      </c>
      <c r="Y227">
        <v>-3</v>
      </c>
      <c r="Z227">
        <v>-2</v>
      </c>
      <c r="AA227">
        <v>1</v>
      </c>
      <c r="AB227">
        <v>-2</v>
      </c>
      <c r="AC227">
        <v>-2</v>
      </c>
      <c r="AD227">
        <v>1</v>
      </c>
      <c r="AE227">
        <v>-1</v>
      </c>
      <c r="AF227">
        <v>2</v>
      </c>
      <c r="AG227">
        <v>-1</v>
      </c>
      <c r="AH227">
        <v>1</v>
      </c>
    </row>
    <row r="228" spans="1:34" x14ac:dyDescent="0.3">
      <c r="A228" s="42">
        <f t="shared" si="15"/>
        <v>66</v>
      </c>
      <c r="B228" s="44">
        <f t="shared" ref="B228:B234" si="16" xml:space="preserve"> AVERAGE($C228:$AH228)</f>
        <v>-0.90625</v>
      </c>
      <c r="C228">
        <v>-2</v>
      </c>
      <c r="D228">
        <v>2</v>
      </c>
      <c r="E228">
        <v>1</v>
      </c>
      <c r="F228">
        <v>-3</v>
      </c>
      <c r="G228">
        <v>-3</v>
      </c>
      <c r="H228">
        <v>-3</v>
      </c>
      <c r="I228">
        <v>3</v>
      </c>
      <c r="J228">
        <v>-3</v>
      </c>
      <c r="K228">
        <v>1</v>
      </c>
      <c r="L228">
        <v>-2</v>
      </c>
      <c r="M228">
        <v>2</v>
      </c>
      <c r="N228">
        <v>-1</v>
      </c>
      <c r="O228">
        <v>-2</v>
      </c>
      <c r="P228">
        <v>-2</v>
      </c>
      <c r="Q228">
        <v>2</v>
      </c>
      <c r="R228">
        <v>-2</v>
      </c>
      <c r="S228">
        <v>-3</v>
      </c>
      <c r="T228">
        <v>-3</v>
      </c>
      <c r="U228">
        <v>3</v>
      </c>
      <c r="V228">
        <v>-3</v>
      </c>
      <c r="W228">
        <v>-3</v>
      </c>
      <c r="X228">
        <v>3</v>
      </c>
      <c r="Y228">
        <v>-3</v>
      </c>
      <c r="Z228">
        <v>-3</v>
      </c>
      <c r="AA228">
        <v>2</v>
      </c>
      <c r="AB228">
        <v>-3</v>
      </c>
      <c r="AC228">
        <v>-3</v>
      </c>
      <c r="AD228">
        <v>1</v>
      </c>
      <c r="AE228">
        <v>1</v>
      </c>
      <c r="AF228">
        <v>2</v>
      </c>
      <c r="AG228">
        <v>-3</v>
      </c>
      <c r="AH228">
        <v>-2</v>
      </c>
    </row>
    <row r="229" spans="1:34" x14ac:dyDescent="0.3">
      <c r="A229" s="42">
        <f t="shared" ref="A229:A234" si="17" xml:space="preserve"> A228 + 1</f>
        <v>67</v>
      </c>
      <c r="B229" s="44">
        <f t="shared" si="16"/>
        <v>-0.75</v>
      </c>
      <c r="C229">
        <v>-1</v>
      </c>
      <c r="D229">
        <v>-1</v>
      </c>
      <c r="E229">
        <v>3</v>
      </c>
      <c r="F229">
        <v>-3</v>
      </c>
      <c r="G229">
        <v>-3</v>
      </c>
      <c r="H229">
        <v>2</v>
      </c>
      <c r="I229">
        <v>3</v>
      </c>
      <c r="J229">
        <v>-3</v>
      </c>
      <c r="K229">
        <v>-2</v>
      </c>
      <c r="L229">
        <v>-2</v>
      </c>
      <c r="M229">
        <v>-3</v>
      </c>
      <c r="N229">
        <v>-1</v>
      </c>
      <c r="O229">
        <v>1</v>
      </c>
      <c r="P229">
        <v>-3</v>
      </c>
      <c r="Q229">
        <v>2</v>
      </c>
      <c r="R229">
        <v>-1</v>
      </c>
      <c r="S229">
        <v>-3</v>
      </c>
      <c r="T229">
        <v>-1</v>
      </c>
      <c r="U229">
        <v>1</v>
      </c>
      <c r="V229">
        <v>-3</v>
      </c>
      <c r="W229">
        <v>-2</v>
      </c>
      <c r="X229">
        <v>3</v>
      </c>
      <c r="Y229">
        <v>-3</v>
      </c>
      <c r="Z229">
        <v>-3</v>
      </c>
      <c r="AA229">
        <v>-2</v>
      </c>
      <c r="AB229">
        <v>-2</v>
      </c>
      <c r="AC229">
        <v>-3</v>
      </c>
      <c r="AD229">
        <v>2</v>
      </c>
      <c r="AE229">
        <v>-1</v>
      </c>
      <c r="AF229">
        <v>2</v>
      </c>
      <c r="AG229">
        <v>2</v>
      </c>
      <c r="AH229">
        <v>1</v>
      </c>
    </row>
    <row r="230" spans="1:34" x14ac:dyDescent="0.3">
      <c r="A230" s="42">
        <f t="shared" si="17"/>
        <v>68</v>
      </c>
      <c r="B230" s="44">
        <f t="shared" si="16"/>
        <v>-1.09375</v>
      </c>
      <c r="C230">
        <v>-2</v>
      </c>
      <c r="D230">
        <v>-1</v>
      </c>
      <c r="E230">
        <v>3</v>
      </c>
      <c r="F230">
        <v>-3</v>
      </c>
      <c r="G230">
        <v>-3</v>
      </c>
      <c r="H230">
        <v>-3</v>
      </c>
      <c r="I230">
        <v>3</v>
      </c>
      <c r="J230">
        <v>-3</v>
      </c>
      <c r="K230">
        <v>-2</v>
      </c>
      <c r="L230">
        <v>-3</v>
      </c>
      <c r="M230">
        <v>1</v>
      </c>
      <c r="N230">
        <v>1</v>
      </c>
      <c r="O230">
        <v>-2</v>
      </c>
      <c r="P230">
        <v>-3</v>
      </c>
      <c r="Q230">
        <v>-3</v>
      </c>
      <c r="R230">
        <v>-1</v>
      </c>
      <c r="S230">
        <v>-3</v>
      </c>
      <c r="T230">
        <v>-2</v>
      </c>
      <c r="U230">
        <v>2</v>
      </c>
      <c r="V230">
        <v>-3</v>
      </c>
      <c r="W230">
        <v>-3</v>
      </c>
      <c r="X230">
        <v>3</v>
      </c>
      <c r="Y230">
        <v>-3</v>
      </c>
      <c r="Z230">
        <v>-3</v>
      </c>
      <c r="AA230">
        <v>-2</v>
      </c>
      <c r="AB230">
        <v>-2</v>
      </c>
      <c r="AC230">
        <v>-3</v>
      </c>
      <c r="AD230">
        <v>1</v>
      </c>
      <c r="AE230">
        <v>1</v>
      </c>
      <c r="AF230">
        <v>2</v>
      </c>
      <c r="AG230">
        <v>3</v>
      </c>
      <c r="AH230">
        <v>-2</v>
      </c>
    </row>
    <row r="231" spans="1:34" x14ac:dyDescent="0.3">
      <c r="A231" s="42">
        <f t="shared" si="17"/>
        <v>69</v>
      </c>
      <c r="B231" s="44">
        <f t="shared" si="16"/>
        <v>-0.625</v>
      </c>
      <c r="C231">
        <v>-2</v>
      </c>
      <c r="D231">
        <v>1</v>
      </c>
      <c r="E231">
        <v>3</v>
      </c>
      <c r="F231">
        <v>-2</v>
      </c>
      <c r="G231">
        <v>-3</v>
      </c>
      <c r="H231">
        <v>1</v>
      </c>
      <c r="I231">
        <v>3</v>
      </c>
      <c r="J231">
        <v>-3</v>
      </c>
      <c r="K231">
        <v>1</v>
      </c>
      <c r="L231">
        <v>-3</v>
      </c>
      <c r="M231">
        <v>2</v>
      </c>
      <c r="N231">
        <v>-1</v>
      </c>
      <c r="O231">
        <v>-1</v>
      </c>
      <c r="P231">
        <v>-3</v>
      </c>
      <c r="Q231">
        <v>-2</v>
      </c>
      <c r="R231">
        <v>-2</v>
      </c>
      <c r="S231">
        <v>-3</v>
      </c>
      <c r="T231">
        <v>-2</v>
      </c>
      <c r="U231">
        <v>1</v>
      </c>
      <c r="V231">
        <v>-3</v>
      </c>
      <c r="W231">
        <v>-2</v>
      </c>
      <c r="X231">
        <v>3</v>
      </c>
      <c r="Y231">
        <v>3</v>
      </c>
      <c r="Z231">
        <v>-3</v>
      </c>
      <c r="AA231">
        <v>-2</v>
      </c>
      <c r="AB231">
        <v>-2</v>
      </c>
      <c r="AC231">
        <v>-3</v>
      </c>
      <c r="AD231">
        <v>1</v>
      </c>
      <c r="AE231">
        <v>1</v>
      </c>
      <c r="AF231">
        <v>2</v>
      </c>
      <c r="AG231">
        <v>-1</v>
      </c>
      <c r="AH231">
        <v>1</v>
      </c>
    </row>
    <row r="232" spans="1:34" x14ac:dyDescent="0.3">
      <c r="A232" s="42">
        <f t="shared" si="17"/>
        <v>70</v>
      </c>
      <c r="B232" s="44">
        <f t="shared" si="16"/>
        <v>-0.84375</v>
      </c>
      <c r="C232">
        <v>-3</v>
      </c>
      <c r="D232">
        <v>-2</v>
      </c>
      <c r="E232">
        <v>1</v>
      </c>
      <c r="F232">
        <v>3</v>
      </c>
      <c r="G232">
        <v>2</v>
      </c>
      <c r="H232">
        <v>3</v>
      </c>
      <c r="I232">
        <v>1</v>
      </c>
      <c r="J232">
        <v>-3</v>
      </c>
      <c r="K232">
        <v>-3</v>
      </c>
      <c r="L232">
        <v>-3</v>
      </c>
      <c r="M232">
        <v>-2</v>
      </c>
      <c r="N232">
        <v>-1</v>
      </c>
      <c r="O232">
        <v>-3</v>
      </c>
      <c r="P232">
        <v>-3</v>
      </c>
      <c r="Q232">
        <v>-3</v>
      </c>
      <c r="R232">
        <v>-2</v>
      </c>
      <c r="S232">
        <v>-3</v>
      </c>
      <c r="T232">
        <v>-1</v>
      </c>
      <c r="U232">
        <v>-2</v>
      </c>
      <c r="V232">
        <v>-3</v>
      </c>
      <c r="W232">
        <v>-3</v>
      </c>
      <c r="X232">
        <v>3</v>
      </c>
      <c r="Y232">
        <v>-3</v>
      </c>
      <c r="Z232">
        <v>-3</v>
      </c>
      <c r="AA232">
        <v>-2</v>
      </c>
      <c r="AB232">
        <v>3</v>
      </c>
      <c r="AC232">
        <v>-3</v>
      </c>
      <c r="AD232">
        <v>1</v>
      </c>
      <c r="AE232">
        <v>1</v>
      </c>
      <c r="AF232">
        <v>2</v>
      </c>
      <c r="AG232">
        <v>3</v>
      </c>
      <c r="AH232">
        <v>1</v>
      </c>
    </row>
    <row r="233" spans="1:34" x14ac:dyDescent="0.3">
      <c r="A233" s="42">
        <f t="shared" si="17"/>
        <v>71</v>
      </c>
      <c r="B233" s="44">
        <f t="shared" si="16"/>
        <v>-1</v>
      </c>
      <c r="C233">
        <v>1</v>
      </c>
      <c r="D233">
        <v>-2</v>
      </c>
      <c r="E233">
        <v>1</v>
      </c>
      <c r="F233">
        <v>-3</v>
      </c>
      <c r="G233">
        <v>-1</v>
      </c>
      <c r="H233">
        <v>-3</v>
      </c>
      <c r="I233">
        <v>2</v>
      </c>
      <c r="J233">
        <v>-2</v>
      </c>
      <c r="K233">
        <v>-2</v>
      </c>
      <c r="L233">
        <v>-2</v>
      </c>
      <c r="M233">
        <v>1</v>
      </c>
      <c r="N233">
        <v>-1</v>
      </c>
      <c r="O233">
        <v>-2</v>
      </c>
      <c r="P233">
        <v>-3</v>
      </c>
      <c r="Q233">
        <v>-3</v>
      </c>
      <c r="R233">
        <v>-1</v>
      </c>
      <c r="S233">
        <v>-3</v>
      </c>
      <c r="T233">
        <v>-1</v>
      </c>
      <c r="U233">
        <v>-2</v>
      </c>
      <c r="V233">
        <v>-3</v>
      </c>
      <c r="W233">
        <v>-3</v>
      </c>
      <c r="X233">
        <v>3</v>
      </c>
      <c r="Y233">
        <v>-3</v>
      </c>
      <c r="Z233">
        <v>-3</v>
      </c>
      <c r="AA233">
        <v>-2</v>
      </c>
      <c r="AB233">
        <v>-1</v>
      </c>
      <c r="AC233">
        <v>-2</v>
      </c>
      <c r="AD233">
        <v>2</v>
      </c>
      <c r="AE233">
        <v>1</v>
      </c>
      <c r="AF233">
        <v>2</v>
      </c>
      <c r="AG233">
        <v>2</v>
      </c>
      <c r="AH233">
        <v>1</v>
      </c>
    </row>
    <row r="234" spans="1:34" x14ac:dyDescent="0.3">
      <c r="A234" s="42">
        <f t="shared" si="17"/>
        <v>72</v>
      </c>
      <c r="B234" s="44">
        <f t="shared" si="16"/>
        <v>-1.09375</v>
      </c>
      <c r="C234">
        <v>1</v>
      </c>
      <c r="D234">
        <v>-1</v>
      </c>
      <c r="E234">
        <v>1</v>
      </c>
      <c r="F234">
        <v>-2</v>
      </c>
      <c r="G234">
        <v>-3</v>
      </c>
      <c r="H234">
        <v>2</v>
      </c>
      <c r="I234">
        <v>2</v>
      </c>
      <c r="J234">
        <v>-2</v>
      </c>
      <c r="K234">
        <v>-2</v>
      </c>
      <c r="L234">
        <v>-1</v>
      </c>
      <c r="M234">
        <v>-3</v>
      </c>
      <c r="N234">
        <v>-1</v>
      </c>
      <c r="O234">
        <v>-2</v>
      </c>
      <c r="P234">
        <v>-3</v>
      </c>
      <c r="Q234">
        <v>-3</v>
      </c>
      <c r="R234">
        <v>-1</v>
      </c>
      <c r="S234">
        <v>-3</v>
      </c>
      <c r="T234">
        <v>1</v>
      </c>
      <c r="U234">
        <v>-2</v>
      </c>
      <c r="V234">
        <v>-3</v>
      </c>
      <c r="W234">
        <v>-1</v>
      </c>
      <c r="X234">
        <v>3</v>
      </c>
      <c r="Y234">
        <v>-3</v>
      </c>
      <c r="Z234">
        <v>-3</v>
      </c>
      <c r="AA234">
        <v>-2</v>
      </c>
      <c r="AB234">
        <v>-1</v>
      </c>
      <c r="AC234">
        <v>-1</v>
      </c>
      <c r="AD234">
        <v>1</v>
      </c>
      <c r="AE234">
        <v>1</v>
      </c>
      <c r="AF234">
        <v>1</v>
      </c>
      <c r="AG234">
        <v>-3</v>
      </c>
      <c r="AH234">
        <v>-2</v>
      </c>
    </row>
    <row r="241" spans="1:34" x14ac:dyDescent="0.3">
      <c r="A241" s="45"/>
      <c r="B241" s="53" t="s">
        <v>114</v>
      </c>
      <c r="C241" s="48"/>
      <c r="D241" s="48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</row>
    <row r="242" spans="1:34" s="49" customFormat="1" x14ac:dyDescent="0.3">
      <c r="A242" s="49" t="s">
        <v>141</v>
      </c>
      <c r="B242" s="52" t="s">
        <v>116</v>
      </c>
      <c r="C242" s="49" t="s">
        <v>142</v>
      </c>
      <c r="D242" s="49" t="s">
        <v>143</v>
      </c>
      <c r="E242" s="49" t="s">
        <v>144</v>
      </c>
      <c r="F242" s="49" t="s">
        <v>145</v>
      </c>
      <c r="G242" s="49" t="s">
        <v>146</v>
      </c>
      <c r="H242" s="49" t="s">
        <v>147</v>
      </c>
      <c r="I242" s="49" t="s">
        <v>148</v>
      </c>
      <c r="J242" s="49" t="s">
        <v>149</v>
      </c>
      <c r="K242" s="49" t="s">
        <v>150</v>
      </c>
      <c r="L242" s="49" t="s">
        <v>151</v>
      </c>
      <c r="M242" s="49" t="s">
        <v>152</v>
      </c>
      <c r="N242" s="49" t="s">
        <v>153</v>
      </c>
      <c r="O242" s="49" t="s">
        <v>154</v>
      </c>
      <c r="P242" s="49" t="s">
        <v>155</v>
      </c>
      <c r="Q242" s="49" t="s">
        <v>156</v>
      </c>
      <c r="R242" s="49" t="s">
        <v>157</v>
      </c>
      <c r="S242" s="49" t="s">
        <v>158</v>
      </c>
      <c r="T242" s="49" t="s">
        <v>159</v>
      </c>
      <c r="U242" s="49" t="s">
        <v>160</v>
      </c>
      <c r="V242" s="49" t="s">
        <v>161</v>
      </c>
      <c r="W242" s="49" t="s">
        <v>162</v>
      </c>
      <c r="X242" s="49" t="s">
        <v>163</v>
      </c>
      <c r="Y242" s="49" t="s">
        <v>164</v>
      </c>
      <c r="Z242" s="49" t="s">
        <v>165</v>
      </c>
      <c r="AA242" s="49" t="s">
        <v>166</v>
      </c>
      <c r="AB242" s="49" t="s">
        <v>167</v>
      </c>
      <c r="AC242" s="49" t="s">
        <v>168</v>
      </c>
      <c r="AD242" s="49" t="s">
        <v>173</v>
      </c>
      <c r="AE242" s="49" t="s">
        <v>169</v>
      </c>
      <c r="AF242" s="49" t="s">
        <v>170</v>
      </c>
      <c r="AG242" s="49" t="s">
        <v>171</v>
      </c>
      <c r="AH242" s="49" t="s">
        <v>172</v>
      </c>
    </row>
    <row r="243" spans="1:34" x14ac:dyDescent="0.3">
      <c r="A243" s="42">
        <v>1</v>
      </c>
      <c r="B243" s="44">
        <f xml:space="preserve"> AVERAGE($C243:$AH243)</f>
        <v>-0.375</v>
      </c>
      <c r="C243" s="42">
        <v>-1</v>
      </c>
      <c r="D243">
        <v>-1</v>
      </c>
      <c r="E243">
        <v>-1</v>
      </c>
      <c r="F243">
        <v>-2</v>
      </c>
      <c r="G243">
        <v>-1</v>
      </c>
      <c r="H243">
        <v>1</v>
      </c>
      <c r="I243">
        <v>-1</v>
      </c>
      <c r="J243">
        <v>-1</v>
      </c>
      <c r="K243">
        <v>-1</v>
      </c>
      <c r="L243">
        <v>-1</v>
      </c>
      <c r="M243">
        <v>1</v>
      </c>
      <c r="N243">
        <v>-1</v>
      </c>
      <c r="O243">
        <v>-1</v>
      </c>
      <c r="P243">
        <v>1</v>
      </c>
      <c r="Q243">
        <v>2</v>
      </c>
      <c r="R243">
        <v>-1</v>
      </c>
      <c r="S243">
        <v>1</v>
      </c>
      <c r="T243">
        <v>-1</v>
      </c>
      <c r="U243">
        <v>1</v>
      </c>
      <c r="V243">
        <v>-1</v>
      </c>
      <c r="W243">
        <v>-1</v>
      </c>
      <c r="X243">
        <v>-1</v>
      </c>
      <c r="Y243">
        <v>-2</v>
      </c>
      <c r="Z243">
        <v>-1</v>
      </c>
      <c r="AA243">
        <v>-1</v>
      </c>
      <c r="AB243">
        <v>-1</v>
      </c>
      <c r="AC243">
        <v>1</v>
      </c>
      <c r="AD243">
        <v>-1</v>
      </c>
      <c r="AE243">
        <v>1</v>
      </c>
      <c r="AF243">
        <v>2</v>
      </c>
      <c r="AG243">
        <v>1</v>
      </c>
      <c r="AH243">
        <v>-1</v>
      </c>
    </row>
    <row r="244" spans="1:34" x14ac:dyDescent="0.3">
      <c r="A244" s="42">
        <f xml:space="preserve"> A243 + 1</f>
        <v>2</v>
      </c>
      <c r="B244" s="44">
        <f t="shared" ref="B244:B307" si="18" xml:space="preserve"> AVERAGE($C244:$AH244)</f>
        <v>0.21875</v>
      </c>
      <c r="C244" s="42">
        <v>1</v>
      </c>
      <c r="D244">
        <v>-1</v>
      </c>
      <c r="E244">
        <v>-1</v>
      </c>
      <c r="F244">
        <v>1</v>
      </c>
      <c r="G244">
        <v>1</v>
      </c>
      <c r="H244">
        <v>2</v>
      </c>
      <c r="I244">
        <v>1</v>
      </c>
      <c r="J244">
        <v>1</v>
      </c>
      <c r="K244">
        <v>1</v>
      </c>
      <c r="L244">
        <v>-1</v>
      </c>
      <c r="M244">
        <v>2</v>
      </c>
      <c r="N244">
        <v>-1</v>
      </c>
      <c r="O244">
        <v>-1</v>
      </c>
      <c r="P244">
        <v>1</v>
      </c>
      <c r="Q244">
        <v>-1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-1</v>
      </c>
      <c r="X244">
        <v>1</v>
      </c>
      <c r="Y244">
        <v>2</v>
      </c>
      <c r="Z244">
        <v>-1</v>
      </c>
      <c r="AA244">
        <v>-1</v>
      </c>
      <c r="AB244">
        <v>-1</v>
      </c>
      <c r="AC244">
        <v>-1</v>
      </c>
      <c r="AD244">
        <v>1</v>
      </c>
      <c r="AE244">
        <v>-1</v>
      </c>
      <c r="AF244">
        <v>2</v>
      </c>
      <c r="AG244">
        <v>-2</v>
      </c>
      <c r="AH244">
        <v>-1</v>
      </c>
    </row>
    <row r="245" spans="1:34" x14ac:dyDescent="0.3">
      <c r="A245" s="42">
        <f t="shared" ref="A245:A308" si="19" xml:space="preserve"> A244 + 1</f>
        <v>3</v>
      </c>
      <c r="B245" s="44">
        <f t="shared" si="18"/>
        <v>-0.125</v>
      </c>
      <c r="C245" s="42">
        <v>1</v>
      </c>
      <c r="D245">
        <v>-1</v>
      </c>
      <c r="E245">
        <v>-1</v>
      </c>
      <c r="F245">
        <v>-3</v>
      </c>
      <c r="G245">
        <v>3</v>
      </c>
      <c r="H245">
        <v>-1</v>
      </c>
      <c r="I245">
        <v>1</v>
      </c>
      <c r="J245">
        <v>-1</v>
      </c>
      <c r="K245">
        <v>-1</v>
      </c>
      <c r="L245">
        <v>1</v>
      </c>
      <c r="M245">
        <v>-1</v>
      </c>
      <c r="N245">
        <v>-1</v>
      </c>
      <c r="O245">
        <v>-1</v>
      </c>
      <c r="P245">
        <v>1</v>
      </c>
      <c r="Q245">
        <v>1</v>
      </c>
      <c r="R245">
        <v>1</v>
      </c>
      <c r="S245">
        <v>1</v>
      </c>
      <c r="T245">
        <v>-1</v>
      </c>
      <c r="U245">
        <v>2</v>
      </c>
      <c r="V245">
        <v>2</v>
      </c>
      <c r="W245">
        <v>-2</v>
      </c>
      <c r="X245">
        <v>1</v>
      </c>
      <c r="Y245">
        <v>-2</v>
      </c>
      <c r="Z245">
        <v>-1</v>
      </c>
      <c r="AA245">
        <v>-1</v>
      </c>
      <c r="AB245">
        <v>-1</v>
      </c>
      <c r="AC245">
        <v>1</v>
      </c>
      <c r="AD245">
        <v>-1</v>
      </c>
      <c r="AE245">
        <v>-1</v>
      </c>
      <c r="AF245">
        <v>-1</v>
      </c>
      <c r="AG245">
        <v>1</v>
      </c>
      <c r="AH245">
        <v>1</v>
      </c>
    </row>
    <row r="246" spans="1:34" x14ac:dyDescent="0.3">
      <c r="A246" s="42">
        <f t="shared" si="19"/>
        <v>4</v>
      </c>
      <c r="B246" s="44">
        <f t="shared" si="18"/>
        <v>1.21875</v>
      </c>
      <c r="C246" s="42">
        <v>2</v>
      </c>
      <c r="D246">
        <v>1</v>
      </c>
      <c r="E246">
        <v>2</v>
      </c>
      <c r="F246">
        <v>3</v>
      </c>
      <c r="G246">
        <v>-1</v>
      </c>
      <c r="H246">
        <v>1</v>
      </c>
      <c r="I246">
        <v>2</v>
      </c>
      <c r="J246">
        <v>1</v>
      </c>
      <c r="K246">
        <v>2</v>
      </c>
      <c r="L246">
        <v>2</v>
      </c>
      <c r="M246">
        <v>1</v>
      </c>
      <c r="N246">
        <v>-1</v>
      </c>
      <c r="O246">
        <v>1</v>
      </c>
      <c r="P246">
        <v>1</v>
      </c>
      <c r="Q246">
        <v>1</v>
      </c>
      <c r="R246">
        <v>-1</v>
      </c>
      <c r="S246">
        <v>1</v>
      </c>
      <c r="T246">
        <v>1</v>
      </c>
      <c r="U246">
        <v>3</v>
      </c>
      <c r="V246">
        <v>1</v>
      </c>
      <c r="W246">
        <v>1</v>
      </c>
      <c r="X246">
        <v>1</v>
      </c>
      <c r="Y246">
        <v>3</v>
      </c>
      <c r="Z246">
        <v>1</v>
      </c>
      <c r="AA246">
        <v>2</v>
      </c>
      <c r="AB246">
        <v>1</v>
      </c>
      <c r="AC246">
        <v>1</v>
      </c>
      <c r="AD246">
        <v>1</v>
      </c>
      <c r="AE246">
        <v>-1</v>
      </c>
      <c r="AF246">
        <v>2</v>
      </c>
      <c r="AG246">
        <v>3</v>
      </c>
      <c r="AH246">
        <v>1</v>
      </c>
    </row>
    <row r="247" spans="1:34" x14ac:dyDescent="0.3">
      <c r="A247" s="42">
        <f t="shared" si="19"/>
        <v>5</v>
      </c>
      <c r="B247" s="44">
        <f t="shared" si="18"/>
        <v>0.59375</v>
      </c>
      <c r="C247" s="42">
        <v>1</v>
      </c>
      <c r="D247">
        <v>1</v>
      </c>
      <c r="E247">
        <v>-1</v>
      </c>
      <c r="F247">
        <v>3</v>
      </c>
      <c r="G247">
        <v>-2</v>
      </c>
      <c r="H247">
        <v>1</v>
      </c>
      <c r="I247">
        <v>-2</v>
      </c>
      <c r="J247">
        <v>-1</v>
      </c>
      <c r="K247">
        <v>2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-1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3</v>
      </c>
      <c r="Z247">
        <v>-1</v>
      </c>
      <c r="AA247">
        <v>-1</v>
      </c>
      <c r="AB247">
        <v>1</v>
      </c>
      <c r="AC247">
        <v>-1</v>
      </c>
      <c r="AD247">
        <v>1</v>
      </c>
      <c r="AE247">
        <v>-1</v>
      </c>
      <c r="AF247">
        <v>2</v>
      </c>
      <c r="AG247">
        <v>2</v>
      </c>
      <c r="AH247">
        <v>1</v>
      </c>
    </row>
    <row r="248" spans="1:34" x14ac:dyDescent="0.3">
      <c r="A248" s="42">
        <f t="shared" si="19"/>
        <v>6</v>
      </c>
      <c r="B248" s="44">
        <f t="shared" si="18"/>
        <v>0.3125</v>
      </c>
      <c r="C248" s="42">
        <v>-2</v>
      </c>
      <c r="D248">
        <v>-1</v>
      </c>
      <c r="E248">
        <v>-2</v>
      </c>
      <c r="F248">
        <v>1</v>
      </c>
      <c r="G248">
        <v>-2</v>
      </c>
      <c r="H248">
        <v>-1</v>
      </c>
      <c r="I248">
        <v>-2</v>
      </c>
      <c r="J248">
        <v>1</v>
      </c>
      <c r="K248">
        <v>1</v>
      </c>
      <c r="L248">
        <v>-1</v>
      </c>
      <c r="M248">
        <v>1</v>
      </c>
      <c r="N248">
        <v>-1</v>
      </c>
      <c r="O248">
        <v>2</v>
      </c>
      <c r="P248">
        <v>1</v>
      </c>
      <c r="Q248">
        <v>1</v>
      </c>
      <c r="R248">
        <v>-1</v>
      </c>
      <c r="S248">
        <v>2</v>
      </c>
      <c r="T248">
        <v>1</v>
      </c>
      <c r="U248">
        <v>1</v>
      </c>
      <c r="V248">
        <v>2</v>
      </c>
      <c r="W248">
        <v>-2</v>
      </c>
      <c r="X248">
        <v>2</v>
      </c>
      <c r="Y248">
        <v>3</v>
      </c>
      <c r="Z248">
        <v>1</v>
      </c>
      <c r="AA248">
        <v>-1</v>
      </c>
      <c r="AB248">
        <v>1</v>
      </c>
      <c r="AC248">
        <v>-1</v>
      </c>
      <c r="AD248">
        <v>1</v>
      </c>
      <c r="AE248">
        <v>1</v>
      </c>
      <c r="AF248">
        <v>2</v>
      </c>
      <c r="AG248">
        <v>1</v>
      </c>
      <c r="AH248">
        <v>1</v>
      </c>
    </row>
    <row r="249" spans="1:34" x14ac:dyDescent="0.3">
      <c r="A249" s="42">
        <f t="shared" si="19"/>
        <v>7</v>
      </c>
      <c r="B249" s="44">
        <f t="shared" si="18"/>
        <v>-0.4375</v>
      </c>
      <c r="C249" s="42">
        <v>-2</v>
      </c>
      <c r="D249">
        <v>-1</v>
      </c>
      <c r="E249">
        <v>-2</v>
      </c>
      <c r="F249">
        <v>-2</v>
      </c>
      <c r="G249">
        <v>-3</v>
      </c>
      <c r="H249">
        <v>-2</v>
      </c>
      <c r="I249">
        <v>-2</v>
      </c>
      <c r="J249">
        <v>1</v>
      </c>
      <c r="K249">
        <v>1</v>
      </c>
      <c r="L249">
        <v>1</v>
      </c>
      <c r="M249">
        <v>1</v>
      </c>
      <c r="N249">
        <v>-1</v>
      </c>
      <c r="O249">
        <v>-2</v>
      </c>
      <c r="P249">
        <v>1</v>
      </c>
      <c r="Q249">
        <v>1</v>
      </c>
      <c r="R249">
        <v>-1</v>
      </c>
      <c r="S249">
        <v>1</v>
      </c>
      <c r="T249">
        <v>1</v>
      </c>
      <c r="U249">
        <v>1</v>
      </c>
      <c r="V249">
        <v>1</v>
      </c>
      <c r="W249">
        <v>-2</v>
      </c>
      <c r="X249">
        <v>1</v>
      </c>
      <c r="Y249">
        <v>-3</v>
      </c>
      <c r="Z249">
        <v>-1</v>
      </c>
      <c r="AA249">
        <v>-1</v>
      </c>
      <c r="AB249">
        <v>-1</v>
      </c>
      <c r="AC249">
        <v>-1</v>
      </c>
      <c r="AD249">
        <v>1</v>
      </c>
      <c r="AE249">
        <v>1</v>
      </c>
      <c r="AF249">
        <v>2</v>
      </c>
      <c r="AG249">
        <v>-3</v>
      </c>
      <c r="AH249">
        <v>1</v>
      </c>
    </row>
    <row r="250" spans="1:34" x14ac:dyDescent="0.3">
      <c r="A250" s="42">
        <f t="shared" si="19"/>
        <v>8</v>
      </c>
      <c r="B250" s="44">
        <f t="shared" si="18"/>
        <v>3.125E-2</v>
      </c>
      <c r="C250" s="42">
        <v>1</v>
      </c>
      <c r="D250">
        <v>-1</v>
      </c>
      <c r="E250">
        <v>-2</v>
      </c>
      <c r="F250">
        <v>3</v>
      </c>
      <c r="G250">
        <v>-3</v>
      </c>
      <c r="H250">
        <v>1</v>
      </c>
      <c r="I250">
        <v>-1</v>
      </c>
      <c r="J250">
        <v>-1</v>
      </c>
      <c r="K250">
        <v>2</v>
      </c>
      <c r="L250">
        <v>-1</v>
      </c>
      <c r="M250">
        <v>1</v>
      </c>
      <c r="N250">
        <v>-1</v>
      </c>
      <c r="O250">
        <v>-1</v>
      </c>
      <c r="P250">
        <v>1</v>
      </c>
      <c r="Q250">
        <v>1</v>
      </c>
      <c r="R250">
        <v>-1</v>
      </c>
      <c r="S250">
        <v>1</v>
      </c>
      <c r="T250">
        <v>-1</v>
      </c>
      <c r="U250">
        <v>1</v>
      </c>
      <c r="V250">
        <v>1</v>
      </c>
      <c r="W250">
        <v>1</v>
      </c>
      <c r="X250">
        <v>2</v>
      </c>
      <c r="Y250">
        <v>3</v>
      </c>
      <c r="Z250">
        <v>-1</v>
      </c>
      <c r="AA250">
        <v>-1</v>
      </c>
      <c r="AB250">
        <v>-1</v>
      </c>
      <c r="AC250">
        <v>-1</v>
      </c>
      <c r="AD250">
        <v>2</v>
      </c>
      <c r="AE250">
        <v>-1</v>
      </c>
      <c r="AF250">
        <v>2</v>
      </c>
      <c r="AG250">
        <v>-3</v>
      </c>
      <c r="AH250">
        <v>-1</v>
      </c>
    </row>
    <row r="251" spans="1:34" x14ac:dyDescent="0.3">
      <c r="A251" s="42">
        <f t="shared" si="19"/>
        <v>9</v>
      </c>
      <c r="B251" s="44">
        <f t="shared" si="18"/>
        <v>0.59375</v>
      </c>
      <c r="C251" s="42">
        <v>-1</v>
      </c>
      <c r="D251">
        <v>2</v>
      </c>
      <c r="E251">
        <v>-1</v>
      </c>
      <c r="F251">
        <v>3</v>
      </c>
      <c r="G251">
        <v>3</v>
      </c>
      <c r="H251">
        <v>-1</v>
      </c>
      <c r="I251">
        <v>1</v>
      </c>
      <c r="J251">
        <v>2</v>
      </c>
      <c r="K251">
        <v>1</v>
      </c>
      <c r="L251">
        <v>2</v>
      </c>
      <c r="M251">
        <v>1</v>
      </c>
      <c r="N251">
        <v>-1</v>
      </c>
      <c r="O251">
        <v>-1</v>
      </c>
      <c r="P251">
        <v>-1</v>
      </c>
      <c r="Q251">
        <v>1</v>
      </c>
      <c r="R251">
        <v>-1</v>
      </c>
      <c r="S251">
        <v>2</v>
      </c>
      <c r="T251">
        <v>-1</v>
      </c>
      <c r="U251">
        <v>1</v>
      </c>
      <c r="V251">
        <v>2</v>
      </c>
      <c r="W251">
        <v>1</v>
      </c>
      <c r="X251">
        <v>1</v>
      </c>
      <c r="Y251">
        <v>-3</v>
      </c>
      <c r="Z251">
        <v>2</v>
      </c>
      <c r="AA251">
        <v>1</v>
      </c>
      <c r="AB251">
        <v>-1</v>
      </c>
      <c r="AC251">
        <v>1</v>
      </c>
      <c r="AD251">
        <v>3</v>
      </c>
      <c r="AE251">
        <v>1</v>
      </c>
      <c r="AF251">
        <v>3</v>
      </c>
      <c r="AG251">
        <v>-1</v>
      </c>
      <c r="AH251">
        <v>-2</v>
      </c>
    </row>
    <row r="252" spans="1:34" x14ac:dyDescent="0.3">
      <c r="A252" s="42">
        <f t="shared" si="19"/>
        <v>10</v>
      </c>
      <c r="B252" s="44">
        <f t="shared" si="18"/>
        <v>0.53125</v>
      </c>
      <c r="C252" s="42">
        <v>-2</v>
      </c>
      <c r="D252">
        <v>1</v>
      </c>
      <c r="E252">
        <v>-1</v>
      </c>
      <c r="F252">
        <v>3</v>
      </c>
      <c r="G252">
        <v>2</v>
      </c>
      <c r="H252">
        <v>-1</v>
      </c>
      <c r="I252">
        <v>-1</v>
      </c>
      <c r="J252">
        <v>-1</v>
      </c>
      <c r="K252">
        <v>1</v>
      </c>
      <c r="L252">
        <v>-1</v>
      </c>
      <c r="M252">
        <v>1</v>
      </c>
      <c r="N252">
        <v>-1</v>
      </c>
      <c r="O252">
        <v>1</v>
      </c>
      <c r="P252">
        <v>1</v>
      </c>
      <c r="Q252">
        <v>2</v>
      </c>
      <c r="R252">
        <v>-1</v>
      </c>
      <c r="S252">
        <v>1</v>
      </c>
      <c r="T252">
        <v>-1</v>
      </c>
      <c r="U252">
        <v>2</v>
      </c>
      <c r="V252">
        <v>-1</v>
      </c>
      <c r="W252">
        <v>2</v>
      </c>
      <c r="X252">
        <v>1</v>
      </c>
      <c r="Y252">
        <v>3</v>
      </c>
      <c r="Z252">
        <v>-1</v>
      </c>
      <c r="AA252">
        <v>2</v>
      </c>
      <c r="AB252">
        <v>-1</v>
      </c>
      <c r="AC252">
        <v>1</v>
      </c>
      <c r="AD252">
        <v>1</v>
      </c>
      <c r="AE252">
        <v>1</v>
      </c>
      <c r="AF252">
        <v>2</v>
      </c>
      <c r="AG252">
        <v>1</v>
      </c>
      <c r="AH252">
        <v>1</v>
      </c>
    </row>
    <row r="253" spans="1:34" x14ac:dyDescent="0.3">
      <c r="A253" s="42">
        <f t="shared" si="19"/>
        <v>11</v>
      </c>
      <c r="B253" s="44">
        <f t="shared" si="18"/>
        <v>0.59375</v>
      </c>
      <c r="C253" s="42">
        <v>-3</v>
      </c>
      <c r="D253">
        <v>2</v>
      </c>
      <c r="E253">
        <v>-1</v>
      </c>
      <c r="F253">
        <v>3</v>
      </c>
      <c r="G253">
        <v>3</v>
      </c>
      <c r="H253">
        <v>-2</v>
      </c>
      <c r="I253">
        <v>-1</v>
      </c>
      <c r="J253">
        <v>-1</v>
      </c>
      <c r="K253">
        <v>1</v>
      </c>
      <c r="L253">
        <v>2</v>
      </c>
      <c r="M253">
        <v>3</v>
      </c>
      <c r="N253">
        <v>-1</v>
      </c>
      <c r="O253">
        <v>2</v>
      </c>
      <c r="P253">
        <v>1</v>
      </c>
      <c r="Q253">
        <v>2</v>
      </c>
      <c r="R253">
        <v>-1</v>
      </c>
      <c r="S253">
        <v>1</v>
      </c>
      <c r="T253">
        <v>-2</v>
      </c>
      <c r="U253">
        <v>1</v>
      </c>
      <c r="V253">
        <v>2</v>
      </c>
      <c r="W253">
        <v>2</v>
      </c>
      <c r="X253">
        <v>2</v>
      </c>
      <c r="Y253">
        <v>-2</v>
      </c>
      <c r="Z253">
        <v>2</v>
      </c>
      <c r="AA253">
        <v>-1</v>
      </c>
      <c r="AB253">
        <v>-1</v>
      </c>
      <c r="AC253">
        <v>-1</v>
      </c>
      <c r="AD253">
        <v>2</v>
      </c>
      <c r="AE253">
        <v>-1</v>
      </c>
      <c r="AF253">
        <v>3</v>
      </c>
      <c r="AG253">
        <v>2</v>
      </c>
      <c r="AH253">
        <v>1</v>
      </c>
    </row>
    <row r="254" spans="1:34" x14ac:dyDescent="0.3">
      <c r="A254" s="42">
        <f t="shared" si="19"/>
        <v>12</v>
      </c>
      <c r="B254" s="44">
        <f t="shared" si="18"/>
        <v>1.78125</v>
      </c>
      <c r="C254" s="42">
        <v>2</v>
      </c>
      <c r="D254">
        <v>3</v>
      </c>
      <c r="E254">
        <v>1</v>
      </c>
      <c r="F254">
        <v>3</v>
      </c>
      <c r="G254">
        <v>3</v>
      </c>
      <c r="H254">
        <v>3</v>
      </c>
      <c r="I254">
        <v>3</v>
      </c>
      <c r="J254">
        <v>-1</v>
      </c>
      <c r="K254">
        <v>1</v>
      </c>
      <c r="L254">
        <v>3</v>
      </c>
      <c r="M254">
        <v>1</v>
      </c>
      <c r="N254">
        <v>-1</v>
      </c>
      <c r="O254">
        <v>2</v>
      </c>
      <c r="P254">
        <v>1</v>
      </c>
      <c r="Q254">
        <v>2</v>
      </c>
      <c r="R254">
        <v>3</v>
      </c>
      <c r="S254">
        <v>2</v>
      </c>
      <c r="T254">
        <v>-1</v>
      </c>
      <c r="U254">
        <v>1</v>
      </c>
      <c r="V254">
        <v>3</v>
      </c>
      <c r="W254">
        <v>2</v>
      </c>
      <c r="X254">
        <v>1</v>
      </c>
      <c r="Y254">
        <v>3</v>
      </c>
      <c r="Z254">
        <v>3</v>
      </c>
      <c r="AA254">
        <v>1</v>
      </c>
      <c r="AB254">
        <v>1</v>
      </c>
      <c r="AC254">
        <v>1</v>
      </c>
      <c r="AD254">
        <v>3</v>
      </c>
      <c r="AE254">
        <v>1</v>
      </c>
      <c r="AF254">
        <v>3</v>
      </c>
      <c r="AG254">
        <v>3</v>
      </c>
      <c r="AH254">
        <v>1</v>
      </c>
    </row>
    <row r="255" spans="1:34" x14ac:dyDescent="0.3">
      <c r="A255" s="42">
        <f t="shared" si="19"/>
        <v>13</v>
      </c>
      <c r="B255" s="44">
        <f t="shared" si="18"/>
        <v>0.53125</v>
      </c>
      <c r="C255" s="42">
        <v>1</v>
      </c>
      <c r="D255">
        <v>2</v>
      </c>
      <c r="E255">
        <v>1</v>
      </c>
      <c r="F255">
        <v>3</v>
      </c>
      <c r="G255">
        <v>-2</v>
      </c>
      <c r="H255">
        <v>-1</v>
      </c>
      <c r="I255">
        <v>1</v>
      </c>
      <c r="J255">
        <v>-1</v>
      </c>
      <c r="K255">
        <v>-1</v>
      </c>
      <c r="L255">
        <v>2</v>
      </c>
      <c r="M255">
        <v>1</v>
      </c>
      <c r="N255">
        <v>-1</v>
      </c>
      <c r="O255">
        <v>-1</v>
      </c>
      <c r="P255">
        <v>1</v>
      </c>
      <c r="Q255">
        <v>3</v>
      </c>
      <c r="R255">
        <v>1</v>
      </c>
      <c r="S255">
        <v>1</v>
      </c>
      <c r="T255">
        <v>-2</v>
      </c>
      <c r="U255">
        <v>-1</v>
      </c>
      <c r="V255">
        <v>-2</v>
      </c>
      <c r="W255">
        <v>1</v>
      </c>
      <c r="X255">
        <v>1</v>
      </c>
      <c r="Y255">
        <v>3</v>
      </c>
      <c r="Z255">
        <v>-1</v>
      </c>
      <c r="AA255">
        <v>1</v>
      </c>
      <c r="AB255">
        <v>-1</v>
      </c>
      <c r="AC255">
        <v>1</v>
      </c>
      <c r="AD255">
        <v>1</v>
      </c>
      <c r="AE255">
        <v>-1</v>
      </c>
      <c r="AF255">
        <v>3</v>
      </c>
      <c r="AG255">
        <v>3</v>
      </c>
      <c r="AH255">
        <v>1</v>
      </c>
    </row>
    <row r="256" spans="1:34" x14ac:dyDescent="0.3">
      <c r="A256" s="42">
        <f t="shared" si="19"/>
        <v>14</v>
      </c>
      <c r="B256" s="44">
        <f t="shared" si="18"/>
        <v>-0.5</v>
      </c>
      <c r="C256" s="42">
        <v>1</v>
      </c>
      <c r="D256">
        <v>-2</v>
      </c>
      <c r="E256">
        <v>-1</v>
      </c>
      <c r="F256">
        <v>3</v>
      </c>
      <c r="G256">
        <v>-2</v>
      </c>
      <c r="H256">
        <v>-2</v>
      </c>
      <c r="I256">
        <v>-2</v>
      </c>
      <c r="J256">
        <v>-1</v>
      </c>
      <c r="K256">
        <v>-1</v>
      </c>
      <c r="L256">
        <v>1</v>
      </c>
      <c r="M256">
        <v>1</v>
      </c>
      <c r="N256">
        <v>-1</v>
      </c>
      <c r="O256">
        <v>1</v>
      </c>
      <c r="P256">
        <v>1</v>
      </c>
      <c r="Q256">
        <v>1</v>
      </c>
      <c r="R256">
        <v>-1</v>
      </c>
      <c r="S256">
        <v>1</v>
      </c>
      <c r="T256">
        <v>-1</v>
      </c>
      <c r="U256">
        <v>-1</v>
      </c>
      <c r="V256">
        <v>-3</v>
      </c>
      <c r="W256">
        <v>-1</v>
      </c>
      <c r="X256">
        <v>-1</v>
      </c>
      <c r="Y256">
        <v>-3</v>
      </c>
      <c r="Z256">
        <v>-1</v>
      </c>
      <c r="AA256">
        <v>-1</v>
      </c>
      <c r="AB256">
        <v>-1</v>
      </c>
      <c r="AC256">
        <v>-1</v>
      </c>
      <c r="AD256">
        <v>1</v>
      </c>
      <c r="AE256">
        <v>-1</v>
      </c>
      <c r="AF256">
        <v>3</v>
      </c>
      <c r="AG256">
        <v>-3</v>
      </c>
      <c r="AH256">
        <v>1</v>
      </c>
    </row>
    <row r="257" spans="1:34" x14ac:dyDescent="0.3">
      <c r="A257" s="42">
        <f t="shared" si="19"/>
        <v>15</v>
      </c>
      <c r="B257" s="44">
        <f t="shared" si="18"/>
        <v>0.28125</v>
      </c>
      <c r="C257" s="42">
        <v>-2</v>
      </c>
      <c r="D257">
        <v>-1</v>
      </c>
      <c r="E257">
        <v>1</v>
      </c>
      <c r="F257">
        <v>-3</v>
      </c>
      <c r="G257">
        <v>1</v>
      </c>
      <c r="H257">
        <v>1</v>
      </c>
      <c r="I257">
        <v>-2</v>
      </c>
      <c r="J257">
        <v>-1</v>
      </c>
      <c r="K257">
        <v>1</v>
      </c>
      <c r="L257">
        <v>2</v>
      </c>
      <c r="M257">
        <v>-1</v>
      </c>
      <c r="N257">
        <v>-1</v>
      </c>
      <c r="O257">
        <v>-1</v>
      </c>
      <c r="P257">
        <v>1</v>
      </c>
      <c r="Q257">
        <v>2</v>
      </c>
      <c r="R257">
        <v>1</v>
      </c>
      <c r="S257">
        <v>2</v>
      </c>
      <c r="T257">
        <v>1</v>
      </c>
      <c r="U257">
        <v>2</v>
      </c>
      <c r="V257">
        <v>1</v>
      </c>
      <c r="W257">
        <v>-2</v>
      </c>
      <c r="X257">
        <v>1</v>
      </c>
      <c r="Y257">
        <v>-3</v>
      </c>
      <c r="Z257">
        <v>2</v>
      </c>
      <c r="AA257">
        <v>-1</v>
      </c>
      <c r="AB257">
        <v>-1</v>
      </c>
      <c r="AC257">
        <v>1</v>
      </c>
      <c r="AD257">
        <v>-1</v>
      </c>
      <c r="AE257">
        <v>2</v>
      </c>
      <c r="AF257">
        <v>3</v>
      </c>
      <c r="AG257">
        <v>3</v>
      </c>
      <c r="AH257">
        <v>1</v>
      </c>
    </row>
    <row r="258" spans="1:34" x14ac:dyDescent="0.3">
      <c r="A258" s="42">
        <f t="shared" si="19"/>
        <v>16</v>
      </c>
      <c r="B258" s="44">
        <f t="shared" si="18"/>
        <v>-0.6875</v>
      </c>
      <c r="C258" s="42">
        <v>-2</v>
      </c>
      <c r="D258">
        <v>-3</v>
      </c>
      <c r="E258">
        <v>1</v>
      </c>
      <c r="F258">
        <v>3</v>
      </c>
      <c r="G258">
        <v>-1</v>
      </c>
      <c r="H258">
        <v>-2</v>
      </c>
      <c r="I258">
        <v>-2</v>
      </c>
      <c r="J258">
        <v>-1</v>
      </c>
      <c r="K258">
        <v>2</v>
      </c>
      <c r="L258">
        <v>-2</v>
      </c>
      <c r="M258">
        <v>-2</v>
      </c>
      <c r="N258">
        <v>-1</v>
      </c>
      <c r="O258">
        <v>1</v>
      </c>
      <c r="P258">
        <v>1</v>
      </c>
      <c r="Q258">
        <v>2</v>
      </c>
      <c r="R258">
        <v>-1</v>
      </c>
      <c r="S258">
        <v>1</v>
      </c>
      <c r="T258">
        <v>-2</v>
      </c>
      <c r="U258">
        <v>-2</v>
      </c>
      <c r="V258">
        <v>1</v>
      </c>
      <c r="W258">
        <v>-1</v>
      </c>
      <c r="X258">
        <v>-2</v>
      </c>
      <c r="Y258">
        <v>-3</v>
      </c>
      <c r="Z258">
        <v>1</v>
      </c>
      <c r="AA258">
        <v>-2</v>
      </c>
      <c r="AB258">
        <v>-2</v>
      </c>
      <c r="AC258">
        <v>-2</v>
      </c>
      <c r="AD258">
        <v>-2</v>
      </c>
      <c r="AE258">
        <v>-1</v>
      </c>
      <c r="AF258">
        <v>3</v>
      </c>
      <c r="AG258">
        <v>-3</v>
      </c>
      <c r="AH258">
        <v>1</v>
      </c>
    </row>
    <row r="259" spans="1:34" x14ac:dyDescent="0.3">
      <c r="A259" s="42">
        <f t="shared" si="19"/>
        <v>17</v>
      </c>
      <c r="B259" s="44">
        <f t="shared" si="18"/>
        <v>0.65625</v>
      </c>
      <c r="C259" s="42">
        <v>3</v>
      </c>
      <c r="D259">
        <v>2</v>
      </c>
      <c r="E259">
        <v>1</v>
      </c>
      <c r="F259">
        <v>3</v>
      </c>
      <c r="G259">
        <v>2</v>
      </c>
      <c r="H259">
        <v>1</v>
      </c>
      <c r="I259">
        <v>1</v>
      </c>
      <c r="J259">
        <v>-1</v>
      </c>
      <c r="K259">
        <v>2</v>
      </c>
      <c r="L259">
        <v>2</v>
      </c>
      <c r="M259">
        <v>1</v>
      </c>
      <c r="N259">
        <v>-1</v>
      </c>
      <c r="O259">
        <v>1</v>
      </c>
      <c r="P259">
        <v>1</v>
      </c>
      <c r="Q259">
        <v>3</v>
      </c>
      <c r="R259">
        <v>-1</v>
      </c>
      <c r="S259">
        <v>2</v>
      </c>
      <c r="T259">
        <v>-2</v>
      </c>
      <c r="U259">
        <v>2</v>
      </c>
      <c r="V259">
        <v>-3</v>
      </c>
      <c r="W259">
        <v>-2</v>
      </c>
      <c r="X259">
        <v>1</v>
      </c>
      <c r="Y259">
        <v>-3</v>
      </c>
      <c r="Z259">
        <v>1</v>
      </c>
      <c r="AA259">
        <v>1</v>
      </c>
      <c r="AB259">
        <v>-1</v>
      </c>
      <c r="AC259">
        <v>-1</v>
      </c>
      <c r="AD259">
        <v>1</v>
      </c>
      <c r="AE259">
        <v>1</v>
      </c>
      <c r="AF259">
        <v>2</v>
      </c>
      <c r="AG259">
        <v>1</v>
      </c>
      <c r="AH259">
        <v>1</v>
      </c>
    </row>
    <row r="260" spans="1:34" x14ac:dyDescent="0.3">
      <c r="A260" s="42">
        <f t="shared" si="19"/>
        <v>18</v>
      </c>
      <c r="B260" s="44">
        <f t="shared" si="18"/>
        <v>0.5625</v>
      </c>
      <c r="C260" s="42">
        <v>1</v>
      </c>
      <c r="D260">
        <v>1</v>
      </c>
      <c r="E260">
        <v>1</v>
      </c>
      <c r="F260">
        <v>2</v>
      </c>
      <c r="G260">
        <v>-1</v>
      </c>
      <c r="H260">
        <v>2</v>
      </c>
      <c r="I260">
        <v>1</v>
      </c>
      <c r="J260">
        <v>-1</v>
      </c>
      <c r="K260">
        <v>1</v>
      </c>
      <c r="L260">
        <v>1</v>
      </c>
      <c r="M260">
        <v>1</v>
      </c>
      <c r="N260">
        <v>-1</v>
      </c>
      <c r="O260">
        <v>1</v>
      </c>
      <c r="P260">
        <v>-1</v>
      </c>
      <c r="Q260">
        <v>2</v>
      </c>
      <c r="R260">
        <v>-1</v>
      </c>
      <c r="S260">
        <v>1</v>
      </c>
      <c r="T260">
        <v>-1</v>
      </c>
      <c r="U260">
        <v>1</v>
      </c>
      <c r="V260">
        <v>-1</v>
      </c>
      <c r="W260">
        <v>1</v>
      </c>
      <c r="X260">
        <v>2</v>
      </c>
      <c r="Y260">
        <v>3</v>
      </c>
      <c r="Z260">
        <v>2</v>
      </c>
      <c r="AA260">
        <v>1</v>
      </c>
      <c r="AB260">
        <v>1</v>
      </c>
      <c r="AC260">
        <v>1</v>
      </c>
      <c r="AD260">
        <v>-1</v>
      </c>
      <c r="AE260">
        <v>-2</v>
      </c>
      <c r="AF260">
        <v>2</v>
      </c>
      <c r="AG260">
        <v>-2</v>
      </c>
      <c r="AH260">
        <v>1</v>
      </c>
    </row>
    <row r="261" spans="1:34" x14ac:dyDescent="0.3">
      <c r="A261" s="42">
        <f t="shared" si="19"/>
        <v>19</v>
      </c>
      <c r="B261" s="44">
        <f t="shared" si="18"/>
        <v>0.4375</v>
      </c>
      <c r="C261" s="42">
        <v>-3</v>
      </c>
      <c r="D261">
        <v>1</v>
      </c>
      <c r="E261">
        <v>1</v>
      </c>
      <c r="F261">
        <v>-3</v>
      </c>
      <c r="G261">
        <v>-2</v>
      </c>
      <c r="H261">
        <v>1</v>
      </c>
      <c r="I261">
        <v>1</v>
      </c>
      <c r="J261">
        <v>-1</v>
      </c>
      <c r="K261">
        <v>2</v>
      </c>
      <c r="L261">
        <v>2</v>
      </c>
      <c r="M261">
        <v>1</v>
      </c>
      <c r="N261">
        <v>-1</v>
      </c>
      <c r="O261">
        <v>1</v>
      </c>
      <c r="P261">
        <v>1</v>
      </c>
      <c r="Q261">
        <v>3</v>
      </c>
      <c r="R261">
        <v>-1</v>
      </c>
      <c r="S261">
        <v>1</v>
      </c>
      <c r="T261">
        <v>-1</v>
      </c>
      <c r="U261">
        <v>2</v>
      </c>
      <c r="V261">
        <v>1</v>
      </c>
      <c r="W261">
        <v>-1</v>
      </c>
      <c r="X261">
        <v>-1</v>
      </c>
      <c r="Y261">
        <v>3</v>
      </c>
      <c r="Z261">
        <v>-1</v>
      </c>
      <c r="AA261">
        <v>-1</v>
      </c>
      <c r="AB261">
        <v>1</v>
      </c>
      <c r="AC261">
        <v>1</v>
      </c>
      <c r="AD261">
        <v>1</v>
      </c>
      <c r="AE261">
        <v>-1</v>
      </c>
      <c r="AF261">
        <v>3</v>
      </c>
      <c r="AG261">
        <v>3</v>
      </c>
      <c r="AH261">
        <v>1</v>
      </c>
    </row>
    <row r="262" spans="1:34" x14ac:dyDescent="0.3">
      <c r="A262" s="42">
        <f t="shared" si="19"/>
        <v>20</v>
      </c>
      <c r="B262" s="44">
        <f t="shared" si="18"/>
        <v>-0.5625</v>
      </c>
      <c r="C262" s="42">
        <v>-3</v>
      </c>
      <c r="D262">
        <v>1</v>
      </c>
      <c r="E262">
        <v>1</v>
      </c>
      <c r="F262">
        <v>-1</v>
      </c>
      <c r="G262">
        <v>-2</v>
      </c>
      <c r="H262">
        <v>-2</v>
      </c>
      <c r="I262">
        <v>-2</v>
      </c>
      <c r="J262">
        <v>-1</v>
      </c>
      <c r="K262">
        <v>1</v>
      </c>
      <c r="L262">
        <v>-1</v>
      </c>
      <c r="M262">
        <v>1</v>
      </c>
      <c r="N262">
        <v>-1</v>
      </c>
      <c r="O262">
        <v>1</v>
      </c>
      <c r="P262">
        <v>1</v>
      </c>
      <c r="Q262">
        <v>2</v>
      </c>
      <c r="R262">
        <v>-1</v>
      </c>
      <c r="S262">
        <v>2</v>
      </c>
      <c r="T262">
        <v>-1</v>
      </c>
      <c r="U262">
        <v>1</v>
      </c>
      <c r="V262">
        <v>-2</v>
      </c>
      <c r="W262">
        <v>-2</v>
      </c>
      <c r="X262">
        <v>-1</v>
      </c>
      <c r="Y262">
        <v>-3</v>
      </c>
      <c r="Z262">
        <v>-1</v>
      </c>
      <c r="AA262">
        <v>-2</v>
      </c>
      <c r="AB262">
        <v>-2</v>
      </c>
      <c r="AC262">
        <v>-1</v>
      </c>
      <c r="AD262">
        <v>-2</v>
      </c>
      <c r="AE262">
        <v>-1</v>
      </c>
      <c r="AF262">
        <v>3</v>
      </c>
      <c r="AG262">
        <v>-1</v>
      </c>
      <c r="AH262">
        <v>1</v>
      </c>
    </row>
    <row r="263" spans="1:34" x14ac:dyDescent="0.3">
      <c r="A263" s="42">
        <f t="shared" si="19"/>
        <v>21</v>
      </c>
      <c r="B263" s="44">
        <f t="shared" si="18"/>
        <v>-0.4375</v>
      </c>
      <c r="C263" s="42">
        <v>-2</v>
      </c>
      <c r="D263">
        <v>-1</v>
      </c>
      <c r="E263">
        <v>1</v>
      </c>
      <c r="F263">
        <v>-2</v>
      </c>
      <c r="G263">
        <v>1</v>
      </c>
      <c r="H263">
        <v>2</v>
      </c>
      <c r="I263">
        <v>-1</v>
      </c>
      <c r="J263">
        <v>-1</v>
      </c>
      <c r="K263">
        <v>-2</v>
      </c>
      <c r="L263">
        <v>-1</v>
      </c>
      <c r="M263">
        <v>1</v>
      </c>
      <c r="N263">
        <v>-1</v>
      </c>
      <c r="O263">
        <v>1</v>
      </c>
      <c r="P263">
        <v>1</v>
      </c>
      <c r="Q263">
        <v>1</v>
      </c>
      <c r="R263">
        <v>-1</v>
      </c>
      <c r="S263">
        <v>2</v>
      </c>
      <c r="T263">
        <v>-2</v>
      </c>
      <c r="U263">
        <v>1</v>
      </c>
      <c r="V263">
        <v>-1</v>
      </c>
      <c r="W263">
        <v>-1</v>
      </c>
      <c r="X263">
        <v>1</v>
      </c>
      <c r="Y263">
        <v>-3</v>
      </c>
      <c r="Z263">
        <v>-1</v>
      </c>
      <c r="AA263">
        <v>-1</v>
      </c>
      <c r="AB263">
        <v>-1</v>
      </c>
      <c r="AC263">
        <v>-1</v>
      </c>
      <c r="AD263">
        <v>-2</v>
      </c>
      <c r="AE263">
        <v>-1</v>
      </c>
      <c r="AF263">
        <v>3</v>
      </c>
      <c r="AG263">
        <v>-1</v>
      </c>
      <c r="AH263">
        <v>-2</v>
      </c>
    </row>
    <row r="264" spans="1:34" x14ac:dyDescent="0.3">
      <c r="A264" s="42">
        <f t="shared" si="19"/>
        <v>22</v>
      </c>
      <c r="B264" s="44">
        <f t="shared" si="18"/>
        <v>0.125</v>
      </c>
      <c r="C264" s="42">
        <v>1</v>
      </c>
      <c r="D264">
        <v>-1</v>
      </c>
      <c r="E264">
        <v>-1</v>
      </c>
      <c r="F264">
        <v>-3</v>
      </c>
      <c r="G264">
        <v>-2</v>
      </c>
      <c r="H264">
        <v>1</v>
      </c>
      <c r="I264">
        <v>2</v>
      </c>
      <c r="J264">
        <v>1</v>
      </c>
      <c r="K264">
        <v>1</v>
      </c>
      <c r="L264">
        <v>1</v>
      </c>
      <c r="M264">
        <v>2</v>
      </c>
      <c r="N264">
        <v>-1</v>
      </c>
      <c r="O264">
        <v>-1</v>
      </c>
      <c r="P264">
        <v>-1</v>
      </c>
      <c r="Q264">
        <v>2</v>
      </c>
      <c r="R264">
        <v>-1</v>
      </c>
      <c r="S264">
        <v>1</v>
      </c>
      <c r="T264">
        <v>-2</v>
      </c>
      <c r="U264">
        <v>1</v>
      </c>
      <c r="V264">
        <v>-1</v>
      </c>
      <c r="W264">
        <v>-2</v>
      </c>
      <c r="X264">
        <v>2</v>
      </c>
      <c r="Y264">
        <v>3</v>
      </c>
      <c r="Z264">
        <v>1</v>
      </c>
      <c r="AA264">
        <v>1</v>
      </c>
      <c r="AB264">
        <v>-1</v>
      </c>
      <c r="AC264">
        <v>1</v>
      </c>
      <c r="AD264">
        <v>1</v>
      </c>
      <c r="AE264">
        <v>-1</v>
      </c>
      <c r="AF264">
        <v>3</v>
      </c>
      <c r="AG264">
        <v>-1</v>
      </c>
      <c r="AH264">
        <v>-2</v>
      </c>
    </row>
    <row r="265" spans="1:34" x14ac:dyDescent="0.3">
      <c r="A265" s="42">
        <f t="shared" si="19"/>
        <v>23</v>
      </c>
      <c r="B265" s="44">
        <f t="shared" si="18"/>
        <v>-0.75</v>
      </c>
      <c r="C265" s="42">
        <v>-2</v>
      </c>
      <c r="D265">
        <v>-1</v>
      </c>
      <c r="E265">
        <v>1</v>
      </c>
      <c r="F265">
        <v>1</v>
      </c>
      <c r="G265">
        <v>-3</v>
      </c>
      <c r="H265">
        <v>-1</v>
      </c>
      <c r="I265">
        <v>-1</v>
      </c>
      <c r="J265">
        <v>-1</v>
      </c>
      <c r="K265">
        <v>1</v>
      </c>
      <c r="L265">
        <v>-1</v>
      </c>
      <c r="M265">
        <v>2</v>
      </c>
      <c r="N265">
        <v>-1</v>
      </c>
      <c r="O265">
        <v>-1</v>
      </c>
      <c r="P265">
        <v>1</v>
      </c>
      <c r="Q265">
        <v>1</v>
      </c>
      <c r="R265">
        <v>-1</v>
      </c>
      <c r="S265">
        <v>1</v>
      </c>
      <c r="T265">
        <v>-2</v>
      </c>
      <c r="U265">
        <v>-2</v>
      </c>
      <c r="V265">
        <v>-3</v>
      </c>
      <c r="W265">
        <v>-1</v>
      </c>
      <c r="X265">
        <v>-1</v>
      </c>
      <c r="Y265">
        <v>-3</v>
      </c>
      <c r="Z265">
        <v>-1</v>
      </c>
      <c r="AA265">
        <v>-2</v>
      </c>
      <c r="AB265">
        <v>-1</v>
      </c>
      <c r="AC265">
        <v>-1</v>
      </c>
      <c r="AD265">
        <v>1</v>
      </c>
      <c r="AE265">
        <v>-1</v>
      </c>
      <c r="AF265">
        <v>2</v>
      </c>
      <c r="AG265">
        <v>-2</v>
      </c>
      <c r="AH265">
        <v>-2</v>
      </c>
    </row>
    <row r="266" spans="1:34" x14ac:dyDescent="0.3">
      <c r="A266" s="42">
        <f t="shared" si="19"/>
        <v>24</v>
      </c>
      <c r="B266" s="44">
        <f t="shared" si="18"/>
        <v>0.15625</v>
      </c>
      <c r="C266" s="42">
        <v>-1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-1</v>
      </c>
      <c r="K266">
        <v>1</v>
      </c>
      <c r="L266">
        <v>1</v>
      </c>
      <c r="M266">
        <v>1</v>
      </c>
      <c r="N266">
        <v>-1</v>
      </c>
      <c r="O266">
        <v>1</v>
      </c>
      <c r="P266">
        <v>1</v>
      </c>
      <c r="Q266">
        <v>2</v>
      </c>
      <c r="R266">
        <v>-1</v>
      </c>
      <c r="S266">
        <v>2</v>
      </c>
      <c r="T266">
        <v>-2</v>
      </c>
      <c r="U266">
        <v>1</v>
      </c>
      <c r="V266">
        <v>-1</v>
      </c>
      <c r="W266">
        <v>-2</v>
      </c>
      <c r="X266">
        <v>1</v>
      </c>
      <c r="Y266">
        <v>-3</v>
      </c>
      <c r="Z266">
        <v>-1</v>
      </c>
      <c r="AA266">
        <v>-1</v>
      </c>
      <c r="AB266">
        <v>-1</v>
      </c>
      <c r="AC266">
        <v>1</v>
      </c>
      <c r="AD266">
        <v>1</v>
      </c>
      <c r="AE266">
        <v>-1</v>
      </c>
      <c r="AF266">
        <v>3</v>
      </c>
      <c r="AG266">
        <v>1</v>
      </c>
      <c r="AH266">
        <v>-2</v>
      </c>
    </row>
    <row r="267" spans="1:34" x14ac:dyDescent="0.3">
      <c r="A267" s="42">
        <f t="shared" si="19"/>
        <v>25</v>
      </c>
      <c r="B267" s="44">
        <f t="shared" si="18"/>
        <v>0.71875</v>
      </c>
      <c r="C267" s="42">
        <v>2</v>
      </c>
      <c r="D267">
        <v>-1</v>
      </c>
      <c r="E267">
        <v>1</v>
      </c>
      <c r="F267">
        <v>3</v>
      </c>
      <c r="G267">
        <v>2</v>
      </c>
      <c r="H267">
        <v>-2</v>
      </c>
      <c r="I267">
        <v>2</v>
      </c>
      <c r="J267">
        <v>3</v>
      </c>
      <c r="K267">
        <v>-2</v>
      </c>
      <c r="L267">
        <v>1</v>
      </c>
      <c r="M267">
        <v>1</v>
      </c>
      <c r="N267">
        <v>-1</v>
      </c>
      <c r="O267">
        <v>1</v>
      </c>
      <c r="P267">
        <v>-1</v>
      </c>
      <c r="Q267">
        <v>1</v>
      </c>
      <c r="R267">
        <v>2</v>
      </c>
      <c r="S267">
        <v>2</v>
      </c>
      <c r="T267">
        <v>-2</v>
      </c>
      <c r="U267">
        <v>2</v>
      </c>
      <c r="V267">
        <v>2</v>
      </c>
      <c r="W267">
        <v>1</v>
      </c>
      <c r="X267">
        <v>-1</v>
      </c>
      <c r="Y267">
        <v>3</v>
      </c>
      <c r="Z267">
        <v>1</v>
      </c>
      <c r="AA267">
        <v>-1</v>
      </c>
      <c r="AB267">
        <v>1</v>
      </c>
      <c r="AC267">
        <v>2</v>
      </c>
      <c r="AD267">
        <v>-2</v>
      </c>
      <c r="AE267">
        <v>-1</v>
      </c>
      <c r="AF267">
        <v>3</v>
      </c>
      <c r="AG267">
        <v>3</v>
      </c>
      <c r="AH267">
        <v>-2</v>
      </c>
    </row>
    <row r="268" spans="1:34" x14ac:dyDescent="0.3">
      <c r="A268" s="42">
        <f t="shared" si="19"/>
        <v>26</v>
      </c>
      <c r="B268" s="44">
        <f t="shared" si="18"/>
        <v>0.25</v>
      </c>
      <c r="C268" s="42">
        <v>1</v>
      </c>
      <c r="D268">
        <v>1</v>
      </c>
      <c r="E268">
        <v>1</v>
      </c>
      <c r="F268">
        <v>3</v>
      </c>
      <c r="G268">
        <v>3</v>
      </c>
      <c r="H268">
        <v>-2</v>
      </c>
      <c r="I268">
        <v>-2</v>
      </c>
      <c r="J268">
        <v>-1</v>
      </c>
      <c r="K268">
        <v>1</v>
      </c>
      <c r="L268">
        <v>-1</v>
      </c>
      <c r="M268">
        <v>1</v>
      </c>
      <c r="N268">
        <v>-1</v>
      </c>
      <c r="O268">
        <v>1</v>
      </c>
      <c r="P268">
        <v>1</v>
      </c>
      <c r="Q268">
        <v>2</v>
      </c>
      <c r="R268">
        <v>1</v>
      </c>
      <c r="S268">
        <v>1</v>
      </c>
      <c r="T268">
        <v>-1</v>
      </c>
      <c r="U268">
        <v>1</v>
      </c>
      <c r="V268">
        <v>1</v>
      </c>
      <c r="W268">
        <v>1</v>
      </c>
      <c r="X268">
        <v>1</v>
      </c>
      <c r="Y268">
        <v>-3</v>
      </c>
      <c r="Z268">
        <v>1</v>
      </c>
      <c r="AA268">
        <v>-1</v>
      </c>
      <c r="AB268">
        <v>1</v>
      </c>
      <c r="AC268">
        <v>1</v>
      </c>
      <c r="AD268">
        <v>-2</v>
      </c>
      <c r="AE268">
        <v>-1</v>
      </c>
      <c r="AF268">
        <v>2</v>
      </c>
      <c r="AG268">
        <v>-1</v>
      </c>
      <c r="AH268">
        <v>-2</v>
      </c>
    </row>
    <row r="269" spans="1:34" x14ac:dyDescent="0.3">
      <c r="A269" s="42">
        <f t="shared" si="19"/>
        <v>27</v>
      </c>
      <c r="B269" s="44">
        <f t="shared" si="18"/>
        <v>0.6875</v>
      </c>
      <c r="C269" s="42">
        <v>-1</v>
      </c>
      <c r="D269">
        <v>1</v>
      </c>
      <c r="E269">
        <v>1</v>
      </c>
      <c r="F269">
        <v>3</v>
      </c>
      <c r="G269">
        <v>3</v>
      </c>
      <c r="H269">
        <v>2</v>
      </c>
      <c r="I269">
        <v>1</v>
      </c>
      <c r="J269">
        <v>-1</v>
      </c>
      <c r="K269">
        <v>1</v>
      </c>
      <c r="L269">
        <v>-1</v>
      </c>
      <c r="M269">
        <v>1</v>
      </c>
      <c r="N269">
        <v>-1</v>
      </c>
      <c r="O269">
        <v>1</v>
      </c>
      <c r="P269">
        <v>1</v>
      </c>
      <c r="Q269">
        <v>2</v>
      </c>
      <c r="R269">
        <v>1</v>
      </c>
      <c r="S269">
        <v>1</v>
      </c>
      <c r="T269">
        <v>-1</v>
      </c>
      <c r="U269">
        <v>1</v>
      </c>
      <c r="V269">
        <v>-1</v>
      </c>
      <c r="W269">
        <v>1</v>
      </c>
      <c r="X269">
        <v>2</v>
      </c>
      <c r="Y269">
        <v>3</v>
      </c>
      <c r="Z269">
        <v>1</v>
      </c>
      <c r="AA269">
        <v>-1</v>
      </c>
      <c r="AB269">
        <v>-1</v>
      </c>
      <c r="AC269">
        <v>1</v>
      </c>
      <c r="AD269">
        <v>1</v>
      </c>
      <c r="AE269">
        <v>-1</v>
      </c>
      <c r="AF269">
        <v>3</v>
      </c>
      <c r="AG269">
        <v>1</v>
      </c>
      <c r="AH269">
        <v>-2</v>
      </c>
    </row>
    <row r="270" spans="1:34" x14ac:dyDescent="0.3">
      <c r="A270" s="42">
        <f t="shared" si="19"/>
        <v>28</v>
      </c>
      <c r="B270" s="44">
        <f t="shared" si="18"/>
        <v>0.25</v>
      </c>
      <c r="C270" s="42">
        <v>1</v>
      </c>
      <c r="D270">
        <v>-1</v>
      </c>
      <c r="E270">
        <v>1</v>
      </c>
      <c r="F270">
        <v>2</v>
      </c>
      <c r="G270">
        <v>2</v>
      </c>
      <c r="H270">
        <v>-1</v>
      </c>
      <c r="I270">
        <v>-1</v>
      </c>
      <c r="J270">
        <v>-2</v>
      </c>
      <c r="K270">
        <v>-1</v>
      </c>
      <c r="L270">
        <v>1</v>
      </c>
      <c r="M270">
        <v>1</v>
      </c>
      <c r="N270">
        <v>-1</v>
      </c>
      <c r="O270">
        <v>2</v>
      </c>
      <c r="P270">
        <v>-1</v>
      </c>
      <c r="Q270">
        <v>3</v>
      </c>
      <c r="R270">
        <v>1</v>
      </c>
      <c r="S270">
        <v>1</v>
      </c>
      <c r="T270">
        <v>-1</v>
      </c>
      <c r="U270">
        <v>2</v>
      </c>
      <c r="V270">
        <v>-1</v>
      </c>
      <c r="W270">
        <v>-1</v>
      </c>
      <c r="X270">
        <v>-1</v>
      </c>
      <c r="Y270">
        <v>3</v>
      </c>
      <c r="Z270">
        <v>-1</v>
      </c>
      <c r="AA270">
        <v>1</v>
      </c>
      <c r="AB270">
        <v>-1</v>
      </c>
      <c r="AC270">
        <v>-1</v>
      </c>
      <c r="AD270">
        <v>1</v>
      </c>
      <c r="AE270">
        <v>-1</v>
      </c>
      <c r="AF270">
        <v>2</v>
      </c>
      <c r="AG270">
        <v>1</v>
      </c>
      <c r="AH270">
        <v>-1</v>
      </c>
    </row>
    <row r="271" spans="1:34" x14ac:dyDescent="0.3">
      <c r="A271" s="42">
        <f t="shared" si="19"/>
        <v>29</v>
      </c>
      <c r="B271" s="44">
        <f t="shared" si="18"/>
        <v>0.59375</v>
      </c>
      <c r="C271" s="42">
        <v>1</v>
      </c>
      <c r="D271">
        <v>-1</v>
      </c>
      <c r="E271">
        <v>1</v>
      </c>
      <c r="F271">
        <v>2</v>
      </c>
      <c r="G271">
        <v>-2</v>
      </c>
      <c r="H271">
        <v>3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-1</v>
      </c>
      <c r="O271">
        <v>2</v>
      </c>
      <c r="P271">
        <v>1</v>
      </c>
      <c r="Q271">
        <v>3</v>
      </c>
      <c r="R271">
        <v>-1</v>
      </c>
      <c r="S271">
        <v>-1</v>
      </c>
      <c r="T271">
        <v>-1</v>
      </c>
      <c r="U271">
        <v>1</v>
      </c>
      <c r="V271">
        <v>2</v>
      </c>
      <c r="W271">
        <v>1</v>
      </c>
      <c r="X271">
        <v>1</v>
      </c>
      <c r="Y271">
        <v>3</v>
      </c>
      <c r="Z271">
        <v>-1</v>
      </c>
      <c r="AA271">
        <v>-1</v>
      </c>
      <c r="AB271">
        <v>-1</v>
      </c>
      <c r="AC271">
        <v>-1</v>
      </c>
      <c r="AD271">
        <v>1</v>
      </c>
      <c r="AE271">
        <v>-1</v>
      </c>
      <c r="AF271">
        <v>3</v>
      </c>
      <c r="AG271">
        <v>3</v>
      </c>
      <c r="AH271">
        <v>-2</v>
      </c>
    </row>
    <row r="272" spans="1:34" x14ac:dyDescent="0.3">
      <c r="A272" s="42">
        <f t="shared" si="19"/>
        <v>30</v>
      </c>
      <c r="B272" s="44">
        <f t="shared" si="18"/>
        <v>0.71875</v>
      </c>
      <c r="C272" s="42">
        <v>1</v>
      </c>
      <c r="D272">
        <v>-1</v>
      </c>
      <c r="E272">
        <v>1</v>
      </c>
      <c r="F272">
        <v>3</v>
      </c>
      <c r="G272">
        <v>3</v>
      </c>
      <c r="H272">
        <v>2</v>
      </c>
      <c r="I272">
        <v>2</v>
      </c>
      <c r="J272">
        <v>-1</v>
      </c>
      <c r="K272">
        <v>-2</v>
      </c>
      <c r="L272">
        <v>2</v>
      </c>
      <c r="M272">
        <v>2</v>
      </c>
      <c r="N272">
        <v>-1</v>
      </c>
      <c r="O272">
        <v>2</v>
      </c>
      <c r="P272">
        <v>-1</v>
      </c>
      <c r="Q272">
        <v>3</v>
      </c>
      <c r="R272">
        <v>1</v>
      </c>
      <c r="S272">
        <v>2</v>
      </c>
      <c r="T272">
        <v>-1</v>
      </c>
      <c r="U272">
        <v>2</v>
      </c>
      <c r="V272">
        <v>1</v>
      </c>
      <c r="W272">
        <v>1</v>
      </c>
      <c r="X272">
        <v>1</v>
      </c>
      <c r="Y272">
        <v>3</v>
      </c>
      <c r="Z272">
        <v>2</v>
      </c>
      <c r="AA272">
        <v>-1</v>
      </c>
      <c r="AB272">
        <v>1</v>
      </c>
      <c r="AC272">
        <v>-1</v>
      </c>
      <c r="AD272">
        <v>-2</v>
      </c>
      <c r="AE272">
        <v>-1</v>
      </c>
      <c r="AF272">
        <v>2</v>
      </c>
      <c r="AG272">
        <v>-1</v>
      </c>
      <c r="AH272">
        <v>-1</v>
      </c>
    </row>
    <row r="273" spans="1:34" x14ac:dyDescent="0.3">
      <c r="A273" s="42">
        <f t="shared" si="19"/>
        <v>31</v>
      </c>
      <c r="B273" s="44">
        <f t="shared" si="18"/>
        <v>0.21875</v>
      </c>
      <c r="C273" s="42">
        <v>-1</v>
      </c>
      <c r="D273">
        <v>1</v>
      </c>
      <c r="E273">
        <v>1</v>
      </c>
      <c r="F273">
        <v>-3</v>
      </c>
      <c r="G273">
        <v>3</v>
      </c>
      <c r="H273">
        <v>2</v>
      </c>
      <c r="I273">
        <v>1</v>
      </c>
      <c r="J273">
        <v>-1</v>
      </c>
      <c r="K273">
        <v>-2</v>
      </c>
      <c r="L273">
        <v>-2</v>
      </c>
      <c r="M273">
        <v>1</v>
      </c>
      <c r="N273">
        <v>-1</v>
      </c>
      <c r="O273">
        <v>2</v>
      </c>
      <c r="P273">
        <v>1</v>
      </c>
      <c r="Q273">
        <v>3</v>
      </c>
      <c r="R273">
        <v>-1</v>
      </c>
      <c r="S273">
        <v>3</v>
      </c>
      <c r="T273">
        <v>-2</v>
      </c>
      <c r="U273">
        <v>3</v>
      </c>
      <c r="V273">
        <v>-2</v>
      </c>
      <c r="W273">
        <v>-1</v>
      </c>
      <c r="X273">
        <v>-1</v>
      </c>
      <c r="Y273">
        <v>3</v>
      </c>
      <c r="Z273">
        <v>2</v>
      </c>
      <c r="AA273">
        <v>-1</v>
      </c>
      <c r="AB273">
        <v>-1</v>
      </c>
      <c r="AC273">
        <v>1</v>
      </c>
      <c r="AD273">
        <v>-2</v>
      </c>
      <c r="AE273">
        <v>-1</v>
      </c>
      <c r="AF273">
        <v>3</v>
      </c>
      <c r="AG273">
        <v>1</v>
      </c>
      <c r="AH273">
        <v>-2</v>
      </c>
    </row>
    <row r="274" spans="1:34" x14ac:dyDescent="0.3">
      <c r="A274" s="42">
        <f t="shared" si="19"/>
        <v>32</v>
      </c>
      <c r="B274" s="44">
        <f t="shared" si="18"/>
        <v>0.96875</v>
      </c>
      <c r="C274" s="42">
        <v>-2</v>
      </c>
      <c r="D274">
        <v>-1</v>
      </c>
      <c r="E274">
        <v>2</v>
      </c>
      <c r="F274">
        <v>3</v>
      </c>
      <c r="G274">
        <v>3</v>
      </c>
      <c r="H274">
        <v>2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-1</v>
      </c>
      <c r="O274">
        <v>2</v>
      </c>
      <c r="P274">
        <v>-1</v>
      </c>
      <c r="Q274">
        <v>3</v>
      </c>
      <c r="R274">
        <v>1</v>
      </c>
      <c r="S274">
        <v>2</v>
      </c>
      <c r="T274">
        <v>1</v>
      </c>
      <c r="U274">
        <v>2</v>
      </c>
      <c r="V274">
        <v>1</v>
      </c>
      <c r="W274">
        <v>-1</v>
      </c>
      <c r="X274">
        <v>1</v>
      </c>
      <c r="Y274">
        <v>3</v>
      </c>
      <c r="Z274">
        <v>2</v>
      </c>
      <c r="AA274">
        <v>-1</v>
      </c>
      <c r="AB274">
        <v>-1</v>
      </c>
      <c r="AC274">
        <v>1</v>
      </c>
      <c r="AD274">
        <v>1</v>
      </c>
      <c r="AE274">
        <v>-1</v>
      </c>
      <c r="AF274">
        <v>3</v>
      </c>
      <c r="AG274">
        <v>1</v>
      </c>
      <c r="AH274">
        <v>1</v>
      </c>
    </row>
    <row r="275" spans="1:34" x14ac:dyDescent="0.3">
      <c r="A275" s="42">
        <f t="shared" si="19"/>
        <v>33</v>
      </c>
      <c r="B275" s="44">
        <f t="shared" si="18"/>
        <v>0.28125</v>
      </c>
      <c r="C275" s="42">
        <v>-1</v>
      </c>
      <c r="D275">
        <v>-1</v>
      </c>
      <c r="E275">
        <v>1</v>
      </c>
      <c r="F275">
        <v>3</v>
      </c>
      <c r="G275">
        <v>-3</v>
      </c>
      <c r="H275">
        <v>1</v>
      </c>
      <c r="I275">
        <v>-1</v>
      </c>
      <c r="J275">
        <v>1</v>
      </c>
      <c r="K275">
        <v>1</v>
      </c>
      <c r="L275">
        <v>-1</v>
      </c>
      <c r="M275">
        <v>1</v>
      </c>
      <c r="N275">
        <v>-1</v>
      </c>
      <c r="O275">
        <v>2</v>
      </c>
      <c r="P275">
        <v>1</v>
      </c>
      <c r="Q275">
        <v>2</v>
      </c>
      <c r="R275">
        <v>-1</v>
      </c>
      <c r="S275">
        <v>1</v>
      </c>
      <c r="T275">
        <v>-2</v>
      </c>
      <c r="U275">
        <v>1</v>
      </c>
      <c r="V275">
        <v>1</v>
      </c>
      <c r="W275">
        <v>-2</v>
      </c>
      <c r="X275">
        <v>2</v>
      </c>
      <c r="Y275">
        <v>3</v>
      </c>
      <c r="Z275">
        <v>2</v>
      </c>
      <c r="AA275">
        <v>-1</v>
      </c>
      <c r="AB275">
        <v>-1</v>
      </c>
      <c r="AC275">
        <v>-1</v>
      </c>
      <c r="AD275">
        <v>1</v>
      </c>
      <c r="AE275">
        <v>-1</v>
      </c>
      <c r="AF275">
        <v>3</v>
      </c>
      <c r="AG275">
        <v>-2</v>
      </c>
      <c r="AH275">
        <v>1</v>
      </c>
    </row>
    <row r="276" spans="1:34" x14ac:dyDescent="0.3">
      <c r="A276" s="42">
        <f t="shared" si="19"/>
        <v>34</v>
      </c>
      <c r="B276" s="44">
        <f t="shared" si="18"/>
        <v>0.375</v>
      </c>
      <c r="C276" s="42">
        <v>1</v>
      </c>
      <c r="D276">
        <v>-1</v>
      </c>
      <c r="E276">
        <v>2</v>
      </c>
      <c r="F276">
        <v>3</v>
      </c>
      <c r="G276">
        <v>3</v>
      </c>
      <c r="H276">
        <v>1</v>
      </c>
      <c r="I276">
        <v>-1</v>
      </c>
      <c r="J276">
        <v>-1</v>
      </c>
      <c r="K276">
        <v>2</v>
      </c>
      <c r="L276">
        <v>-1</v>
      </c>
      <c r="M276">
        <v>1</v>
      </c>
      <c r="N276">
        <v>-1</v>
      </c>
      <c r="O276">
        <v>2</v>
      </c>
      <c r="P276">
        <v>-1</v>
      </c>
      <c r="Q276">
        <v>2</v>
      </c>
      <c r="R276">
        <v>-1</v>
      </c>
      <c r="S276">
        <v>2</v>
      </c>
      <c r="T276">
        <v>-1</v>
      </c>
      <c r="U276">
        <v>2</v>
      </c>
      <c r="V276">
        <v>2</v>
      </c>
      <c r="W276">
        <v>-2</v>
      </c>
      <c r="X276">
        <v>1</v>
      </c>
      <c r="Y276">
        <v>3</v>
      </c>
      <c r="Z276">
        <v>1</v>
      </c>
      <c r="AA276">
        <v>-1</v>
      </c>
      <c r="AB276">
        <v>-2</v>
      </c>
      <c r="AC276">
        <v>2</v>
      </c>
      <c r="AD276">
        <v>-2</v>
      </c>
      <c r="AE276">
        <v>-1</v>
      </c>
      <c r="AF276">
        <v>3</v>
      </c>
      <c r="AG276">
        <v>-3</v>
      </c>
      <c r="AH276">
        <v>-2</v>
      </c>
    </row>
    <row r="277" spans="1:34" x14ac:dyDescent="0.3">
      <c r="A277" s="42">
        <f t="shared" si="19"/>
        <v>35</v>
      </c>
      <c r="B277" s="44">
        <f t="shared" si="18"/>
        <v>0.3125</v>
      </c>
      <c r="C277" s="42">
        <v>1</v>
      </c>
      <c r="D277">
        <v>-1</v>
      </c>
      <c r="E277">
        <v>1</v>
      </c>
      <c r="F277">
        <v>3</v>
      </c>
      <c r="G277">
        <v>-2</v>
      </c>
      <c r="H277">
        <v>1</v>
      </c>
      <c r="I277">
        <v>-1</v>
      </c>
      <c r="J277">
        <v>-1</v>
      </c>
      <c r="K277">
        <v>-2</v>
      </c>
      <c r="L277">
        <v>-1</v>
      </c>
      <c r="M277">
        <v>2</v>
      </c>
      <c r="N277">
        <v>-1</v>
      </c>
      <c r="O277">
        <v>1</v>
      </c>
      <c r="P277">
        <v>1</v>
      </c>
      <c r="Q277">
        <v>2</v>
      </c>
      <c r="R277">
        <v>1</v>
      </c>
      <c r="S277">
        <v>1</v>
      </c>
      <c r="T277">
        <v>-1</v>
      </c>
      <c r="U277">
        <v>-1</v>
      </c>
      <c r="V277">
        <v>1</v>
      </c>
      <c r="W277">
        <v>-1</v>
      </c>
      <c r="X277">
        <v>2</v>
      </c>
      <c r="Y277">
        <v>3</v>
      </c>
      <c r="Z277">
        <v>1</v>
      </c>
      <c r="AA277">
        <v>-1</v>
      </c>
      <c r="AB277">
        <v>-1</v>
      </c>
      <c r="AC277">
        <v>1</v>
      </c>
      <c r="AD277">
        <v>1</v>
      </c>
      <c r="AE277">
        <v>-1</v>
      </c>
      <c r="AF277">
        <v>3</v>
      </c>
      <c r="AG277">
        <v>-2</v>
      </c>
      <c r="AH277">
        <v>1</v>
      </c>
    </row>
    <row r="278" spans="1:34" x14ac:dyDescent="0.3">
      <c r="A278" s="42">
        <f t="shared" si="19"/>
        <v>36</v>
      </c>
      <c r="B278" s="44">
        <f t="shared" si="18"/>
        <v>3.125E-2</v>
      </c>
      <c r="C278" s="42">
        <v>-2</v>
      </c>
      <c r="D278">
        <v>-1</v>
      </c>
      <c r="E278">
        <v>2</v>
      </c>
      <c r="F278">
        <v>2</v>
      </c>
      <c r="G278">
        <v>1</v>
      </c>
      <c r="H278">
        <v>1</v>
      </c>
      <c r="I278">
        <v>-2</v>
      </c>
      <c r="J278">
        <v>-1</v>
      </c>
      <c r="K278">
        <v>1</v>
      </c>
      <c r="L278">
        <v>-1</v>
      </c>
      <c r="M278">
        <v>2</v>
      </c>
      <c r="N278">
        <v>-1</v>
      </c>
      <c r="O278">
        <v>1</v>
      </c>
      <c r="P278">
        <v>1</v>
      </c>
      <c r="Q278">
        <v>2</v>
      </c>
      <c r="R278">
        <v>-1</v>
      </c>
      <c r="S278">
        <v>1</v>
      </c>
      <c r="T278">
        <v>-1</v>
      </c>
      <c r="U278">
        <v>-2</v>
      </c>
      <c r="V278">
        <v>1</v>
      </c>
      <c r="W278">
        <v>-2</v>
      </c>
      <c r="X278">
        <v>1</v>
      </c>
      <c r="Y278">
        <v>-3</v>
      </c>
      <c r="Z278">
        <v>1</v>
      </c>
      <c r="AA278">
        <v>-1</v>
      </c>
      <c r="AB278">
        <v>-1</v>
      </c>
      <c r="AC278">
        <v>2</v>
      </c>
      <c r="AD278">
        <v>1</v>
      </c>
      <c r="AE278">
        <v>-1</v>
      </c>
      <c r="AF278">
        <v>2</v>
      </c>
      <c r="AG278">
        <v>-2</v>
      </c>
      <c r="AH278">
        <v>1</v>
      </c>
    </row>
    <row r="279" spans="1:34" x14ac:dyDescent="0.3">
      <c r="A279" s="42">
        <f t="shared" si="19"/>
        <v>37</v>
      </c>
      <c r="B279" s="44">
        <f t="shared" si="18"/>
        <v>-0.9375</v>
      </c>
      <c r="C279" s="42">
        <v>-3</v>
      </c>
      <c r="D279">
        <v>-2</v>
      </c>
      <c r="E279">
        <v>1</v>
      </c>
      <c r="F279">
        <v>-3</v>
      </c>
      <c r="G279">
        <v>-3</v>
      </c>
      <c r="H279">
        <v>-1</v>
      </c>
      <c r="I279">
        <v>-1</v>
      </c>
      <c r="J279">
        <v>-1</v>
      </c>
      <c r="K279">
        <v>-2</v>
      </c>
      <c r="L279">
        <v>-2</v>
      </c>
      <c r="M279">
        <v>-2</v>
      </c>
      <c r="N279">
        <v>-1</v>
      </c>
      <c r="O279">
        <v>2</v>
      </c>
      <c r="P279">
        <v>1</v>
      </c>
      <c r="Q279">
        <v>2</v>
      </c>
      <c r="R279">
        <v>-2</v>
      </c>
      <c r="S279">
        <v>1</v>
      </c>
      <c r="T279">
        <v>-1</v>
      </c>
      <c r="U279">
        <v>-1</v>
      </c>
      <c r="V279">
        <v>-2</v>
      </c>
      <c r="W279">
        <v>-2</v>
      </c>
      <c r="X279">
        <v>-1</v>
      </c>
      <c r="Y279">
        <v>-3</v>
      </c>
      <c r="Z279">
        <v>1</v>
      </c>
      <c r="AA279">
        <v>-1</v>
      </c>
      <c r="AB279">
        <v>1</v>
      </c>
      <c r="AC279">
        <v>1</v>
      </c>
      <c r="AD279">
        <v>-2</v>
      </c>
      <c r="AE279">
        <v>-1</v>
      </c>
      <c r="AF279">
        <v>-2</v>
      </c>
      <c r="AG279">
        <v>-2</v>
      </c>
      <c r="AH279">
        <v>1</v>
      </c>
    </row>
    <row r="280" spans="1:34" x14ac:dyDescent="0.3">
      <c r="A280" s="42">
        <f t="shared" si="19"/>
        <v>38</v>
      </c>
      <c r="B280" s="44">
        <f t="shared" si="18"/>
        <v>-0.46875</v>
      </c>
      <c r="C280" s="42">
        <v>1</v>
      </c>
      <c r="D280">
        <v>-1</v>
      </c>
      <c r="E280">
        <v>1</v>
      </c>
      <c r="F280">
        <v>-3</v>
      </c>
      <c r="G280">
        <v>-2</v>
      </c>
      <c r="H280">
        <v>-2</v>
      </c>
      <c r="I280">
        <v>-1</v>
      </c>
      <c r="J280">
        <v>-1</v>
      </c>
      <c r="K280">
        <v>-2</v>
      </c>
      <c r="L280">
        <v>-2</v>
      </c>
      <c r="M280">
        <v>-1</v>
      </c>
      <c r="N280">
        <v>-1</v>
      </c>
      <c r="O280">
        <v>1</v>
      </c>
      <c r="P280">
        <v>1</v>
      </c>
      <c r="Q280">
        <v>2</v>
      </c>
      <c r="R280">
        <v>-1</v>
      </c>
      <c r="S280">
        <v>-1</v>
      </c>
      <c r="T280">
        <v>-1</v>
      </c>
      <c r="U280">
        <v>1</v>
      </c>
      <c r="V280">
        <v>1</v>
      </c>
      <c r="W280">
        <v>-1</v>
      </c>
      <c r="X280">
        <v>-1</v>
      </c>
      <c r="Y280">
        <v>3</v>
      </c>
      <c r="Z280">
        <v>1</v>
      </c>
      <c r="AA280">
        <v>-1</v>
      </c>
      <c r="AB280">
        <v>-1</v>
      </c>
      <c r="AC280">
        <v>-1</v>
      </c>
      <c r="AD280">
        <v>1</v>
      </c>
      <c r="AE280">
        <v>-1</v>
      </c>
      <c r="AF280">
        <v>-2</v>
      </c>
      <c r="AG280">
        <v>-2</v>
      </c>
      <c r="AH280">
        <v>1</v>
      </c>
    </row>
    <row r="281" spans="1:34" x14ac:dyDescent="0.3">
      <c r="A281" s="42">
        <f t="shared" si="19"/>
        <v>39</v>
      </c>
      <c r="B281" s="44">
        <f t="shared" si="18"/>
        <v>0.15625</v>
      </c>
      <c r="C281" s="42">
        <v>1</v>
      </c>
      <c r="D281">
        <v>1</v>
      </c>
      <c r="E281">
        <v>1</v>
      </c>
      <c r="F281">
        <v>-2</v>
      </c>
      <c r="G281">
        <v>-2</v>
      </c>
      <c r="H281">
        <v>1</v>
      </c>
      <c r="I281">
        <v>-1</v>
      </c>
      <c r="J281">
        <v>-1</v>
      </c>
      <c r="K281">
        <v>-2</v>
      </c>
      <c r="L281">
        <v>-1</v>
      </c>
      <c r="M281">
        <v>1</v>
      </c>
      <c r="N281">
        <v>-1</v>
      </c>
      <c r="O281">
        <v>1</v>
      </c>
      <c r="P281">
        <v>1</v>
      </c>
      <c r="Q281">
        <v>2</v>
      </c>
      <c r="R281">
        <v>-1</v>
      </c>
      <c r="S281">
        <v>-1</v>
      </c>
      <c r="T281">
        <v>-1</v>
      </c>
      <c r="U281">
        <v>1</v>
      </c>
      <c r="V281">
        <v>2</v>
      </c>
      <c r="W281">
        <v>-1</v>
      </c>
      <c r="X281">
        <v>1</v>
      </c>
      <c r="Y281">
        <v>3</v>
      </c>
      <c r="Z281">
        <v>1</v>
      </c>
      <c r="AA281">
        <v>-1</v>
      </c>
      <c r="AB281">
        <v>-1</v>
      </c>
      <c r="AC281">
        <v>2</v>
      </c>
      <c r="AD281">
        <v>-1</v>
      </c>
      <c r="AE281">
        <v>-1</v>
      </c>
      <c r="AF281">
        <v>1</v>
      </c>
      <c r="AG281">
        <v>2</v>
      </c>
      <c r="AH281">
        <v>1</v>
      </c>
    </row>
    <row r="282" spans="1:34" x14ac:dyDescent="0.3">
      <c r="A282" s="42">
        <f t="shared" si="19"/>
        <v>40</v>
      </c>
      <c r="B282" s="44">
        <f t="shared" si="18"/>
        <v>0.3125</v>
      </c>
      <c r="C282" s="42">
        <v>-2</v>
      </c>
      <c r="D282">
        <v>2</v>
      </c>
      <c r="E282">
        <v>1</v>
      </c>
      <c r="F282">
        <v>3</v>
      </c>
      <c r="G282">
        <v>3</v>
      </c>
      <c r="H282">
        <v>3</v>
      </c>
      <c r="I282">
        <v>-1</v>
      </c>
      <c r="J282">
        <v>-1</v>
      </c>
      <c r="K282">
        <v>-2</v>
      </c>
      <c r="L282">
        <v>-2</v>
      </c>
      <c r="M282">
        <v>3</v>
      </c>
      <c r="N282">
        <v>-1</v>
      </c>
      <c r="O282">
        <v>2</v>
      </c>
      <c r="P282">
        <v>1</v>
      </c>
      <c r="Q282">
        <v>3</v>
      </c>
      <c r="R282">
        <v>-1</v>
      </c>
      <c r="S282">
        <v>2</v>
      </c>
      <c r="T282">
        <v>-2</v>
      </c>
      <c r="U282">
        <v>2</v>
      </c>
      <c r="V282">
        <v>2</v>
      </c>
      <c r="W282">
        <v>-2</v>
      </c>
      <c r="X282">
        <v>-1</v>
      </c>
      <c r="Y282">
        <v>3</v>
      </c>
      <c r="Z282">
        <v>3</v>
      </c>
      <c r="AA282">
        <v>-2</v>
      </c>
      <c r="AB282">
        <v>-2</v>
      </c>
      <c r="AC282">
        <v>1</v>
      </c>
      <c r="AD282">
        <v>1</v>
      </c>
      <c r="AE282">
        <v>-1</v>
      </c>
      <c r="AF282">
        <v>-2</v>
      </c>
      <c r="AG282">
        <v>-1</v>
      </c>
      <c r="AH282">
        <v>-2</v>
      </c>
    </row>
    <row r="283" spans="1:34" x14ac:dyDescent="0.3">
      <c r="A283" s="42">
        <f t="shared" si="19"/>
        <v>41</v>
      </c>
      <c r="B283" s="44">
        <f t="shared" si="18"/>
        <v>-0.375</v>
      </c>
      <c r="C283" s="42">
        <v>-2</v>
      </c>
      <c r="D283">
        <v>-1</v>
      </c>
      <c r="E283">
        <v>1</v>
      </c>
      <c r="F283">
        <v>-3</v>
      </c>
      <c r="G283">
        <v>-2</v>
      </c>
      <c r="H283">
        <v>2</v>
      </c>
      <c r="I283">
        <v>-1</v>
      </c>
      <c r="J283">
        <v>-1</v>
      </c>
      <c r="K283">
        <v>-2</v>
      </c>
      <c r="L283">
        <v>-1</v>
      </c>
      <c r="M283">
        <v>2</v>
      </c>
      <c r="N283">
        <v>-1</v>
      </c>
      <c r="O283">
        <v>2</v>
      </c>
      <c r="P283">
        <v>1</v>
      </c>
      <c r="Q283">
        <v>3</v>
      </c>
      <c r="R283">
        <v>-1</v>
      </c>
      <c r="S283">
        <v>1</v>
      </c>
      <c r="T283">
        <v>-2</v>
      </c>
      <c r="U283">
        <v>3</v>
      </c>
      <c r="V283">
        <v>-2</v>
      </c>
      <c r="W283">
        <v>-2</v>
      </c>
      <c r="X283">
        <v>-1</v>
      </c>
      <c r="Y283">
        <v>-3</v>
      </c>
      <c r="Z283">
        <v>2</v>
      </c>
      <c r="AA283">
        <v>-1</v>
      </c>
      <c r="AB283">
        <v>-1</v>
      </c>
      <c r="AC283">
        <v>-1</v>
      </c>
      <c r="AD283">
        <v>1</v>
      </c>
      <c r="AE283">
        <v>-1</v>
      </c>
      <c r="AF283">
        <v>-1</v>
      </c>
      <c r="AG283">
        <v>-1</v>
      </c>
      <c r="AH283">
        <v>1</v>
      </c>
    </row>
    <row r="284" spans="1:34" x14ac:dyDescent="0.3">
      <c r="A284" s="42">
        <f t="shared" si="19"/>
        <v>42</v>
      </c>
      <c r="B284" s="44">
        <f t="shared" si="18"/>
        <v>-0.5</v>
      </c>
      <c r="C284" s="42">
        <v>-2</v>
      </c>
      <c r="D284">
        <v>-1</v>
      </c>
      <c r="E284">
        <v>1</v>
      </c>
      <c r="F284">
        <v>3</v>
      </c>
      <c r="G284">
        <v>-2</v>
      </c>
      <c r="H284">
        <v>1</v>
      </c>
      <c r="I284">
        <v>-1</v>
      </c>
      <c r="J284">
        <v>-1</v>
      </c>
      <c r="K284">
        <v>1</v>
      </c>
      <c r="L284">
        <v>-1</v>
      </c>
      <c r="M284">
        <v>-2</v>
      </c>
      <c r="N284">
        <v>-1</v>
      </c>
      <c r="O284">
        <v>-2</v>
      </c>
      <c r="P284">
        <v>1</v>
      </c>
      <c r="Q284">
        <v>2</v>
      </c>
      <c r="R284">
        <v>-1</v>
      </c>
      <c r="S284">
        <v>-1</v>
      </c>
      <c r="T284">
        <v>-2</v>
      </c>
      <c r="U284">
        <v>-2</v>
      </c>
      <c r="V284">
        <v>-2</v>
      </c>
      <c r="W284">
        <v>-2</v>
      </c>
      <c r="X284">
        <v>1</v>
      </c>
      <c r="Y284">
        <v>3</v>
      </c>
      <c r="Z284">
        <v>-1</v>
      </c>
      <c r="AA284">
        <v>-1</v>
      </c>
      <c r="AB284">
        <v>-1</v>
      </c>
      <c r="AC284">
        <v>-1</v>
      </c>
      <c r="AD284">
        <v>-2</v>
      </c>
      <c r="AE284">
        <v>-1</v>
      </c>
      <c r="AF284">
        <v>-1</v>
      </c>
      <c r="AG284">
        <v>1</v>
      </c>
      <c r="AH284">
        <v>1</v>
      </c>
    </row>
    <row r="285" spans="1:34" x14ac:dyDescent="0.3">
      <c r="A285" s="42">
        <f t="shared" si="19"/>
        <v>43</v>
      </c>
      <c r="B285" s="44">
        <f t="shared" si="18"/>
        <v>0.125</v>
      </c>
      <c r="C285" s="42">
        <v>-2</v>
      </c>
      <c r="D285">
        <v>-1</v>
      </c>
      <c r="E285">
        <v>1</v>
      </c>
      <c r="F285">
        <v>3</v>
      </c>
      <c r="G285">
        <v>2</v>
      </c>
      <c r="H285">
        <v>-1</v>
      </c>
      <c r="I285">
        <v>-1</v>
      </c>
      <c r="J285">
        <v>1</v>
      </c>
      <c r="K285">
        <v>1</v>
      </c>
      <c r="L285">
        <v>1</v>
      </c>
      <c r="M285">
        <v>1</v>
      </c>
      <c r="N285">
        <v>-1</v>
      </c>
      <c r="O285">
        <v>1</v>
      </c>
      <c r="P285">
        <v>1</v>
      </c>
      <c r="Q285">
        <v>3</v>
      </c>
      <c r="R285">
        <v>-1</v>
      </c>
      <c r="S285">
        <v>-1</v>
      </c>
      <c r="T285">
        <v>-1</v>
      </c>
      <c r="U285">
        <v>-1</v>
      </c>
      <c r="V285">
        <v>-2</v>
      </c>
      <c r="W285">
        <v>-2</v>
      </c>
      <c r="X285">
        <v>-1</v>
      </c>
      <c r="Y285">
        <v>3</v>
      </c>
      <c r="Z285">
        <v>-2</v>
      </c>
      <c r="AA285">
        <v>-1</v>
      </c>
      <c r="AB285">
        <v>1</v>
      </c>
      <c r="AC285">
        <v>1</v>
      </c>
      <c r="AD285">
        <v>1</v>
      </c>
      <c r="AE285">
        <v>-1</v>
      </c>
      <c r="AF285">
        <v>-1</v>
      </c>
      <c r="AG285">
        <v>2</v>
      </c>
      <c r="AH285">
        <v>1</v>
      </c>
    </row>
    <row r="286" spans="1:34" x14ac:dyDescent="0.3">
      <c r="A286" s="42">
        <f t="shared" si="19"/>
        <v>44</v>
      </c>
      <c r="B286" s="44">
        <f t="shared" si="18"/>
        <v>-0.15625</v>
      </c>
      <c r="C286" s="42">
        <v>-2</v>
      </c>
      <c r="D286">
        <v>-1</v>
      </c>
      <c r="E286">
        <v>1</v>
      </c>
      <c r="F286">
        <v>3</v>
      </c>
      <c r="G286">
        <v>3</v>
      </c>
      <c r="H286">
        <v>-2</v>
      </c>
      <c r="I286">
        <v>-1</v>
      </c>
      <c r="J286">
        <v>-1</v>
      </c>
      <c r="K286">
        <v>-2</v>
      </c>
      <c r="L286">
        <v>-1</v>
      </c>
      <c r="M286">
        <v>1</v>
      </c>
      <c r="N286">
        <v>-1</v>
      </c>
      <c r="O286">
        <v>1</v>
      </c>
      <c r="P286">
        <v>1</v>
      </c>
      <c r="Q286">
        <v>3</v>
      </c>
      <c r="R286">
        <v>-1</v>
      </c>
      <c r="S286">
        <v>-1</v>
      </c>
      <c r="T286">
        <v>-2</v>
      </c>
      <c r="U286">
        <v>1</v>
      </c>
      <c r="V286">
        <v>2</v>
      </c>
      <c r="W286">
        <v>-2</v>
      </c>
      <c r="X286">
        <v>1</v>
      </c>
      <c r="Y286">
        <v>-3</v>
      </c>
      <c r="Z286">
        <v>-1</v>
      </c>
      <c r="AA286">
        <v>-2</v>
      </c>
      <c r="AB286">
        <v>-1</v>
      </c>
      <c r="AC286">
        <v>-1</v>
      </c>
      <c r="AD286">
        <v>1</v>
      </c>
      <c r="AE286">
        <v>-1</v>
      </c>
      <c r="AF286">
        <v>1</v>
      </c>
      <c r="AG286">
        <v>1</v>
      </c>
      <c r="AH286">
        <v>1</v>
      </c>
    </row>
    <row r="287" spans="1:34" x14ac:dyDescent="0.3">
      <c r="A287" s="42">
        <f t="shared" si="19"/>
        <v>45</v>
      </c>
      <c r="B287" s="44">
        <f t="shared" si="18"/>
        <v>0</v>
      </c>
      <c r="C287" s="42">
        <v>-2</v>
      </c>
      <c r="D287">
        <v>2</v>
      </c>
      <c r="E287">
        <v>1</v>
      </c>
      <c r="F287">
        <v>-3</v>
      </c>
      <c r="G287">
        <v>3</v>
      </c>
      <c r="H287">
        <v>-2</v>
      </c>
      <c r="I287">
        <v>-3</v>
      </c>
      <c r="J287">
        <v>1</v>
      </c>
      <c r="K287">
        <v>1</v>
      </c>
      <c r="L287">
        <v>-2</v>
      </c>
      <c r="M287">
        <v>1</v>
      </c>
      <c r="N287">
        <v>-1</v>
      </c>
      <c r="O287">
        <v>2</v>
      </c>
      <c r="P287">
        <v>1</v>
      </c>
      <c r="Q287">
        <v>2</v>
      </c>
      <c r="R287">
        <v>-1</v>
      </c>
      <c r="S287">
        <v>-1</v>
      </c>
      <c r="T287">
        <v>-1</v>
      </c>
      <c r="U287">
        <v>1</v>
      </c>
      <c r="V287">
        <v>1</v>
      </c>
      <c r="W287">
        <v>-3</v>
      </c>
      <c r="X287">
        <v>-1</v>
      </c>
      <c r="Y287">
        <v>3</v>
      </c>
      <c r="Z287">
        <v>-1</v>
      </c>
      <c r="AA287">
        <v>-1</v>
      </c>
      <c r="AB287">
        <v>-1</v>
      </c>
      <c r="AC287">
        <v>3</v>
      </c>
      <c r="AD287">
        <v>1</v>
      </c>
      <c r="AE287">
        <v>-1</v>
      </c>
      <c r="AF287">
        <v>2</v>
      </c>
      <c r="AG287">
        <v>-2</v>
      </c>
      <c r="AH287">
        <v>1</v>
      </c>
    </row>
    <row r="288" spans="1:34" x14ac:dyDescent="0.3">
      <c r="A288" s="42">
        <f t="shared" si="19"/>
        <v>46</v>
      </c>
      <c r="B288" s="44">
        <f t="shared" si="18"/>
        <v>-0.5</v>
      </c>
      <c r="C288" s="42">
        <v>-2</v>
      </c>
      <c r="D288">
        <v>-3</v>
      </c>
      <c r="E288">
        <v>1</v>
      </c>
      <c r="F288">
        <v>-3</v>
      </c>
      <c r="G288">
        <v>2</v>
      </c>
      <c r="H288">
        <v>-2</v>
      </c>
      <c r="I288">
        <v>-2</v>
      </c>
      <c r="J288">
        <v>-1</v>
      </c>
      <c r="K288">
        <v>-2</v>
      </c>
      <c r="L288">
        <v>-1</v>
      </c>
      <c r="M288">
        <v>1</v>
      </c>
      <c r="N288">
        <v>-1</v>
      </c>
      <c r="O288">
        <v>2</v>
      </c>
      <c r="P288">
        <v>1</v>
      </c>
      <c r="Q288">
        <v>2</v>
      </c>
      <c r="R288">
        <v>-1</v>
      </c>
      <c r="S288">
        <v>-1</v>
      </c>
      <c r="T288">
        <v>-1</v>
      </c>
      <c r="U288">
        <v>1</v>
      </c>
      <c r="V288">
        <v>2</v>
      </c>
      <c r="W288">
        <v>-2</v>
      </c>
      <c r="X288">
        <v>1</v>
      </c>
      <c r="Y288">
        <v>-3</v>
      </c>
      <c r="Z288">
        <v>-1</v>
      </c>
      <c r="AA288">
        <v>-1</v>
      </c>
      <c r="AB288">
        <v>-1</v>
      </c>
      <c r="AC288">
        <v>-2</v>
      </c>
      <c r="AD288">
        <v>1</v>
      </c>
      <c r="AE288">
        <v>-1</v>
      </c>
      <c r="AF288">
        <v>2</v>
      </c>
      <c r="AG288">
        <v>-2</v>
      </c>
      <c r="AH288">
        <v>1</v>
      </c>
    </row>
    <row r="289" spans="1:34" x14ac:dyDescent="0.3">
      <c r="A289" s="42">
        <f t="shared" si="19"/>
        <v>47</v>
      </c>
      <c r="B289" s="44">
        <f t="shared" si="18"/>
        <v>0.375</v>
      </c>
      <c r="C289" s="42">
        <v>3</v>
      </c>
      <c r="D289">
        <v>-1</v>
      </c>
      <c r="E289">
        <v>-1</v>
      </c>
      <c r="F289">
        <v>3</v>
      </c>
      <c r="G289">
        <v>2</v>
      </c>
      <c r="H289">
        <v>2</v>
      </c>
      <c r="I289">
        <v>2</v>
      </c>
      <c r="J289">
        <v>-1</v>
      </c>
      <c r="K289">
        <v>-1</v>
      </c>
      <c r="L289">
        <v>-1</v>
      </c>
      <c r="M289">
        <v>2</v>
      </c>
      <c r="N289">
        <v>-1</v>
      </c>
      <c r="O289">
        <v>1</v>
      </c>
      <c r="P289">
        <v>-1</v>
      </c>
      <c r="Q289">
        <v>2</v>
      </c>
      <c r="R289">
        <v>-1</v>
      </c>
      <c r="S289">
        <v>-1</v>
      </c>
      <c r="T289">
        <v>-1</v>
      </c>
      <c r="U289">
        <v>1</v>
      </c>
      <c r="V289">
        <v>-2</v>
      </c>
      <c r="W289">
        <v>-1</v>
      </c>
      <c r="X289">
        <v>-1</v>
      </c>
      <c r="Y289">
        <v>3</v>
      </c>
      <c r="Z289">
        <v>1</v>
      </c>
      <c r="AA289">
        <v>2</v>
      </c>
      <c r="AB289">
        <v>-1</v>
      </c>
      <c r="AC289">
        <v>1</v>
      </c>
      <c r="AD289">
        <v>-1</v>
      </c>
      <c r="AE289">
        <v>-1</v>
      </c>
      <c r="AF289">
        <v>2</v>
      </c>
      <c r="AG289">
        <v>1</v>
      </c>
      <c r="AH289">
        <v>1</v>
      </c>
    </row>
    <row r="290" spans="1:34" x14ac:dyDescent="0.3">
      <c r="A290" s="42">
        <f t="shared" si="19"/>
        <v>48</v>
      </c>
      <c r="B290" s="44">
        <f t="shared" si="18"/>
        <v>-0.28125</v>
      </c>
      <c r="C290" s="42">
        <v>-1</v>
      </c>
      <c r="D290">
        <v>-2</v>
      </c>
      <c r="E290">
        <v>1</v>
      </c>
      <c r="F290">
        <v>1</v>
      </c>
      <c r="G290">
        <v>-3</v>
      </c>
      <c r="H290">
        <v>-2</v>
      </c>
      <c r="I290">
        <v>1</v>
      </c>
      <c r="J290">
        <v>-1</v>
      </c>
      <c r="K290">
        <v>-1</v>
      </c>
      <c r="L290">
        <v>-1</v>
      </c>
      <c r="M290">
        <v>1</v>
      </c>
      <c r="N290">
        <v>-1</v>
      </c>
      <c r="O290">
        <v>-2</v>
      </c>
      <c r="P290">
        <v>1</v>
      </c>
      <c r="Q290">
        <v>3</v>
      </c>
      <c r="R290">
        <v>-1</v>
      </c>
      <c r="S290">
        <v>-1</v>
      </c>
      <c r="T290">
        <v>-2</v>
      </c>
      <c r="U290">
        <v>-1</v>
      </c>
      <c r="V290">
        <v>-1</v>
      </c>
      <c r="W290">
        <v>-1</v>
      </c>
      <c r="X290">
        <v>1</v>
      </c>
      <c r="Y290">
        <v>3</v>
      </c>
      <c r="Z290">
        <v>1</v>
      </c>
      <c r="AA290">
        <v>-1</v>
      </c>
      <c r="AB290">
        <v>-1</v>
      </c>
      <c r="AC290">
        <v>-1</v>
      </c>
      <c r="AD290">
        <v>-1</v>
      </c>
      <c r="AE290">
        <v>1</v>
      </c>
      <c r="AF290">
        <v>2</v>
      </c>
      <c r="AG290">
        <v>-1</v>
      </c>
      <c r="AH290">
        <v>1</v>
      </c>
    </row>
    <row r="291" spans="1:34" x14ac:dyDescent="0.3">
      <c r="A291" s="42">
        <f t="shared" si="19"/>
        <v>49</v>
      </c>
      <c r="B291" s="44">
        <f t="shared" si="18"/>
        <v>6.25E-2</v>
      </c>
      <c r="C291" s="42">
        <v>-2</v>
      </c>
      <c r="D291">
        <v>1</v>
      </c>
      <c r="E291">
        <v>1</v>
      </c>
      <c r="F291">
        <v>3</v>
      </c>
      <c r="G291">
        <v>1</v>
      </c>
      <c r="H291">
        <v>1</v>
      </c>
      <c r="I291">
        <v>-2</v>
      </c>
      <c r="J291">
        <v>-1</v>
      </c>
      <c r="K291">
        <v>-2</v>
      </c>
      <c r="L291">
        <v>-1</v>
      </c>
      <c r="M291">
        <v>1</v>
      </c>
      <c r="N291">
        <v>-1</v>
      </c>
      <c r="O291">
        <v>1</v>
      </c>
      <c r="P291">
        <v>1</v>
      </c>
      <c r="Q291">
        <v>3</v>
      </c>
      <c r="R291">
        <v>-1</v>
      </c>
      <c r="S291">
        <v>1</v>
      </c>
      <c r="T291">
        <v>-1</v>
      </c>
      <c r="U291">
        <v>1</v>
      </c>
      <c r="V291">
        <v>2</v>
      </c>
      <c r="W291">
        <v>-2</v>
      </c>
      <c r="X291">
        <v>1</v>
      </c>
      <c r="Y291">
        <v>-3</v>
      </c>
      <c r="Z291">
        <v>1</v>
      </c>
      <c r="AA291">
        <v>-1</v>
      </c>
      <c r="AB291">
        <v>-1</v>
      </c>
      <c r="AC291">
        <v>-1</v>
      </c>
      <c r="AD291">
        <v>1</v>
      </c>
      <c r="AE291">
        <v>-1</v>
      </c>
      <c r="AF291">
        <v>2</v>
      </c>
      <c r="AG291">
        <v>-1</v>
      </c>
      <c r="AH291">
        <v>1</v>
      </c>
    </row>
    <row r="292" spans="1:34" x14ac:dyDescent="0.3">
      <c r="A292" s="42">
        <f t="shared" si="19"/>
        <v>50</v>
      </c>
      <c r="B292" s="44">
        <f t="shared" si="18"/>
        <v>0.125</v>
      </c>
      <c r="C292" s="42">
        <v>-2</v>
      </c>
      <c r="D292">
        <v>-1</v>
      </c>
      <c r="E292">
        <v>1</v>
      </c>
      <c r="F292">
        <v>3</v>
      </c>
      <c r="G292">
        <v>1</v>
      </c>
      <c r="H292">
        <v>1</v>
      </c>
      <c r="I292">
        <v>1</v>
      </c>
      <c r="J292">
        <v>-1</v>
      </c>
      <c r="K292">
        <v>-2</v>
      </c>
      <c r="L292">
        <v>-1</v>
      </c>
      <c r="M292">
        <v>1</v>
      </c>
      <c r="N292">
        <v>-1</v>
      </c>
      <c r="O292">
        <v>1</v>
      </c>
      <c r="P292">
        <v>1</v>
      </c>
      <c r="Q292">
        <v>3</v>
      </c>
      <c r="R292">
        <v>-1</v>
      </c>
      <c r="S292">
        <v>2</v>
      </c>
      <c r="T292">
        <v>-2</v>
      </c>
      <c r="U292">
        <v>2</v>
      </c>
      <c r="V292">
        <v>2</v>
      </c>
      <c r="W292">
        <v>-3</v>
      </c>
      <c r="X292">
        <v>1</v>
      </c>
      <c r="Y292">
        <v>-3</v>
      </c>
      <c r="Z292">
        <v>1</v>
      </c>
      <c r="AA292">
        <v>-1</v>
      </c>
      <c r="AB292">
        <v>-1</v>
      </c>
      <c r="AC292">
        <v>-1</v>
      </c>
      <c r="AD292">
        <v>1</v>
      </c>
      <c r="AE292">
        <v>-1</v>
      </c>
      <c r="AF292">
        <v>3</v>
      </c>
      <c r="AG292">
        <v>-1</v>
      </c>
      <c r="AH292">
        <v>1</v>
      </c>
    </row>
    <row r="293" spans="1:34" x14ac:dyDescent="0.3">
      <c r="A293" s="42">
        <f t="shared" si="19"/>
        <v>51</v>
      </c>
      <c r="B293" s="44">
        <f t="shared" si="18"/>
        <v>-0.28125</v>
      </c>
      <c r="C293" s="42">
        <v>-3</v>
      </c>
      <c r="D293">
        <v>-1</v>
      </c>
      <c r="E293">
        <v>1</v>
      </c>
      <c r="F293">
        <v>1</v>
      </c>
      <c r="G293">
        <v>-1</v>
      </c>
      <c r="H293">
        <v>1</v>
      </c>
      <c r="I293">
        <v>-2</v>
      </c>
      <c r="J293">
        <v>-1</v>
      </c>
      <c r="K293">
        <v>-2</v>
      </c>
      <c r="L293">
        <v>-1</v>
      </c>
      <c r="M293">
        <v>2</v>
      </c>
      <c r="N293">
        <v>-1</v>
      </c>
      <c r="O293">
        <v>1</v>
      </c>
      <c r="P293">
        <v>1</v>
      </c>
      <c r="Q293">
        <v>3</v>
      </c>
      <c r="R293">
        <v>-1</v>
      </c>
      <c r="S293">
        <v>1</v>
      </c>
      <c r="T293">
        <v>-2</v>
      </c>
      <c r="U293">
        <v>1</v>
      </c>
      <c r="V293">
        <v>-1</v>
      </c>
      <c r="W293">
        <v>-1</v>
      </c>
      <c r="X293">
        <v>1</v>
      </c>
      <c r="Y293">
        <v>-3</v>
      </c>
      <c r="Z293">
        <v>1</v>
      </c>
      <c r="AA293">
        <v>-1</v>
      </c>
      <c r="AB293">
        <v>-1</v>
      </c>
      <c r="AC293">
        <v>-1</v>
      </c>
      <c r="AD293">
        <v>-1</v>
      </c>
      <c r="AE293">
        <v>-1</v>
      </c>
      <c r="AF293">
        <v>2</v>
      </c>
      <c r="AG293">
        <v>-1</v>
      </c>
      <c r="AH293">
        <v>1</v>
      </c>
    </row>
    <row r="294" spans="1:34" x14ac:dyDescent="0.3">
      <c r="A294" s="42">
        <f t="shared" si="19"/>
        <v>52</v>
      </c>
      <c r="B294" s="44">
        <f t="shared" si="18"/>
        <v>-0.5625</v>
      </c>
      <c r="C294" s="42">
        <v>-3</v>
      </c>
      <c r="D294">
        <v>-1</v>
      </c>
      <c r="E294">
        <v>1</v>
      </c>
      <c r="F294">
        <v>-3</v>
      </c>
      <c r="G294">
        <v>-3</v>
      </c>
      <c r="H294">
        <v>-3</v>
      </c>
      <c r="I294">
        <v>2</v>
      </c>
      <c r="J294">
        <v>-2</v>
      </c>
      <c r="K294">
        <v>1</v>
      </c>
      <c r="L294">
        <v>-1</v>
      </c>
      <c r="M294">
        <v>2</v>
      </c>
      <c r="N294">
        <v>-1</v>
      </c>
      <c r="O294">
        <v>2</v>
      </c>
      <c r="P294">
        <v>1</v>
      </c>
      <c r="Q294">
        <v>3</v>
      </c>
      <c r="R294">
        <v>-1</v>
      </c>
      <c r="S294">
        <v>1</v>
      </c>
      <c r="T294">
        <v>-2</v>
      </c>
      <c r="U294">
        <v>1</v>
      </c>
      <c r="V294">
        <v>-2</v>
      </c>
      <c r="W294">
        <v>-2</v>
      </c>
      <c r="X294">
        <v>1</v>
      </c>
      <c r="Y294">
        <v>-3</v>
      </c>
      <c r="Z294">
        <v>-1</v>
      </c>
      <c r="AA294">
        <v>-2</v>
      </c>
      <c r="AB294">
        <v>1</v>
      </c>
      <c r="AC294">
        <v>1</v>
      </c>
      <c r="AD294">
        <v>-2</v>
      </c>
      <c r="AE294">
        <v>-1</v>
      </c>
      <c r="AF294">
        <v>-1</v>
      </c>
      <c r="AG294">
        <v>-2</v>
      </c>
      <c r="AH294">
        <v>1</v>
      </c>
    </row>
    <row r="295" spans="1:34" x14ac:dyDescent="0.3">
      <c r="A295" s="42">
        <f t="shared" si="19"/>
        <v>53</v>
      </c>
      <c r="B295" s="44">
        <f t="shared" si="18"/>
        <v>-0.34375</v>
      </c>
      <c r="C295" s="42">
        <v>-2</v>
      </c>
      <c r="D295">
        <v>-1</v>
      </c>
      <c r="E295">
        <v>1</v>
      </c>
      <c r="F295">
        <v>3</v>
      </c>
      <c r="G295">
        <v>-2</v>
      </c>
      <c r="H295">
        <v>1</v>
      </c>
      <c r="I295">
        <v>2</v>
      </c>
      <c r="J295">
        <v>-1</v>
      </c>
      <c r="K295">
        <v>-2</v>
      </c>
      <c r="L295">
        <v>-1</v>
      </c>
      <c r="M295">
        <v>1</v>
      </c>
      <c r="N295">
        <v>-2</v>
      </c>
      <c r="O295">
        <v>1</v>
      </c>
      <c r="P295">
        <v>1</v>
      </c>
      <c r="Q295">
        <v>3</v>
      </c>
      <c r="R295">
        <v>-1</v>
      </c>
      <c r="S295">
        <v>-1</v>
      </c>
      <c r="T295">
        <v>-1</v>
      </c>
      <c r="U295">
        <v>-1</v>
      </c>
      <c r="V295">
        <v>-1</v>
      </c>
      <c r="W295">
        <v>-2</v>
      </c>
      <c r="X295">
        <v>-1</v>
      </c>
      <c r="Y295">
        <v>3</v>
      </c>
      <c r="Z295">
        <v>-1</v>
      </c>
      <c r="AA295">
        <v>-1</v>
      </c>
      <c r="AB295">
        <v>-2</v>
      </c>
      <c r="AC295">
        <v>-1</v>
      </c>
      <c r="AD295">
        <v>-1</v>
      </c>
      <c r="AE295">
        <v>-1</v>
      </c>
      <c r="AF295">
        <v>-1</v>
      </c>
      <c r="AG295">
        <v>-1</v>
      </c>
      <c r="AH295">
        <v>1</v>
      </c>
    </row>
    <row r="296" spans="1:34" x14ac:dyDescent="0.3">
      <c r="A296" s="42">
        <f t="shared" si="19"/>
        <v>54</v>
      </c>
      <c r="B296" s="44">
        <f t="shared" si="18"/>
        <v>-0.125</v>
      </c>
      <c r="C296" s="42">
        <v>1</v>
      </c>
      <c r="D296">
        <v>1</v>
      </c>
      <c r="E296">
        <v>1</v>
      </c>
      <c r="F296">
        <v>3</v>
      </c>
      <c r="G296">
        <v>3</v>
      </c>
      <c r="H296">
        <v>1</v>
      </c>
      <c r="I296">
        <v>-1</v>
      </c>
      <c r="J296">
        <v>-1</v>
      </c>
      <c r="K296">
        <v>-2</v>
      </c>
      <c r="L296">
        <v>-1</v>
      </c>
      <c r="M296">
        <v>1</v>
      </c>
      <c r="N296">
        <v>-1</v>
      </c>
      <c r="O296">
        <v>-1</v>
      </c>
      <c r="P296">
        <v>1</v>
      </c>
      <c r="Q296">
        <v>1</v>
      </c>
      <c r="R296">
        <v>-1</v>
      </c>
      <c r="S296">
        <v>-1</v>
      </c>
      <c r="T296">
        <v>-1</v>
      </c>
      <c r="U296">
        <v>1</v>
      </c>
      <c r="V296">
        <v>-1</v>
      </c>
      <c r="W296">
        <v>-2</v>
      </c>
      <c r="X296">
        <v>1</v>
      </c>
      <c r="Y296">
        <v>-3</v>
      </c>
      <c r="Z296">
        <v>-1</v>
      </c>
      <c r="AA296">
        <v>-1</v>
      </c>
      <c r="AB296">
        <v>-2</v>
      </c>
      <c r="AC296">
        <v>-1</v>
      </c>
      <c r="AD296">
        <v>1</v>
      </c>
      <c r="AE296">
        <v>-2</v>
      </c>
      <c r="AF296">
        <v>1</v>
      </c>
      <c r="AG296">
        <v>1</v>
      </c>
      <c r="AH296">
        <v>1</v>
      </c>
    </row>
    <row r="297" spans="1:34" x14ac:dyDescent="0.3">
      <c r="A297" s="42">
        <f t="shared" si="19"/>
        <v>55</v>
      </c>
      <c r="B297" s="44">
        <f t="shared" si="18"/>
        <v>0.125</v>
      </c>
      <c r="C297" s="42">
        <v>-3</v>
      </c>
      <c r="D297">
        <v>-2</v>
      </c>
      <c r="E297">
        <v>3</v>
      </c>
      <c r="F297">
        <v>-3</v>
      </c>
      <c r="G297">
        <v>3</v>
      </c>
      <c r="H297">
        <v>1</v>
      </c>
      <c r="I297">
        <v>3</v>
      </c>
      <c r="J297">
        <v>-1</v>
      </c>
      <c r="K297">
        <v>-2</v>
      </c>
      <c r="L297">
        <v>-2</v>
      </c>
      <c r="M297">
        <v>2</v>
      </c>
      <c r="N297">
        <v>-1</v>
      </c>
      <c r="O297">
        <v>2</v>
      </c>
      <c r="P297">
        <v>1</v>
      </c>
      <c r="Q297">
        <v>2</v>
      </c>
      <c r="R297">
        <v>-2</v>
      </c>
      <c r="S297">
        <v>1</v>
      </c>
      <c r="T297">
        <v>1</v>
      </c>
      <c r="U297">
        <v>1</v>
      </c>
      <c r="V297">
        <v>1</v>
      </c>
      <c r="W297">
        <v>-2</v>
      </c>
      <c r="X297">
        <v>1</v>
      </c>
      <c r="Y297">
        <v>-3</v>
      </c>
      <c r="Z297">
        <v>1</v>
      </c>
      <c r="AA297">
        <v>-1</v>
      </c>
      <c r="AB297">
        <v>2</v>
      </c>
      <c r="AC297">
        <v>1</v>
      </c>
      <c r="AD297">
        <v>1</v>
      </c>
      <c r="AE297">
        <v>-1</v>
      </c>
      <c r="AF297">
        <v>-2</v>
      </c>
      <c r="AG297">
        <v>1</v>
      </c>
      <c r="AH297">
        <v>1</v>
      </c>
    </row>
    <row r="298" spans="1:34" x14ac:dyDescent="0.3">
      <c r="A298" s="42">
        <f t="shared" si="19"/>
        <v>56</v>
      </c>
      <c r="B298" s="44">
        <f t="shared" si="18"/>
        <v>0.375</v>
      </c>
      <c r="C298" s="42">
        <v>-1</v>
      </c>
      <c r="D298">
        <v>-1</v>
      </c>
      <c r="E298">
        <v>1</v>
      </c>
      <c r="F298">
        <v>3</v>
      </c>
      <c r="G298">
        <v>3</v>
      </c>
      <c r="H298">
        <v>3</v>
      </c>
      <c r="I298">
        <v>1</v>
      </c>
      <c r="J298">
        <v>2</v>
      </c>
      <c r="K298">
        <v>-2</v>
      </c>
      <c r="L298">
        <v>-1</v>
      </c>
      <c r="M298">
        <v>2</v>
      </c>
      <c r="N298">
        <v>-1</v>
      </c>
      <c r="O298">
        <v>1</v>
      </c>
      <c r="P298">
        <v>1</v>
      </c>
      <c r="Q298">
        <v>2</v>
      </c>
      <c r="R298">
        <v>-1</v>
      </c>
      <c r="S298">
        <v>1</v>
      </c>
      <c r="T298">
        <v>-1</v>
      </c>
      <c r="U298">
        <v>-2</v>
      </c>
      <c r="V298">
        <v>2</v>
      </c>
      <c r="W298">
        <v>-2</v>
      </c>
      <c r="X298">
        <v>-1</v>
      </c>
      <c r="Y298">
        <v>3</v>
      </c>
      <c r="Z298">
        <v>-1</v>
      </c>
      <c r="AA298">
        <v>-1</v>
      </c>
      <c r="AB298">
        <v>-2</v>
      </c>
      <c r="AC298">
        <v>-1</v>
      </c>
      <c r="AD298">
        <v>1</v>
      </c>
      <c r="AE298">
        <v>-1</v>
      </c>
      <c r="AF298">
        <v>1</v>
      </c>
      <c r="AG298">
        <v>2</v>
      </c>
      <c r="AH298">
        <v>2</v>
      </c>
    </row>
    <row r="299" spans="1:34" x14ac:dyDescent="0.3">
      <c r="A299" s="42">
        <f t="shared" si="19"/>
        <v>57</v>
      </c>
      <c r="B299" s="44">
        <f t="shared" si="18"/>
        <v>3.125E-2</v>
      </c>
      <c r="C299" s="42">
        <v>1</v>
      </c>
      <c r="D299">
        <v>-1</v>
      </c>
      <c r="E299">
        <v>1</v>
      </c>
      <c r="F299">
        <v>2</v>
      </c>
      <c r="G299">
        <v>3</v>
      </c>
      <c r="H299">
        <v>1</v>
      </c>
      <c r="I299">
        <v>1</v>
      </c>
      <c r="J299">
        <v>-1</v>
      </c>
      <c r="K299">
        <v>-2</v>
      </c>
      <c r="L299">
        <v>-1</v>
      </c>
      <c r="M299">
        <v>2</v>
      </c>
      <c r="N299">
        <v>-1</v>
      </c>
      <c r="O299">
        <v>2</v>
      </c>
      <c r="P299">
        <v>1</v>
      </c>
      <c r="Q299">
        <v>2</v>
      </c>
      <c r="R299">
        <v>-1</v>
      </c>
      <c r="S299">
        <v>1</v>
      </c>
      <c r="T299">
        <v>-2</v>
      </c>
      <c r="U299">
        <v>1</v>
      </c>
      <c r="V299">
        <v>-2</v>
      </c>
      <c r="W299">
        <v>-2</v>
      </c>
      <c r="X299">
        <v>1</v>
      </c>
      <c r="Y299">
        <v>-3</v>
      </c>
      <c r="Z299">
        <v>2</v>
      </c>
      <c r="AA299">
        <v>-1</v>
      </c>
      <c r="AB299">
        <v>-1</v>
      </c>
      <c r="AC299">
        <v>-2</v>
      </c>
      <c r="AD299">
        <v>-2</v>
      </c>
      <c r="AE299">
        <v>1</v>
      </c>
      <c r="AF299">
        <v>1</v>
      </c>
      <c r="AG299">
        <v>-1</v>
      </c>
      <c r="AH299">
        <v>1</v>
      </c>
    </row>
    <row r="300" spans="1:34" x14ac:dyDescent="0.3">
      <c r="A300" s="42">
        <f t="shared" si="19"/>
        <v>58</v>
      </c>
      <c r="B300" s="44">
        <f t="shared" si="18"/>
        <v>-0.34375</v>
      </c>
      <c r="C300" s="42">
        <v>-3</v>
      </c>
      <c r="D300">
        <v>1</v>
      </c>
      <c r="E300">
        <v>1</v>
      </c>
      <c r="F300">
        <v>1</v>
      </c>
      <c r="G300">
        <v>3</v>
      </c>
      <c r="H300">
        <v>-3</v>
      </c>
      <c r="I300">
        <v>1</v>
      </c>
      <c r="J300">
        <v>-1</v>
      </c>
      <c r="K300">
        <v>-2</v>
      </c>
      <c r="L300">
        <v>-2</v>
      </c>
      <c r="M300">
        <v>-2</v>
      </c>
      <c r="N300">
        <v>-1</v>
      </c>
      <c r="O300">
        <v>-1</v>
      </c>
      <c r="P300">
        <v>1</v>
      </c>
      <c r="Q300">
        <v>3</v>
      </c>
      <c r="R300">
        <v>-1</v>
      </c>
      <c r="S300">
        <v>1</v>
      </c>
      <c r="T300">
        <v>1</v>
      </c>
      <c r="U300">
        <v>3</v>
      </c>
      <c r="V300">
        <v>-2</v>
      </c>
      <c r="W300">
        <v>-2</v>
      </c>
      <c r="X300">
        <v>1</v>
      </c>
      <c r="Y300">
        <v>-3</v>
      </c>
      <c r="Z300">
        <v>-1</v>
      </c>
      <c r="AA300">
        <v>-2</v>
      </c>
      <c r="AB300">
        <v>-2</v>
      </c>
      <c r="AC300">
        <v>-1</v>
      </c>
      <c r="AD300">
        <v>1</v>
      </c>
      <c r="AE300">
        <v>-1</v>
      </c>
      <c r="AF300">
        <v>2</v>
      </c>
      <c r="AG300">
        <v>-2</v>
      </c>
      <c r="AH300">
        <v>1</v>
      </c>
    </row>
    <row r="301" spans="1:34" x14ac:dyDescent="0.3">
      <c r="A301" s="42">
        <f t="shared" si="19"/>
        <v>59</v>
      </c>
      <c r="B301" s="44">
        <f t="shared" si="18"/>
        <v>-0.3125</v>
      </c>
      <c r="C301" s="42">
        <v>-2</v>
      </c>
      <c r="D301">
        <v>-2</v>
      </c>
      <c r="E301">
        <v>1</v>
      </c>
      <c r="F301">
        <v>1</v>
      </c>
      <c r="G301">
        <v>3</v>
      </c>
      <c r="H301">
        <v>3</v>
      </c>
      <c r="I301">
        <v>-2</v>
      </c>
      <c r="J301">
        <v>-1</v>
      </c>
      <c r="K301">
        <v>-2</v>
      </c>
      <c r="L301">
        <v>-2</v>
      </c>
      <c r="M301">
        <v>3</v>
      </c>
      <c r="N301">
        <v>-2</v>
      </c>
      <c r="O301">
        <v>-2</v>
      </c>
      <c r="P301">
        <v>1</v>
      </c>
      <c r="Q301">
        <v>3</v>
      </c>
      <c r="R301">
        <v>-1</v>
      </c>
      <c r="S301">
        <v>1</v>
      </c>
      <c r="T301">
        <v>-1</v>
      </c>
      <c r="U301">
        <v>2</v>
      </c>
      <c r="V301">
        <v>-2</v>
      </c>
      <c r="W301">
        <v>-3</v>
      </c>
      <c r="X301">
        <v>-1</v>
      </c>
      <c r="Y301">
        <v>-3</v>
      </c>
      <c r="Z301">
        <v>-1</v>
      </c>
      <c r="AA301">
        <v>-1</v>
      </c>
      <c r="AB301">
        <v>-3</v>
      </c>
      <c r="AC301">
        <v>-2</v>
      </c>
      <c r="AD301">
        <v>1</v>
      </c>
      <c r="AE301">
        <v>-1</v>
      </c>
      <c r="AF301">
        <v>2</v>
      </c>
      <c r="AG301">
        <v>2</v>
      </c>
      <c r="AH301">
        <v>1</v>
      </c>
    </row>
    <row r="302" spans="1:34" x14ac:dyDescent="0.3">
      <c r="A302" s="42">
        <f t="shared" si="19"/>
        <v>60</v>
      </c>
      <c r="B302" s="44">
        <f t="shared" si="18"/>
        <v>0.90625</v>
      </c>
      <c r="C302" s="42">
        <v>-2</v>
      </c>
      <c r="D302">
        <v>-2</v>
      </c>
      <c r="E302">
        <v>1</v>
      </c>
      <c r="F302">
        <v>3</v>
      </c>
      <c r="G302">
        <v>3</v>
      </c>
      <c r="H302">
        <v>3</v>
      </c>
      <c r="I302">
        <v>3</v>
      </c>
      <c r="J302">
        <v>1</v>
      </c>
      <c r="K302">
        <v>-2</v>
      </c>
      <c r="L302">
        <v>-1</v>
      </c>
      <c r="M302">
        <v>2</v>
      </c>
      <c r="N302">
        <v>-1</v>
      </c>
      <c r="O302">
        <v>-1</v>
      </c>
      <c r="P302">
        <v>1</v>
      </c>
      <c r="Q302">
        <v>3</v>
      </c>
      <c r="R302">
        <v>-1</v>
      </c>
      <c r="S302">
        <v>3</v>
      </c>
      <c r="T302">
        <v>2</v>
      </c>
      <c r="U302">
        <v>1</v>
      </c>
      <c r="V302">
        <v>2</v>
      </c>
      <c r="W302">
        <v>-3</v>
      </c>
      <c r="X302">
        <v>1</v>
      </c>
      <c r="Y302">
        <v>3</v>
      </c>
      <c r="Z302">
        <v>1</v>
      </c>
      <c r="AA302">
        <v>1</v>
      </c>
      <c r="AB302">
        <v>-1</v>
      </c>
      <c r="AC302">
        <v>3</v>
      </c>
      <c r="AD302">
        <v>1</v>
      </c>
      <c r="AE302">
        <v>-1</v>
      </c>
      <c r="AF302">
        <v>3</v>
      </c>
      <c r="AG302">
        <v>2</v>
      </c>
      <c r="AH302">
        <v>1</v>
      </c>
    </row>
    <row r="303" spans="1:34" x14ac:dyDescent="0.3">
      <c r="A303" s="42">
        <f t="shared" si="19"/>
        <v>61</v>
      </c>
      <c r="B303" s="44">
        <f t="shared" si="18"/>
        <v>-0.21875</v>
      </c>
      <c r="C303" s="42">
        <v>-2</v>
      </c>
      <c r="D303">
        <v>-1</v>
      </c>
      <c r="E303">
        <v>2</v>
      </c>
      <c r="F303">
        <v>3</v>
      </c>
      <c r="G303">
        <v>-2</v>
      </c>
      <c r="H303">
        <v>1</v>
      </c>
      <c r="I303">
        <v>-1</v>
      </c>
      <c r="J303">
        <v>-1</v>
      </c>
      <c r="K303">
        <v>1</v>
      </c>
      <c r="L303">
        <v>-1</v>
      </c>
      <c r="M303">
        <v>1</v>
      </c>
      <c r="N303">
        <v>-1</v>
      </c>
      <c r="O303">
        <v>-1</v>
      </c>
      <c r="P303">
        <v>-1</v>
      </c>
      <c r="Q303">
        <v>1</v>
      </c>
      <c r="R303">
        <v>-1</v>
      </c>
      <c r="S303">
        <v>2</v>
      </c>
      <c r="T303">
        <v>1</v>
      </c>
      <c r="U303">
        <v>1</v>
      </c>
      <c r="V303">
        <v>1</v>
      </c>
      <c r="W303">
        <v>-3</v>
      </c>
      <c r="X303">
        <v>-1</v>
      </c>
      <c r="Y303">
        <v>-3</v>
      </c>
      <c r="Z303">
        <v>-1</v>
      </c>
      <c r="AA303">
        <v>-1</v>
      </c>
      <c r="AB303">
        <v>-2</v>
      </c>
      <c r="AC303">
        <v>-2</v>
      </c>
      <c r="AD303">
        <v>1</v>
      </c>
      <c r="AE303">
        <v>-1</v>
      </c>
      <c r="AF303">
        <v>2</v>
      </c>
      <c r="AG303">
        <v>1</v>
      </c>
      <c r="AH303">
        <v>1</v>
      </c>
    </row>
    <row r="304" spans="1:34" x14ac:dyDescent="0.3">
      <c r="A304" s="42">
        <f t="shared" si="19"/>
        <v>62</v>
      </c>
      <c r="B304" s="44">
        <f t="shared" si="18"/>
        <v>-0.40625</v>
      </c>
      <c r="C304" s="42">
        <v>-3</v>
      </c>
      <c r="D304">
        <v>-3</v>
      </c>
      <c r="E304">
        <v>3</v>
      </c>
      <c r="F304">
        <v>3</v>
      </c>
      <c r="G304">
        <v>3</v>
      </c>
      <c r="H304">
        <v>1</v>
      </c>
      <c r="I304">
        <v>1</v>
      </c>
      <c r="J304">
        <v>1</v>
      </c>
      <c r="K304">
        <v>-3</v>
      </c>
      <c r="L304">
        <v>-2</v>
      </c>
      <c r="M304">
        <v>2</v>
      </c>
      <c r="N304">
        <v>-2</v>
      </c>
      <c r="O304">
        <v>-2</v>
      </c>
      <c r="P304">
        <v>1</v>
      </c>
      <c r="Q304">
        <v>2</v>
      </c>
      <c r="R304">
        <v>-2</v>
      </c>
      <c r="S304">
        <v>1</v>
      </c>
      <c r="T304">
        <v>-1</v>
      </c>
      <c r="U304">
        <v>1</v>
      </c>
      <c r="V304">
        <v>-2</v>
      </c>
      <c r="W304">
        <v>-3</v>
      </c>
      <c r="X304">
        <v>-1</v>
      </c>
      <c r="Y304">
        <v>-3</v>
      </c>
      <c r="Z304">
        <v>-1</v>
      </c>
      <c r="AA304">
        <v>-1</v>
      </c>
      <c r="AB304">
        <v>-2</v>
      </c>
      <c r="AC304">
        <v>3</v>
      </c>
      <c r="AD304">
        <v>-3</v>
      </c>
      <c r="AE304">
        <v>-2</v>
      </c>
      <c r="AF304">
        <v>3</v>
      </c>
      <c r="AG304">
        <v>-3</v>
      </c>
      <c r="AH304">
        <v>1</v>
      </c>
    </row>
    <row r="305" spans="1:34" x14ac:dyDescent="0.3">
      <c r="A305" s="42">
        <f t="shared" si="19"/>
        <v>63</v>
      </c>
      <c r="B305" s="44">
        <f t="shared" si="18"/>
        <v>-0.40625</v>
      </c>
      <c r="C305" s="42">
        <v>-2</v>
      </c>
      <c r="D305">
        <v>-1</v>
      </c>
      <c r="E305">
        <v>3</v>
      </c>
      <c r="F305">
        <v>3</v>
      </c>
      <c r="G305">
        <v>2</v>
      </c>
      <c r="H305">
        <v>-3</v>
      </c>
      <c r="I305">
        <v>1</v>
      </c>
      <c r="J305">
        <v>-1</v>
      </c>
      <c r="K305">
        <v>-2</v>
      </c>
      <c r="L305">
        <v>1</v>
      </c>
      <c r="M305">
        <v>2</v>
      </c>
      <c r="N305">
        <v>-1</v>
      </c>
      <c r="O305">
        <v>-2</v>
      </c>
      <c r="P305">
        <v>1</v>
      </c>
      <c r="Q305">
        <v>2</v>
      </c>
      <c r="R305">
        <v>-1</v>
      </c>
      <c r="S305">
        <v>-1</v>
      </c>
      <c r="T305">
        <v>-2</v>
      </c>
      <c r="U305">
        <v>-1</v>
      </c>
      <c r="V305">
        <v>-3</v>
      </c>
      <c r="W305">
        <v>-3</v>
      </c>
      <c r="X305">
        <v>-1</v>
      </c>
      <c r="Y305">
        <v>-3</v>
      </c>
      <c r="Z305">
        <v>2</v>
      </c>
      <c r="AA305">
        <v>-2</v>
      </c>
      <c r="AB305">
        <v>-2</v>
      </c>
      <c r="AC305">
        <v>-2</v>
      </c>
      <c r="AD305">
        <v>1</v>
      </c>
      <c r="AE305">
        <v>-1</v>
      </c>
      <c r="AF305">
        <v>3</v>
      </c>
      <c r="AG305">
        <v>-1</v>
      </c>
      <c r="AH305">
        <v>1</v>
      </c>
    </row>
    <row r="306" spans="1:34" x14ac:dyDescent="0.3">
      <c r="A306" s="42">
        <f t="shared" si="19"/>
        <v>64</v>
      </c>
      <c r="B306" s="44">
        <f t="shared" si="18"/>
        <v>-0.5625</v>
      </c>
      <c r="C306" s="42">
        <v>-2</v>
      </c>
      <c r="D306">
        <v>1</v>
      </c>
      <c r="E306">
        <v>3</v>
      </c>
      <c r="F306">
        <v>-3</v>
      </c>
      <c r="G306">
        <v>2</v>
      </c>
      <c r="H306">
        <v>-3</v>
      </c>
      <c r="I306">
        <v>1</v>
      </c>
      <c r="J306">
        <v>-1</v>
      </c>
      <c r="K306">
        <v>-2</v>
      </c>
      <c r="L306">
        <v>-1</v>
      </c>
      <c r="M306">
        <v>-2</v>
      </c>
      <c r="N306">
        <v>-1</v>
      </c>
      <c r="O306">
        <v>1</v>
      </c>
      <c r="P306">
        <v>1</v>
      </c>
      <c r="Q306">
        <v>1</v>
      </c>
      <c r="R306">
        <v>-1</v>
      </c>
      <c r="S306">
        <v>1</v>
      </c>
      <c r="T306">
        <v>-1</v>
      </c>
      <c r="U306">
        <v>-1</v>
      </c>
      <c r="V306">
        <v>-1</v>
      </c>
      <c r="W306">
        <v>-1</v>
      </c>
      <c r="X306">
        <v>-1</v>
      </c>
      <c r="Y306">
        <v>-3</v>
      </c>
      <c r="Z306">
        <v>-1</v>
      </c>
      <c r="AA306">
        <v>-1</v>
      </c>
      <c r="AB306">
        <v>-1</v>
      </c>
      <c r="AC306">
        <v>-1</v>
      </c>
      <c r="AD306">
        <v>-2</v>
      </c>
      <c r="AE306">
        <v>-1</v>
      </c>
      <c r="AF306">
        <v>2</v>
      </c>
      <c r="AG306">
        <v>-1</v>
      </c>
      <c r="AH306">
        <v>1</v>
      </c>
    </row>
    <row r="307" spans="1:34" x14ac:dyDescent="0.3">
      <c r="A307" s="42">
        <f t="shared" si="19"/>
        <v>65</v>
      </c>
      <c r="B307" s="44">
        <f t="shared" si="18"/>
        <v>0.125</v>
      </c>
      <c r="C307" s="42">
        <v>-2</v>
      </c>
      <c r="D307">
        <v>1</v>
      </c>
      <c r="E307">
        <v>3</v>
      </c>
      <c r="F307">
        <v>-3</v>
      </c>
      <c r="G307">
        <v>2</v>
      </c>
      <c r="H307">
        <v>1</v>
      </c>
      <c r="I307">
        <v>2</v>
      </c>
      <c r="J307">
        <v>-1</v>
      </c>
      <c r="K307">
        <v>-2</v>
      </c>
      <c r="L307">
        <v>1</v>
      </c>
      <c r="M307">
        <v>2</v>
      </c>
      <c r="N307">
        <v>-1</v>
      </c>
      <c r="O307">
        <v>1</v>
      </c>
      <c r="P307">
        <v>1</v>
      </c>
      <c r="Q307">
        <v>1</v>
      </c>
      <c r="R307">
        <v>-1</v>
      </c>
      <c r="S307">
        <v>1</v>
      </c>
      <c r="T307">
        <v>-1</v>
      </c>
      <c r="U307">
        <v>1</v>
      </c>
      <c r="V307">
        <v>-2</v>
      </c>
      <c r="W307">
        <v>-1</v>
      </c>
      <c r="X307">
        <v>-1</v>
      </c>
      <c r="Y307">
        <v>-3</v>
      </c>
      <c r="Z307">
        <v>1</v>
      </c>
      <c r="AA307">
        <v>-1</v>
      </c>
      <c r="AB307">
        <v>-1</v>
      </c>
      <c r="AC307">
        <v>3</v>
      </c>
      <c r="AD307">
        <v>1</v>
      </c>
      <c r="AE307">
        <v>-1</v>
      </c>
      <c r="AF307">
        <v>3</v>
      </c>
      <c r="AG307">
        <v>-1</v>
      </c>
      <c r="AH307">
        <v>1</v>
      </c>
    </row>
    <row r="308" spans="1:34" x14ac:dyDescent="0.3">
      <c r="A308" s="42">
        <f t="shared" si="19"/>
        <v>66</v>
      </c>
      <c r="B308" s="44">
        <f t="shared" ref="B308:B314" si="20" xml:space="preserve"> AVERAGE($C308:$AH308)</f>
        <v>-0.625</v>
      </c>
      <c r="C308" s="42">
        <v>-3</v>
      </c>
      <c r="D308">
        <v>-1</v>
      </c>
      <c r="E308">
        <v>3</v>
      </c>
      <c r="F308">
        <v>-3</v>
      </c>
      <c r="G308">
        <v>-3</v>
      </c>
      <c r="H308">
        <v>-3</v>
      </c>
      <c r="I308">
        <v>3</v>
      </c>
      <c r="J308">
        <v>-2</v>
      </c>
      <c r="K308">
        <v>-2</v>
      </c>
      <c r="L308">
        <v>-1</v>
      </c>
      <c r="M308">
        <v>1</v>
      </c>
      <c r="N308">
        <v>-1</v>
      </c>
      <c r="O308">
        <v>1</v>
      </c>
      <c r="P308">
        <v>1</v>
      </c>
      <c r="Q308">
        <v>3</v>
      </c>
      <c r="R308">
        <v>-1</v>
      </c>
      <c r="S308">
        <v>1</v>
      </c>
      <c r="T308">
        <v>-1</v>
      </c>
      <c r="U308">
        <v>2</v>
      </c>
      <c r="V308">
        <v>1</v>
      </c>
      <c r="W308">
        <v>-3</v>
      </c>
      <c r="X308">
        <v>-1</v>
      </c>
      <c r="Y308">
        <v>-3</v>
      </c>
      <c r="Z308">
        <v>1</v>
      </c>
      <c r="AA308">
        <v>-2</v>
      </c>
      <c r="AB308">
        <v>-2</v>
      </c>
      <c r="AC308">
        <v>-2</v>
      </c>
      <c r="AD308">
        <v>-2</v>
      </c>
      <c r="AE308">
        <v>-2</v>
      </c>
      <c r="AF308">
        <v>2</v>
      </c>
      <c r="AG308">
        <v>-2</v>
      </c>
      <c r="AH308">
        <v>1</v>
      </c>
    </row>
    <row r="309" spans="1:34" x14ac:dyDescent="0.3">
      <c r="A309" s="42">
        <f t="shared" ref="A309:A314" si="21" xml:space="preserve"> A308 + 1</f>
        <v>67</v>
      </c>
      <c r="B309" s="44">
        <f t="shared" si="20"/>
        <v>-0.28125</v>
      </c>
      <c r="C309" s="42">
        <v>-1</v>
      </c>
      <c r="D309">
        <v>-3</v>
      </c>
      <c r="E309">
        <v>1</v>
      </c>
      <c r="F309">
        <v>3</v>
      </c>
      <c r="G309">
        <v>-3</v>
      </c>
      <c r="H309">
        <v>1</v>
      </c>
      <c r="I309">
        <v>3</v>
      </c>
      <c r="J309">
        <v>-3</v>
      </c>
      <c r="K309">
        <v>-2</v>
      </c>
      <c r="L309">
        <v>-1</v>
      </c>
      <c r="M309">
        <v>-3</v>
      </c>
      <c r="N309">
        <v>-1</v>
      </c>
      <c r="O309">
        <v>-1</v>
      </c>
      <c r="P309">
        <v>2</v>
      </c>
      <c r="Q309">
        <v>3</v>
      </c>
      <c r="R309">
        <v>-1</v>
      </c>
      <c r="S309">
        <v>1</v>
      </c>
      <c r="T309">
        <v>-1</v>
      </c>
      <c r="U309">
        <v>1</v>
      </c>
      <c r="V309">
        <v>1</v>
      </c>
      <c r="W309">
        <v>-2</v>
      </c>
      <c r="X309">
        <v>-1</v>
      </c>
      <c r="Y309">
        <v>-3</v>
      </c>
      <c r="Z309">
        <v>3</v>
      </c>
      <c r="AA309">
        <v>-2</v>
      </c>
      <c r="AB309">
        <v>-1</v>
      </c>
      <c r="AC309">
        <v>3</v>
      </c>
      <c r="AD309">
        <v>-2</v>
      </c>
      <c r="AE309">
        <v>-1</v>
      </c>
      <c r="AF309">
        <v>3</v>
      </c>
      <c r="AG309">
        <v>-3</v>
      </c>
      <c r="AH309">
        <v>1</v>
      </c>
    </row>
    <row r="310" spans="1:34" x14ac:dyDescent="0.3">
      <c r="A310" s="42">
        <f t="shared" si="21"/>
        <v>68</v>
      </c>
      <c r="B310" s="44">
        <f t="shared" si="20"/>
        <v>-0.375</v>
      </c>
      <c r="C310" s="42">
        <v>-1</v>
      </c>
      <c r="D310">
        <v>-1</v>
      </c>
      <c r="E310">
        <v>3</v>
      </c>
      <c r="F310">
        <v>3</v>
      </c>
      <c r="G310">
        <v>-3</v>
      </c>
      <c r="H310">
        <v>-3</v>
      </c>
      <c r="I310">
        <v>1</v>
      </c>
      <c r="J310">
        <v>-1</v>
      </c>
      <c r="K310">
        <v>-2</v>
      </c>
      <c r="L310">
        <v>-1</v>
      </c>
      <c r="M310">
        <v>1</v>
      </c>
      <c r="N310">
        <v>-1</v>
      </c>
      <c r="O310">
        <v>1</v>
      </c>
      <c r="P310">
        <v>1</v>
      </c>
      <c r="Q310">
        <v>1</v>
      </c>
      <c r="R310">
        <v>-1</v>
      </c>
      <c r="S310">
        <v>1</v>
      </c>
      <c r="T310">
        <v>-1</v>
      </c>
      <c r="U310">
        <v>1</v>
      </c>
      <c r="V310">
        <v>-2</v>
      </c>
      <c r="W310">
        <v>-3</v>
      </c>
      <c r="X310">
        <v>-1</v>
      </c>
      <c r="Y310">
        <v>-3</v>
      </c>
      <c r="Z310">
        <v>2</v>
      </c>
      <c r="AA310">
        <v>-1</v>
      </c>
      <c r="AB310">
        <v>-1</v>
      </c>
      <c r="AC310">
        <v>-1</v>
      </c>
      <c r="AD310">
        <v>1</v>
      </c>
      <c r="AE310">
        <v>-1</v>
      </c>
      <c r="AF310">
        <v>2</v>
      </c>
      <c r="AG310">
        <v>-3</v>
      </c>
      <c r="AH310">
        <v>1</v>
      </c>
    </row>
    <row r="311" spans="1:34" x14ac:dyDescent="0.3">
      <c r="A311" s="42">
        <f t="shared" si="21"/>
        <v>69</v>
      </c>
      <c r="B311" s="44">
        <f t="shared" si="20"/>
        <v>-0.53125</v>
      </c>
      <c r="C311" s="42">
        <v>-2</v>
      </c>
      <c r="D311">
        <v>-1</v>
      </c>
      <c r="E311">
        <v>3</v>
      </c>
      <c r="F311">
        <v>-2</v>
      </c>
      <c r="G311">
        <v>-3</v>
      </c>
      <c r="H311">
        <v>-3</v>
      </c>
      <c r="I311">
        <v>1</v>
      </c>
      <c r="J311">
        <v>-2</v>
      </c>
      <c r="K311">
        <v>1</v>
      </c>
      <c r="L311">
        <v>-2</v>
      </c>
      <c r="M311">
        <v>2</v>
      </c>
      <c r="N311">
        <v>-1</v>
      </c>
      <c r="O311">
        <v>1</v>
      </c>
      <c r="P311">
        <v>1</v>
      </c>
      <c r="Q311">
        <v>1</v>
      </c>
      <c r="R311">
        <v>-1</v>
      </c>
      <c r="S311">
        <v>2</v>
      </c>
      <c r="T311">
        <v>-1</v>
      </c>
      <c r="U311">
        <v>1</v>
      </c>
      <c r="V311">
        <v>-3</v>
      </c>
      <c r="W311">
        <v>-3</v>
      </c>
      <c r="X311">
        <v>-1</v>
      </c>
      <c r="Y311">
        <v>-3</v>
      </c>
      <c r="Z311">
        <v>3</v>
      </c>
      <c r="AA311">
        <v>-1</v>
      </c>
      <c r="AB311">
        <v>-2</v>
      </c>
      <c r="AC311">
        <v>-1</v>
      </c>
      <c r="AD311">
        <v>-2</v>
      </c>
      <c r="AE311">
        <v>-1</v>
      </c>
      <c r="AF311">
        <v>2</v>
      </c>
      <c r="AG311">
        <v>-1</v>
      </c>
      <c r="AH311">
        <v>1</v>
      </c>
    </row>
    <row r="312" spans="1:34" x14ac:dyDescent="0.3">
      <c r="A312" s="42">
        <f t="shared" si="21"/>
        <v>70</v>
      </c>
      <c r="B312" s="44">
        <f t="shared" si="20"/>
        <v>-0.28125</v>
      </c>
      <c r="C312" s="42">
        <v>-2</v>
      </c>
      <c r="D312">
        <v>-2</v>
      </c>
      <c r="E312">
        <v>3</v>
      </c>
      <c r="F312">
        <v>3</v>
      </c>
      <c r="G312">
        <v>-3</v>
      </c>
      <c r="H312">
        <v>3</v>
      </c>
      <c r="I312">
        <v>2</v>
      </c>
      <c r="J312">
        <v>-3</v>
      </c>
      <c r="K312">
        <v>-2</v>
      </c>
      <c r="L312">
        <v>-2</v>
      </c>
      <c r="M312">
        <v>2</v>
      </c>
      <c r="N312">
        <v>-1</v>
      </c>
      <c r="O312">
        <v>2</v>
      </c>
      <c r="P312">
        <v>1</v>
      </c>
      <c r="Q312">
        <v>2</v>
      </c>
      <c r="R312">
        <v>-1</v>
      </c>
      <c r="S312">
        <v>1</v>
      </c>
      <c r="T312">
        <v>-1</v>
      </c>
      <c r="U312">
        <v>1</v>
      </c>
      <c r="V312">
        <v>3</v>
      </c>
      <c r="W312">
        <v>-3</v>
      </c>
      <c r="X312">
        <v>-1</v>
      </c>
      <c r="Y312">
        <v>-3</v>
      </c>
      <c r="Z312">
        <v>-1</v>
      </c>
      <c r="AA312">
        <v>-2</v>
      </c>
      <c r="AB312">
        <v>-1</v>
      </c>
      <c r="AC312">
        <v>-1</v>
      </c>
      <c r="AD312">
        <v>-3</v>
      </c>
      <c r="AE312">
        <v>-1</v>
      </c>
      <c r="AF312">
        <v>3</v>
      </c>
      <c r="AG312">
        <v>-3</v>
      </c>
      <c r="AH312">
        <v>1</v>
      </c>
    </row>
    <row r="313" spans="1:34" x14ac:dyDescent="0.3">
      <c r="A313" s="42">
        <f t="shared" si="21"/>
        <v>71</v>
      </c>
      <c r="B313" s="44">
        <f t="shared" si="20"/>
        <v>-0.15625</v>
      </c>
      <c r="C313" s="42">
        <v>1</v>
      </c>
      <c r="D313">
        <v>-2</v>
      </c>
      <c r="E313">
        <v>3</v>
      </c>
      <c r="F313">
        <v>3</v>
      </c>
      <c r="G313">
        <v>-3</v>
      </c>
      <c r="H313">
        <v>-3</v>
      </c>
      <c r="I313">
        <v>2</v>
      </c>
      <c r="J313">
        <v>-1</v>
      </c>
      <c r="K313">
        <v>-2</v>
      </c>
      <c r="L313">
        <v>-1</v>
      </c>
      <c r="M313">
        <v>2</v>
      </c>
      <c r="N313">
        <v>-1</v>
      </c>
      <c r="O313">
        <v>-1</v>
      </c>
      <c r="P313">
        <v>1</v>
      </c>
      <c r="Q313">
        <v>2</v>
      </c>
      <c r="R313">
        <v>-1</v>
      </c>
      <c r="S313">
        <v>2</v>
      </c>
      <c r="T313">
        <v>-1</v>
      </c>
      <c r="U313">
        <v>2</v>
      </c>
      <c r="V313">
        <v>-1</v>
      </c>
      <c r="W313">
        <v>-1</v>
      </c>
      <c r="X313">
        <v>1</v>
      </c>
      <c r="Y313">
        <v>-3</v>
      </c>
      <c r="Z313">
        <v>2</v>
      </c>
      <c r="AA313">
        <v>-2</v>
      </c>
      <c r="AB313">
        <v>-1</v>
      </c>
      <c r="AC313">
        <v>-1</v>
      </c>
      <c r="AD313">
        <v>-2</v>
      </c>
      <c r="AE313">
        <v>-1</v>
      </c>
      <c r="AF313">
        <v>3</v>
      </c>
      <c r="AG313">
        <v>-2</v>
      </c>
      <c r="AH313">
        <v>1</v>
      </c>
    </row>
    <row r="314" spans="1:34" x14ac:dyDescent="0.3">
      <c r="A314" s="42">
        <f t="shared" si="21"/>
        <v>72</v>
      </c>
      <c r="B314" s="44">
        <f t="shared" si="20"/>
        <v>-0.28125</v>
      </c>
      <c r="C314" s="42">
        <v>1</v>
      </c>
      <c r="D314">
        <v>-1</v>
      </c>
      <c r="E314">
        <v>3</v>
      </c>
      <c r="F314">
        <v>-2</v>
      </c>
      <c r="G314">
        <v>3</v>
      </c>
      <c r="H314">
        <v>-3</v>
      </c>
      <c r="I314">
        <v>2</v>
      </c>
      <c r="J314">
        <v>-1</v>
      </c>
      <c r="K314">
        <v>2</v>
      </c>
      <c r="L314">
        <v>-1</v>
      </c>
      <c r="M314">
        <v>-3</v>
      </c>
      <c r="N314">
        <v>-1</v>
      </c>
      <c r="O314">
        <v>-2</v>
      </c>
      <c r="P314">
        <v>1</v>
      </c>
      <c r="Q314">
        <v>2</v>
      </c>
      <c r="R314">
        <v>-1</v>
      </c>
      <c r="S314">
        <v>2</v>
      </c>
      <c r="T314">
        <v>-3</v>
      </c>
      <c r="U314">
        <v>2</v>
      </c>
      <c r="V314">
        <v>-2</v>
      </c>
      <c r="W314">
        <v>-1</v>
      </c>
      <c r="X314">
        <v>1</v>
      </c>
      <c r="Y314">
        <v>-3</v>
      </c>
      <c r="Z314">
        <v>3</v>
      </c>
      <c r="AA314">
        <v>-2</v>
      </c>
      <c r="AB314">
        <v>-1</v>
      </c>
      <c r="AC314">
        <v>-1</v>
      </c>
      <c r="AD314">
        <v>-2</v>
      </c>
      <c r="AE314">
        <v>-1</v>
      </c>
      <c r="AF314">
        <v>2</v>
      </c>
      <c r="AG314">
        <v>-3</v>
      </c>
      <c r="AH314">
        <v>1</v>
      </c>
    </row>
    <row r="321" spans="1:34" x14ac:dyDescent="0.3">
      <c r="A321" s="45"/>
      <c r="B321" s="53" t="s">
        <v>115</v>
      </c>
      <c r="C321" s="48"/>
      <c r="D321" s="48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</row>
    <row r="322" spans="1:34" s="49" customFormat="1" x14ac:dyDescent="0.3">
      <c r="A322" s="49" t="s">
        <v>141</v>
      </c>
      <c r="B322" s="52" t="s">
        <v>116</v>
      </c>
      <c r="C322" s="49" t="s">
        <v>142</v>
      </c>
      <c r="D322" s="49" t="s">
        <v>143</v>
      </c>
      <c r="E322" s="49" t="s">
        <v>144</v>
      </c>
      <c r="F322" s="49" t="s">
        <v>145</v>
      </c>
      <c r="G322" s="49" t="s">
        <v>146</v>
      </c>
      <c r="H322" s="49" t="s">
        <v>147</v>
      </c>
      <c r="I322" s="49" t="s">
        <v>148</v>
      </c>
      <c r="J322" s="49" t="s">
        <v>149</v>
      </c>
      <c r="K322" s="49" t="s">
        <v>150</v>
      </c>
      <c r="L322" s="49" t="s">
        <v>151</v>
      </c>
      <c r="M322" s="49" t="s">
        <v>152</v>
      </c>
      <c r="N322" s="49" t="s">
        <v>153</v>
      </c>
      <c r="O322" s="49" t="s">
        <v>154</v>
      </c>
      <c r="P322" s="49" t="s">
        <v>155</v>
      </c>
      <c r="Q322" s="49" t="s">
        <v>156</v>
      </c>
      <c r="R322" s="49" t="s">
        <v>157</v>
      </c>
      <c r="S322" s="49" t="s">
        <v>158</v>
      </c>
      <c r="T322" s="49" t="s">
        <v>159</v>
      </c>
      <c r="U322" s="49" t="s">
        <v>160</v>
      </c>
      <c r="V322" s="49" t="s">
        <v>161</v>
      </c>
      <c r="W322" s="49" t="s">
        <v>162</v>
      </c>
      <c r="X322" s="49" t="s">
        <v>163</v>
      </c>
      <c r="Y322" s="49" t="s">
        <v>164</v>
      </c>
      <c r="Z322" s="49" t="s">
        <v>165</v>
      </c>
      <c r="AA322" s="49" t="s">
        <v>166</v>
      </c>
      <c r="AB322" s="49" t="s">
        <v>167</v>
      </c>
      <c r="AC322" s="49" t="s">
        <v>168</v>
      </c>
      <c r="AD322" s="49" t="s">
        <v>173</v>
      </c>
      <c r="AE322" s="49" t="s">
        <v>169</v>
      </c>
      <c r="AF322" s="49" t="s">
        <v>170</v>
      </c>
      <c r="AG322" s="49" t="s">
        <v>171</v>
      </c>
      <c r="AH322" s="49" t="s">
        <v>172</v>
      </c>
    </row>
    <row r="323" spans="1:34" x14ac:dyDescent="0.3">
      <c r="A323" s="42">
        <v>1</v>
      </c>
      <c r="B323" s="44">
        <f xml:space="preserve"> AVERAGE($C323:$AH323)</f>
        <v>-0.75</v>
      </c>
      <c r="C323">
        <v>-1</v>
      </c>
      <c r="D323">
        <v>-2</v>
      </c>
      <c r="E323">
        <v>-2</v>
      </c>
      <c r="F323">
        <v>-2</v>
      </c>
      <c r="G323">
        <v>-2</v>
      </c>
      <c r="H323">
        <v>-1</v>
      </c>
      <c r="I323">
        <v>-1</v>
      </c>
      <c r="J323">
        <v>-1</v>
      </c>
      <c r="K323">
        <v>1</v>
      </c>
      <c r="L323">
        <v>-1</v>
      </c>
      <c r="M323">
        <v>2</v>
      </c>
      <c r="N323">
        <v>-1</v>
      </c>
      <c r="O323">
        <v>-1</v>
      </c>
      <c r="P323">
        <v>-1</v>
      </c>
      <c r="Q323">
        <v>1</v>
      </c>
      <c r="R323">
        <v>-1</v>
      </c>
      <c r="S323">
        <v>-1</v>
      </c>
      <c r="T323">
        <v>-1</v>
      </c>
      <c r="U323">
        <v>-1</v>
      </c>
      <c r="V323">
        <v>2</v>
      </c>
      <c r="W323">
        <v>-1</v>
      </c>
      <c r="X323">
        <v>-1</v>
      </c>
      <c r="Y323">
        <v>1</v>
      </c>
      <c r="Z323">
        <v>-1</v>
      </c>
      <c r="AA323">
        <v>-1</v>
      </c>
      <c r="AB323">
        <v>1</v>
      </c>
      <c r="AC323">
        <v>-1</v>
      </c>
      <c r="AD323">
        <v>-2</v>
      </c>
      <c r="AE323">
        <v>-1</v>
      </c>
      <c r="AF323">
        <v>-1</v>
      </c>
      <c r="AG323">
        <v>-1</v>
      </c>
      <c r="AH323">
        <v>-2</v>
      </c>
    </row>
    <row r="324" spans="1:34" x14ac:dyDescent="0.3">
      <c r="A324" s="42">
        <f xml:space="preserve"> A323 + 1</f>
        <v>2</v>
      </c>
      <c r="B324" s="44">
        <f t="shared" ref="B324:B387" si="22" xml:space="preserve"> AVERAGE($C324:$AH324)</f>
        <v>-0.875</v>
      </c>
      <c r="C324">
        <v>-2</v>
      </c>
      <c r="D324">
        <v>-2</v>
      </c>
      <c r="E324">
        <v>-1</v>
      </c>
      <c r="F324">
        <v>-2</v>
      </c>
      <c r="G324">
        <v>-1</v>
      </c>
      <c r="H324">
        <v>-1</v>
      </c>
      <c r="I324">
        <v>-1</v>
      </c>
      <c r="J324">
        <v>-1</v>
      </c>
      <c r="K324">
        <v>1</v>
      </c>
      <c r="L324">
        <v>-2</v>
      </c>
      <c r="M324">
        <v>-2</v>
      </c>
      <c r="N324">
        <v>-1</v>
      </c>
      <c r="O324">
        <v>-1</v>
      </c>
      <c r="P324">
        <v>-1</v>
      </c>
      <c r="Q324">
        <v>2</v>
      </c>
      <c r="R324">
        <v>-2</v>
      </c>
      <c r="S324">
        <v>-1</v>
      </c>
      <c r="T324">
        <v>1</v>
      </c>
      <c r="U324">
        <v>1</v>
      </c>
      <c r="V324">
        <v>-1</v>
      </c>
      <c r="W324">
        <v>-2</v>
      </c>
      <c r="X324">
        <v>-2</v>
      </c>
      <c r="Y324">
        <v>-2</v>
      </c>
      <c r="Z324">
        <v>2</v>
      </c>
      <c r="AA324">
        <v>-1</v>
      </c>
      <c r="AB324">
        <v>1</v>
      </c>
      <c r="AC324">
        <v>-1</v>
      </c>
      <c r="AD324">
        <v>-2</v>
      </c>
      <c r="AE324">
        <v>1</v>
      </c>
      <c r="AF324">
        <v>-1</v>
      </c>
      <c r="AG324">
        <v>-3</v>
      </c>
      <c r="AH324">
        <v>-1</v>
      </c>
    </row>
    <row r="325" spans="1:34" x14ac:dyDescent="0.3">
      <c r="A325" s="42">
        <f t="shared" ref="A325:A388" si="23" xml:space="preserve"> A324 + 1</f>
        <v>3</v>
      </c>
      <c r="B325" s="44">
        <f t="shared" si="22"/>
        <v>-0.8125</v>
      </c>
      <c r="C325">
        <v>-1</v>
      </c>
      <c r="D325">
        <v>-2</v>
      </c>
      <c r="E325">
        <v>-1</v>
      </c>
      <c r="F325">
        <v>-3</v>
      </c>
      <c r="G325">
        <v>-1</v>
      </c>
      <c r="H325">
        <v>-1</v>
      </c>
      <c r="I325">
        <v>-1</v>
      </c>
      <c r="J325">
        <v>-1</v>
      </c>
      <c r="K325">
        <v>1</v>
      </c>
      <c r="L325">
        <v>-1</v>
      </c>
      <c r="M325">
        <v>1</v>
      </c>
      <c r="N325">
        <v>-1</v>
      </c>
      <c r="O325">
        <v>1</v>
      </c>
      <c r="P325">
        <v>-1</v>
      </c>
      <c r="Q325">
        <v>2</v>
      </c>
      <c r="R325">
        <v>-1</v>
      </c>
      <c r="S325">
        <v>-2</v>
      </c>
      <c r="T325">
        <v>-1</v>
      </c>
      <c r="U325">
        <v>1</v>
      </c>
      <c r="V325">
        <v>-1</v>
      </c>
      <c r="W325">
        <v>-2</v>
      </c>
      <c r="X325">
        <v>-1</v>
      </c>
      <c r="Y325">
        <v>-1</v>
      </c>
      <c r="Z325">
        <v>-1</v>
      </c>
      <c r="AA325">
        <v>-1</v>
      </c>
      <c r="AB325">
        <v>-1</v>
      </c>
      <c r="AC325">
        <v>-1</v>
      </c>
      <c r="AD325">
        <v>-1</v>
      </c>
      <c r="AE325">
        <v>-1</v>
      </c>
      <c r="AF325">
        <v>-1</v>
      </c>
      <c r="AG325">
        <v>-1</v>
      </c>
      <c r="AH325">
        <v>-1</v>
      </c>
    </row>
    <row r="326" spans="1:34" x14ac:dyDescent="0.3">
      <c r="A326" s="42">
        <f t="shared" si="23"/>
        <v>4</v>
      </c>
      <c r="B326" s="44">
        <f t="shared" si="22"/>
        <v>-1.15625</v>
      </c>
      <c r="C326">
        <v>-1</v>
      </c>
      <c r="D326">
        <v>-3</v>
      </c>
      <c r="E326">
        <v>-1</v>
      </c>
      <c r="F326">
        <v>-2</v>
      </c>
      <c r="G326">
        <v>-2</v>
      </c>
      <c r="H326">
        <v>-1</v>
      </c>
      <c r="I326">
        <v>-1</v>
      </c>
      <c r="J326">
        <v>-1</v>
      </c>
      <c r="K326">
        <v>1</v>
      </c>
      <c r="L326">
        <v>-1</v>
      </c>
      <c r="M326">
        <v>-1</v>
      </c>
      <c r="N326">
        <v>-1</v>
      </c>
      <c r="O326">
        <v>-1</v>
      </c>
      <c r="P326">
        <v>-1</v>
      </c>
      <c r="Q326">
        <v>-1</v>
      </c>
      <c r="R326">
        <v>-1</v>
      </c>
      <c r="S326">
        <v>-2</v>
      </c>
      <c r="T326">
        <v>-1</v>
      </c>
      <c r="U326">
        <v>-1</v>
      </c>
      <c r="V326">
        <v>-2</v>
      </c>
      <c r="W326">
        <v>-1</v>
      </c>
      <c r="X326">
        <v>-2</v>
      </c>
      <c r="Y326">
        <v>-2</v>
      </c>
      <c r="Z326">
        <v>-1</v>
      </c>
      <c r="AA326">
        <v>-1</v>
      </c>
      <c r="AB326">
        <v>-1</v>
      </c>
      <c r="AC326">
        <v>-1</v>
      </c>
      <c r="AD326">
        <v>-1</v>
      </c>
      <c r="AE326">
        <v>-1</v>
      </c>
      <c r="AF326">
        <v>1</v>
      </c>
      <c r="AG326">
        <v>-2</v>
      </c>
      <c r="AH326">
        <v>-1</v>
      </c>
    </row>
    <row r="327" spans="1:34" x14ac:dyDescent="0.3">
      <c r="A327" s="42">
        <f t="shared" si="23"/>
        <v>5</v>
      </c>
      <c r="B327" s="44">
        <f t="shared" si="22"/>
        <v>-1.3125</v>
      </c>
      <c r="C327">
        <v>-2</v>
      </c>
      <c r="D327">
        <v>-3</v>
      </c>
      <c r="E327">
        <v>-1</v>
      </c>
      <c r="F327">
        <v>-2</v>
      </c>
      <c r="G327">
        <v>-2</v>
      </c>
      <c r="H327">
        <v>-2</v>
      </c>
      <c r="I327">
        <v>-2</v>
      </c>
      <c r="J327">
        <v>-2</v>
      </c>
      <c r="K327">
        <v>1</v>
      </c>
      <c r="L327">
        <v>-1</v>
      </c>
      <c r="M327">
        <v>2</v>
      </c>
      <c r="N327">
        <v>-1</v>
      </c>
      <c r="O327">
        <v>-2</v>
      </c>
      <c r="P327">
        <v>-1</v>
      </c>
      <c r="Q327">
        <v>-1</v>
      </c>
      <c r="R327">
        <v>-1</v>
      </c>
      <c r="S327">
        <v>-2</v>
      </c>
      <c r="T327">
        <v>-2</v>
      </c>
      <c r="U327">
        <v>-1</v>
      </c>
      <c r="V327">
        <v>-2</v>
      </c>
      <c r="W327">
        <v>-2</v>
      </c>
      <c r="X327">
        <v>-2</v>
      </c>
      <c r="Y327">
        <v>-1</v>
      </c>
      <c r="Z327">
        <v>-1</v>
      </c>
      <c r="AA327">
        <v>1</v>
      </c>
      <c r="AB327">
        <v>-1</v>
      </c>
      <c r="AC327">
        <v>-1</v>
      </c>
      <c r="AD327">
        <v>-1</v>
      </c>
      <c r="AE327">
        <v>-1</v>
      </c>
      <c r="AF327">
        <v>-1</v>
      </c>
      <c r="AG327">
        <v>-3</v>
      </c>
      <c r="AH327">
        <v>-2</v>
      </c>
    </row>
    <row r="328" spans="1:34" x14ac:dyDescent="0.3">
      <c r="A328" s="42">
        <f t="shared" si="23"/>
        <v>6</v>
      </c>
      <c r="B328" s="44">
        <f t="shared" si="22"/>
        <v>-1.0625</v>
      </c>
      <c r="C328">
        <v>-3</v>
      </c>
      <c r="D328">
        <v>-1</v>
      </c>
      <c r="E328">
        <v>-2</v>
      </c>
      <c r="F328">
        <v>-1</v>
      </c>
      <c r="G328">
        <v>1</v>
      </c>
      <c r="H328">
        <v>-1</v>
      </c>
      <c r="I328">
        <v>-1</v>
      </c>
      <c r="J328">
        <v>-2</v>
      </c>
      <c r="K328">
        <v>2</v>
      </c>
      <c r="L328">
        <v>1</v>
      </c>
      <c r="M328">
        <v>-1</v>
      </c>
      <c r="N328">
        <v>-1</v>
      </c>
      <c r="O328">
        <v>-2</v>
      </c>
      <c r="P328">
        <v>-1</v>
      </c>
      <c r="Q328">
        <v>-1</v>
      </c>
      <c r="R328">
        <v>-1</v>
      </c>
      <c r="S328">
        <v>-2</v>
      </c>
      <c r="T328">
        <v>-1</v>
      </c>
      <c r="U328">
        <v>1</v>
      </c>
      <c r="V328">
        <v>-2</v>
      </c>
      <c r="W328">
        <v>-2</v>
      </c>
      <c r="X328">
        <v>-2</v>
      </c>
      <c r="Y328">
        <v>-2</v>
      </c>
      <c r="Z328">
        <v>-1</v>
      </c>
      <c r="AA328">
        <v>-1</v>
      </c>
      <c r="AB328">
        <v>-1</v>
      </c>
      <c r="AC328">
        <v>-1</v>
      </c>
      <c r="AD328">
        <v>-1</v>
      </c>
      <c r="AE328">
        <v>-1</v>
      </c>
      <c r="AF328">
        <v>-1</v>
      </c>
      <c r="AG328">
        <v>-1</v>
      </c>
      <c r="AH328">
        <v>-2</v>
      </c>
    </row>
    <row r="329" spans="1:34" x14ac:dyDescent="0.3">
      <c r="A329" s="42">
        <f t="shared" si="23"/>
        <v>7</v>
      </c>
      <c r="B329" s="44">
        <f t="shared" si="22"/>
        <v>-0.9375</v>
      </c>
      <c r="C329">
        <v>-3</v>
      </c>
      <c r="D329">
        <v>-2</v>
      </c>
      <c r="E329">
        <v>-1</v>
      </c>
      <c r="F329">
        <v>2</v>
      </c>
      <c r="G329">
        <v>-2</v>
      </c>
      <c r="H329">
        <v>-1</v>
      </c>
      <c r="I329">
        <v>-2</v>
      </c>
      <c r="J329">
        <v>-1</v>
      </c>
      <c r="K329">
        <v>1</v>
      </c>
      <c r="L329">
        <v>1</v>
      </c>
      <c r="M329">
        <v>2</v>
      </c>
      <c r="N329">
        <v>-1</v>
      </c>
      <c r="O329">
        <v>1</v>
      </c>
      <c r="P329">
        <v>-1</v>
      </c>
      <c r="Q329">
        <v>-1</v>
      </c>
      <c r="R329">
        <v>-1</v>
      </c>
      <c r="S329">
        <v>-2</v>
      </c>
      <c r="T329">
        <v>-2</v>
      </c>
      <c r="U329">
        <v>-1</v>
      </c>
      <c r="V329">
        <v>-2</v>
      </c>
      <c r="W329">
        <v>-2</v>
      </c>
      <c r="X329">
        <v>-2</v>
      </c>
      <c r="Y329">
        <v>-3</v>
      </c>
      <c r="Z329">
        <v>-1</v>
      </c>
      <c r="AA329">
        <v>-1</v>
      </c>
      <c r="AB329">
        <v>-1</v>
      </c>
      <c r="AC329">
        <v>-1</v>
      </c>
      <c r="AD329">
        <v>-1</v>
      </c>
      <c r="AE329">
        <v>-1</v>
      </c>
      <c r="AF329">
        <v>-1</v>
      </c>
      <c r="AG329">
        <v>2</v>
      </c>
      <c r="AH329">
        <v>-2</v>
      </c>
    </row>
    <row r="330" spans="1:34" x14ac:dyDescent="0.3">
      <c r="A330" s="42">
        <f t="shared" si="23"/>
        <v>8</v>
      </c>
      <c r="B330" s="44">
        <f t="shared" si="22"/>
        <v>-1.09375</v>
      </c>
      <c r="C330">
        <v>-1</v>
      </c>
      <c r="D330">
        <v>-2</v>
      </c>
      <c r="E330">
        <v>-2</v>
      </c>
      <c r="F330">
        <v>3</v>
      </c>
      <c r="G330">
        <v>3</v>
      </c>
      <c r="H330">
        <v>-3</v>
      </c>
      <c r="I330">
        <v>-3</v>
      </c>
      <c r="J330">
        <v>-1</v>
      </c>
      <c r="K330">
        <v>1</v>
      </c>
      <c r="L330">
        <v>1</v>
      </c>
      <c r="M330">
        <v>1</v>
      </c>
      <c r="N330">
        <v>-1</v>
      </c>
      <c r="O330">
        <v>-2</v>
      </c>
      <c r="P330">
        <v>-1</v>
      </c>
      <c r="Q330">
        <v>2</v>
      </c>
      <c r="R330">
        <v>-1</v>
      </c>
      <c r="S330">
        <v>-2</v>
      </c>
      <c r="T330">
        <v>-3</v>
      </c>
      <c r="U330">
        <v>-1</v>
      </c>
      <c r="V330">
        <v>-3</v>
      </c>
      <c r="W330">
        <v>-2</v>
      </c>
      <c r="X330">
        <v>-2</v>
      </c>
      <c r="Y330">
        <v>-3</v>
      </c>
      <c r="Z330">
        <v>-1</v>
      </c>
      <c r="AA330">
        <v>-1</v>
      </c>
      <c r="AB330">
        <v>1</v>
      </c>
      <c r="AC330">
        <v>-2</v>
      </c>
      <c r="AD330">
        <v>-3</v>
      </c>
      <c r="AE330">
        <v>-1</v>
      </c>
      <c r="AF330">
        <v>-1</v>
      </c>
      <c r="AG330">
        <v>-3</v>
      </c>
      <c r="AH330">
        <v>-2</v>
      </c>
    </row>
    <row r="331" spans="1:34" x14ac:dyDescent="0.3">
      <c r="A331" s="42">
        <f t="shared" si="23"/>
        <v>9</v>
      </c>
      <c r="B331" s="44">
        <f t="shared" si="22"/>
        <v>-0.78125</v>
      </c>
      <c r="C331">
        <v>-2</v>
      </c>
      <c r="D331">
        <v>-1</v>
      </c>
      <c r="E331">
        <v>-1</v>
      </c>
      <c r="F331">
        <v>-3</v>
      </c>
      <c r="G331">
        <v>-1</v>
      </c>
      <c r="H331">
        <v>-1</v>
      </c>
      <c r="I331">
        <v>-2</v>
      </c>
      <c r="J331">
        <v>-1</v>
      </c>
      <c r="K331">
        <v>1</v>
      </c>
      <c r="L331">
        <v>-1</v>
      </c>
      <c r="M331">
        <v>-1</v>
      </c>
      <c r="N331">
        <v>-1</v>
      </c>
      <c r="O331">
        <v>-1</v>
      </c>
      <c r="P331">
        <v>-1</v>
      </c>
      <c r="Q331">
        <v>1</v>
      </c>
      <c r="R331">
        <v>-1</v>
      </c>
      <c r="S331">
        <v>-2</v>
      </c>
      <c r="T331">
        <v>-2</v>
      </c>
      <c r="U331">
        <v>-1</v>
      </c>
      <c r="V331">
        <v>1</v>
      </c>
      <c r="W331">
        <v>-2</v>
      </c>
      <c r="X331">
        <v>-2</v>
      </c>
      <c r="Y331">
        <v>2</v>
      </c>
      <c r="Z331">
        <v>-1</v>
      </c>
      <c r="AA331">
        <v>-1</v>
      </c>
      <c r="AB331">
        <v>-1</v>
      </c>
      <c r="AC331">
        <v>-1</v>
      </c>
      <c r="AD331">
        <v>-1</v>
      </c>
      <c r="AE331">
        <v>-1</v>
      </c>
      <c r="AF331">
        <v>-1</v>
      </c>
      <c r="AG331">
        <v>3</v>
      </c>
      <c r="AH331">
        <v>1</v>
      </c>
    </row>
    <row r="332" spans="1:34" x14ac:dyDescent="0.3">
      <c r="A332" s="42">
        <f t="shared" si="23"/>
        <v>10</v>
      </c>
      <c r="B332" s="44">
        <f t="shared" si="22"/>
        <v>-1.25</v>
      </c>
      <c r="C332">
        <v>-1</v>
      </c>
      <c r="D332">
        <v>-1</v>
      </c>
      <c r="E332">
        <v>-1</v>
      </c>
      <c r="F332">
        <v>-3</v>
      </c>
      <c r="G332">
        <v>-3</v>
      </c>
      <c r="H332">
        <v>-1</v>
      </c>
      <c r="I332">
        <v>-2</v>
      </c>
      <c r="J332">
        <v>-1</v>
      </c>
      <c r="K332">
        <v>-2</v>
      </c>
      <c r="L332">
        <v>1</v>
      </c>
      <c r="M332">
        <v>2</v>
      </c>
      <c r="N332">
        <v>-1</v>
      </c>
      <c r="O332">
        <v>-1</v>
      </c>
      <c r="P332">
        <v>-1</v>
      </c>
      <c r="Q332">
        <v>1</v>
      </c>
      <c r="R332">
        <v>-2</v>
      </c>
      <c r="S332">
        <v>-1</v>
      </c>
      <c r="T332">
        <v>-2</v>
      </c>
      <c r="U332">
        <v>-1</v>
      </c>
      <c r="V332">
        <v>-2</v>
      </c>
      <c r="W332">
        <v>-3</v>
      </c>
      <c r="X332">
        <v>-2</v>
      </c>
      <c r="Y332">
        <v>-3</v>
      </c>
      <c r="Z332">
        <v>-1</v>
      </c>
      <c r="AA332">
        <v>-1</v>
      </c>
      <c r="AB332">
        <v>-1</v>
      </c>
      <c r="AC332">
        <v>-1</v>
      </c>
      <c r="AD332">
        <v>-1</v>
      </c>
      <c r="AE332">
        <v>-1</v>
      </c>
      <c r="AF332">
        <v>-1</v>
      </c>
      <c r="AG332">
        <v>-2</v>
      </c>
      <c r="AH332">
        <v>-1</v>
      </c>
    </row>
    <row r="333" spans="1:34" x14ac:dyDescent="0.3">
      <c r="A333" s="42">
        <f t="shared" si="23"/>
        <v>11</v>
      </c>
      <c r="B333" s="44">
        <f t="shared" si="22"/>
        <v>-1.5625</v>
      </c>
      <c r="C333">
        <v>-3</v>
      </c>
      <c r="D333">
        <v>-3</v>
      </c>
      <c r="E333">
        <v>-1</v>
      </c>
      <c r="F333">
        <v>-3</v>
      </c>
      <c r="G333">
        <v>-2</v>
      </c>
      <c r="H333">
        <v>-2</v>
      </c>
      <c r="I333">
        <v>-2</v>
      </c>
      <c r="J333">
        <v>-2</v>
      </c>
      <c r="K333">
        <v>1</v>
      </c>
      <c r="L333">
        <v>-1</v>
      </c>
      <c r="M333">
        <v>2</v>
      </c>
      <c r="N333">
        <v>-1</v>
      </c>
      <c r="O333">
        <v>-2</v>
      </c>
      <c r="P333">
        <v>-1</v>
      </c>
      <c r="Q333">
        <v>2</v>
      </c>
      <c r="R333">
        <v>-2</v>
      </c>
      <c r="S333">
        <v>-2</v>
      </c>
      <c r="T333">
        <v>-3</v>
      </c>
      <c r="U333">
        <v>-2</v>
      </c>
      <c r="V333">
        <v>-2</v>
      </c>
      <c r="W333">
        <v>-3</v>
      </c>
      <c r="X333">
        <v>-3</v>
      </c>
      <c r="Y333">
        <v>-3</v>
      </c>
      <c r="Z333">
        <v>-2</v>
      </c>
      <c r="AA333">
        <v>-2</v>
      </c>
      <c r="AB333">
        <v>1</v>
      </c>
      <c r="AC333">
        <v>-1</v>
      </c>
      <c r="AD333">
        <v>-2</v>
      </c>
      <c r="AE333">
        <v>-1</v>
      </c>
      <c r="AF333">
        <v>-1</v>
      </c>
      <c r="AG333">
        <v>-3</v>
      </c>
      <c r="AH333">
        <v>-1</v>
      </c>
    </row>
    <row r="334" spans="1:34" x14ac:dyDescent="0.3">
      <c r="A334" s="42">
        <f t="shared" si="23"/>
        <v>12</v>
      </c>
      <c r="B334" s="44">
        <f t="shared" si="22"/>
        <v>-0.78125</v>
      </c>
      <c r="C334">
        <v>-1</v>
      </c>
      <c r="D334">
        <v>-3</v>
      </c>
      <c r="E334">
        <v>-1</v>
      </c>
      <c r="F334">
        <v>2</v>
      </c>
      <c r="G334">
        <v>-1</v>
      </c>
      <c r="H334">
        <v>-1</v>
      </c>
      <c r="I334">
        <v>-1</v>
      </c>
      <c r="J334">
        <v>1</v>
      </c>
      <c r="K334">
        <v>1</v>
      </c>
      <c r="L334">
        <v>-1</v>
      </c>
      <c r="M334">
        <v>-2</v>
      </c>
      <c r="N334">
        <v>-1</v>
      </c>
      <c r="O334">
        <v>-1</v>
      </c>
      <c r="P334">
        <v>-1</v>
      </c>
      <c r="Q334">
        <v>1</v>
      </c>
      <c r="R334">
        <v>-1</v>
      </c>
      <c r="S334">
        <v>-1</v>
      </c>
      <c r="T334">
        <v>-2</v>
      </c>
      <c r="U334">
        <v>1</v>
      </c>
      <c r="V334">
        <v>-3</v>
      </c>
      <c r="W334">
        <v>-1</v>
      </c>
      <c r="X334">
        <v>-2</v>
      </c>
      <c r="Y334">
        <v>3</v>
      </c>
      <c r="Z334">
        <v>-1</v>
      </c>
      <c r="AA334">
        <v>-1</v>
      </c>
      <c r="AB334">
        <v>-1</v>
      </c>
      <c r="AC334">
        <v>-1</v>
      </c>
      <c r="AD334">
        <v>-1</v>
      </c>
      <c r="AE334">
        <v>-1</v>
      </c>
      <c r="AF334">
        <v>-1</v>
      </c>
      <c r="AG334">
        <v>-2</v>
      </c>
      <c r="AH334">
        <v>-1</v>
      </c>
    </row>
    <row r="335" spans="1:34" x14ac:dyDescent="0.3">
      <c r="A335" s="42">
        <f t="shared" si="23"/>
        <v>13</v>
      </c>
      <c r="B335" s="44">
        <f t="shared" si="22"/>
        <v>-0.40625</v>
      </c>
      <c r="C335">
        <v>1</v>
      </c>
      <c r="D335">
        <v>-3</v>
      </c>
      <c r="E335">
        <v>-1</v>
      </c>
      <c r="F335">
        <v>-3</v>
      </c>
      <c r="G335">
        <v>-1</v>
      </c>
      <c r="H335">
        <v>1</v>
      </c>
      <c r="I335">
        <v>-1</v>
      </c>
      <c r="J335">
        <v>1</v>
      </c>
      <c r="K335">
        <v>1</v>
      </c>
      <c r="L335">
        <v>-1</v>
      </c>
      <c r="M335">
        <v>-1</v>
      </c>
      <c r="N335">
        <v>-1</v>
      </c>
      <c r="O335">
        <v>-1</v>
      </c>
      <c r="P335">
        <v>1</v>
      </c>
      <c r="Q335">
        <v>1</v>
      </c>
      <c r="R335">
        <v>-1</v>
      </c>
      <c r="S335">
        <v>-1</v>
      </c>
      <c r="T335">
        <v>-1</v>
      </c>
      <c r="U335">
        <v>2</v>
      </c>
      <c r="V335">
        <v>2</v>
      </c>
      <c r="W335">
        <v>-1</v>
      </c>
      <c r="X335">
        <v>-2</v>
      </c>
      <c r="Y335">
        <v>2</v>
      </c>
      <c r="Z335">
        <v>2</v>
      </c>
      <c r="AA335">
        <v>-2</v>
      </c>
      <c r="AB335">
        <v>-1</v>
      </c>
      <c r="AC335">
        <v>-1</v>
      </c>
      <c r="AD335">
        <v>-1</v>
      </c>
      <c r="AE335">
        <v>-1</v>
      </c>
      <c r="AF335">
        <v>-1</v>
      </c>
      <c r="AG335">
        <v>1</v>
      </c>
      <c r="AH335">
        <v>-2</v>
      </c>
    </row>
    <row r="336" spans="1:34" x14ac:dyDescent="0.3">
      <c r="A336" s="42">
        <f t="shared" si="23"/>
        <v>14</v>
      </c>
      <c r="B336" s="44">
        <f t="shared" si="22"/>
        <v>-0.375</v>
      </c>
      <c r="C336">
        <v>-1</v>
      </c>
      <c r="D336">
        <v>1</v>
      </c>
      <c r="E336">
        <v>-1</v>
      </c>
      <c r="F336">
        <v>-2</v>
      </c>
      <c r="G336">
        <v>-2</v>
      </c>
      <c r="H336">
        <v>1</v>
      </c>
      <c r="I336">
        <v>2</v>
      </c>
      <c r="J336">
        <v>-1</v>
      </c>
      <c r="K336">
        <v>1</v>
      </c>
      <c r="L336">
        <v>1</v>
      </c>
      <c r="M336">
        <v>2</v>
      </c>
      <c r="N336">
        <v>-1</v>
      </c>
      <c r="O336">
        <v>-1</v>
      </c>
      <c r="P336">
        <v>1</v>
      </c>
      <c r="Q336">
        <v>1</v>
      </c>
      <c r="R336">
        <v>-1</v>
      </c>
      <c r="S336">
        <v>-1</v>
      </c>
      <c r="T336">
        <v>-1</v>
      </c>
      <c r="U336">
        <v>1</v>
      </c>
      <c r="V336">
        <v>-2</v>
      </c>
      <c r="W336">
        <v>-1</v>
      </c>
      <c r="X336">
        <v>1</v>
      </c>
      <c r="Y336">
        <v>-3</v>
      </c>
      <c r="Z336">
        <v>-1</v>
      </c>
      <c r="AA336">
        <v>-1</v>
      </c>
      <c r="AB336">
        <v>-1</v>
      </c>
      <c r="AC336">
        <v>-1</v>
      </c>
      <c r="AD336">
        <v>-2</v>
      </c>
      <c r="AE336">
        <v>1</v>
      </c>
      <c r="AF336">
        <v>-1</v>
      </c>
      <c r="AG336">
        <v>2</v>
      </c>
      <c r="AH336">
        <v>-2</v>
      </c>
    </row>
    <row r="337" spans="1:34" x14ac:dyDescent="0.3">
      <c r="A337" s="42">
        <f t="shared" si="23"/>
        <v>15</v>
      </c>
      <c r="B337" s="44">
        <f t="shared" si="22"/>
        <v>-0.53125</v>
      </c>
      <c r="C337">
        <v>-2</v>
      </c>
      <c r="D337">
        <v>-2</v>
      </c>
      <c r="E337">
        <v>-1</v>
      </c>
      <c r="F337">
        <v>3</v>
      </c>
      <c r="G337">
        <v>2</v>
      </c>
      <c r="H337">
        <v>-2</v>
      </c>
      <c r="I337">
        <v>-2</v>
      </c>
      <c r="J337">
        <v>1</v>
      </c>
      <c r="K337">
        <v>1</v>
      </c>
      <c r="L337">
        <v>-1</v>
      </c>
      <c r="M337">
        <v>1</v>
      </c>
      <c r="N337">
        <v>-1</v>
      </c>
      <c r="O337">
        <v>-1</v>
      </c>
      <c r="P337">
        <v>-1</v>
      </c>
      <c r="Q337">
        <v>-1</v>
      </c>
      <c r="R337">
        <v>-1</v>
      </c>
      <c r="S337">
        <v>-1</v>
      </c>
      <c r="T337">
        <v>-1</v>
      </c>
      <c r="U337">
        <v>-1</v>
      </c>
      <c r="V337">
        <v>1</v>
      </c>
      <c r="W337">
        <v>-1</v>
      </c>
      <c r="X337">
        <v>1</v>
      </c>
      <c r="Y337">
        <v>3</v>
      </c>
      <c r="Z337">
        <v>-2</v>
      </c>
      <c r="AA337">
        <v>-1</v>
      </c>
      <c r="AB337">
        <v>-1</v>
      </c>
      <c r="AC337">
        <v>-1</v>
      </c>
      <c r="AD337">
        <v>-2</v>
      </c>
      <c r="AE337">
        <v>-1</v>
      </c>
      <c r="AF337">
        <v>-1</v>
      </c>
      <c r="AG337">
        <v>-3</v>
      </c>
      <c r="AH337">
        <v>1</v>
      </c>
    </row>
    <row r="338" spans="1:34" x14ac:dyDescent="0.3">
      <c r="A338" s="42">
        <f t="shared" si="23"/>
        <v>16</v>
      </c>
      <c r="B338" s="44">
        <f t="shared" si="22"/>
        <v>-0.6875</v>
      </c>
      <c r="C338">
        <v>1</v>
      </c>
      <c r="D338">
        <v>-1</v>
      </c>
      <c r="E338">
        <v>-1</v>
      </c>
      <c r="F338">
        <v>-3</v>
      </c>
      <c r="G338">
        <v>1</v>
      </c>
      <c r="H338">
        <v>-1</v>
      </c>
      <c r="I338">
        <v>1</v>
      </c>
      <c r="J338">
        <v>2</v>
      </c>
      <c r="K338">
        <v>1</v>
      </c>
      <c r="L338">
        <v>-1</v>
      </c>
      <c r="M338">
        <v>-2</v>
      </c>
      <c r="N338">
        <v>-1</v>
      </c>
      <c r="O338">
        <v>1</v>
      </c>
      <c r="P338">
        <v>-1</v>
      </c>
      <c r="Q338">
        <v>-1</v>
      </c>
      <c r="R338">
        <v>-1</v>
      </c>
      <c r="S338">
        <v>-1</v>
      </c>
      <c r="T338">
        <v>-1</v>
      </c>
      <c r="U338">
        <v>-1</v>
      </c>
      <c r="V338">
        <v>-3</v>
      </c>
      <c r="W338">
        <v>-1</v>
      </c>
      <c r="X338">
        <v>1</v>
      </c>
      <c r="Y338">
        <v>3</v>
      </c>
      <c r="Z338">
        <v>-2</v>
      </c>
      <c r="AA338">
        <v>-2</v>
      </c>
      <c r="AB338">
        <v>-2</v>
      </c>
      <c r="AC338">
        <v>-1</v>
      </c>
      <c r="AD338">
        <v>1</v>
      </c>
      <c r="AE338">
        <v>-2</v>
      </c>
      <c r="AF338">
        <v>-1</v>
      </c>
      <c r="AG338">
        <v>-3</v>
      </c>
      <c r="AH338">
        <v>-1</v>
      </c>
    </row>
    <row r="339" spans="1:34" x14ac:dyDescent="0.3">
      <c r="A339" s="42">
        <f t="shared" si="23"/>
        <v>17</v>
      </c>
      <c r="B339" s="44">
        <f t="shared" si="22"/>
        <v>-1.28125</v>
      </c>
      <c r="C339">
        <v>1</v>
      </c>
      <c r="D339">
        <v>-1</v>
      </c>
      <c r="E339">
        <v>-1</v>
      </c>
      <c r="F339">
        <v>-3</v>
      </c>
      <c r="G339">
        <v>-3</v>
      </c>
      <c r="H339">
        <v>1</v>
      </c>
      <c r="I339">
        <v>-2</v>
      </c>
      <c r="J339">
        <v>-2</v>
      </c>
      <c r="K339">
        <v>1</v>
      </c>
      <c r="L339">
        <v>-1</v>
      </c>
      <c r="M339">
        <v>-1</v>
      </c>
      <c r="N339">
        <v>-1</v>
      </c>
      <c r="O339">
        <v>-2</v>
      </c>
      <c r="P339">
        <v>-1</v>
      </c>
      <c r="Q339">
        <v>-1</v>
      </c>
      <c r="R339">
        <v>-1</v>
      </c>
      <c r="S339">
        <v>-1</v>
      </c>
      <c r="T339">
        <v>-1</v>
      </c>
      <c r="U339">
        <v>-2</v>
      </c>
      <c r="V339">
        <v>-3</v>
      </c>
      <c r="W339">
        <v>-1</v>
      </c>
      <c r="X339">
        <v>-2</v>
      </c>
      <c r="Y339">
        <v>-3</v>
      </c>
      <c r="Z339">
        <v>-1</v>
      </c>
      <c r="AA339">
        <v>-1</v>
      </c>
      <c r="AB339">
        <v>-1</v>
      </c>
      <c r="AC339">
        <v>-1</v>
      </c>
      <c r="AD339">
        <v>-1</v>
      </c>
      <c r="AE339">
        <v>-1</v>
      </c>
      <c r="AF339">
        <v>-1</v>
      </c>
      <c r="AG339">
        <v>-3</v>
      </c>
      <c r="AH339">
        <v>-1</v>
      </c>
    </row>
    <row r="340" spans="1:34" x14ac:dyDescent="0.3">
      <c r="A340" s="42">
        <f t="shared" si="23"/>
        <v>18</v>
      </c>
      <c r="B340" s="44">
        <f t="shared" si="22"/>
        <v>-1.25</v>
      </c>
      <c r="C340">
        <v>-1</v>
      </c>
      <c r="D340">
        <v>-1</v>
      </c>
      <c r="E340">
        <v>-1</v>
      </c>
      <c r="F340">
        <v>-3</v>
      </c>
      <c r="G340">
        <v>-2</v>
      </c>
      <c r="H340">
        <v>-2</v>
      </c>
      <c r="I340">
        <v>-2</v>
      </c>
      <c r="J340">
        <v>-1</v>
      </c>
      <c r="K340">
        <v>1</v>
      </c>
      <c r="L340">
        <v>-1</v>
      </c>
      <c r="M340">
        <v>-2</v>
      </c>
      <c r="N340">
        <v>-1</v>
      </c>
      <c r="O340">
        <v>-1</v>
      </c>
      <c r="P340">
        <v>-1</v>
      </c>
      <c r="Q340">
        <v>-1</v>
      </c>
      <c r="R340">
        <v>-2</v>
      </c>
      <c r="S340">
        <v>-1</v>
      </c>
      <c r="T340">
        <v>-1</v>
      </c>
      <c r="U340">
        <v>1</v>
      </c>
      <c r="V340">
        <v>-1</v>
      </c>
      <c r="W340">
        <v>-2</v>
      </c>
      <c r="X340">
        <v>-2</v>
      </c>
      <c r="Y340">
        <v>-3</v>
      </c>
      <c r="Z340">
        <v>-1</v>
      </c>
      <c r="AA340">
        <v>-1</v>
      </c>
      <c r="AB340">
        <v>-1</v>
      </c>
      <c r="AC340">
        <v>-2</v>
      </c>
      <c r="AD340">
        <v>-1</v>
      </c>
      <c r="AE340">
        <v>-1</v>
      </c>
      <c r="AF340">
        <v>-1</v>
      </c>
      <c r="AG340">
        <v>-1</v>
      </c>
      <c r="AH340">
        <v>-1</v>
      </c>
    </row>
    <row r="341" spans="1:34" x14ac:dyDescent="0.3">
      <c r="A341" s="42">
        <f t="shared" si="23"/>
        <v>19</v>
      </c>
      <c r="B341" s="44">
        <f t="shared" si="22"/>
        <v>-1.375</v>
      </c>
      <c r="C341">
        <v>-3</v>
      </c>
      <c r="D341">
        <v>-1</v>
      </c>
      <c r="E341">
        <v>-1</v>
      </c>
      <c r="F341">
        <v>3</v>
      </c>
      <c r="G341">
        <v>-1</v>
      </c>
      <c r="H341">
        <v>-2</v>
      </c>
      <c r="I341">
        <v>-2</v>
      </c>
      <c r="J341">
        <v>-2</v>
      </c>
      <c r="K341">
        <v>-2</v>
      </c>
      <c r="L341">
        <v>-1</v>
      </c>
      <c r="M341">
        <v>-2</v>
      </c>
      <c r="N341">
        <v>-1</v>
      </c>
      <c r="O341">
        <v>-1</v>
      </c>
      <c r="P341">
        <v>1</v>
      </c>
      <c r="Q341">
        <v>-1</v>
      </c>
      <c r="R341">
        <v>-1</v>
      </c>
      <c r="S341">
        <v>-1</v>
      </c>
      <c r="T341">
        <v>-1</v>
      </c>
      <c r="U341">
        <v>-2</v>
      </c>
      <c r="V341">
        <v>-3</v>
      </c>
      <c r="W341">
        <v>-2</v>
      </c>
      <c r="X341">
        <v>-2</v>
      </c>
      <c r="Y341">
        <v>-3</v>
      </c>
      <c r="Z341">
        <v>-1</v>
      </c>
      <c r="AA341">
        <v>-1</v>
      </c>
      <c r="AB341">
        <v>-2</v>
      </c>
      <c r="AC341">
        <v>-1</v>
      </c>
      <c r="AD341">
        <v>-1</v>
      </c>
      <c r="AE341">
        <v>-1</v>
      </c>
      <c r="AF341">
        <v>-2</v>
      </c>
      <c r="AG341">
        <v>-2</v>
      </c>
      <c r="AH341">
        <v>-2</v>
      </c>
    </row>
    <row r="342" spans="1:34" x14ac:dyDescent="0.3">
      <c r="A342" s="42">
        <f t="shared" si="23"/>
        <v>20</v>
      </c>
      <c r="B342" s="44">
        <f t="shared" si="22"/>
        <v>-1.15625</v>
      </c>
      <c r="C342">
        <v>-3</v>
      </c>
      <c r="D342">
        <v>-1</v>
      </c>
      <c r="E342">
        <v>-1</v>
      </c>
      <c r="F342">
        <v>-2</v>
      </c>
      <c r="G342">
        <v>-2</v>
      </c>
      <c r="H342">
        <v>-2</v>
      </c>
      <c r="I342">
        <v>-3</v>
      </c>
      <c r="J342">
        <v>-1</v>
      </c>
      <c r="K342">
        <v>1</v>
      </c>
      <c r="L342">
        <v>-1</v>
      </c>
      <c r="M342">
        <v>1</v>
      </c>
      <c r="N342">
        <v>-1</v>
      </c>
      <c r="O342">
        <v>-2</v>
      </c>
      <c r="P342">
        <v>-1</v>
      </c>
      <c r="Q342">
        <v>-1</v>
      </c>
      <c r="R342">
        <v>-1</v>
      </c>
      <c r="S342">
        <v>-1</v>
      </c>
      <c r="T342">
        <v>-1</v>
      </c>
      <c r="U342">
        <v>-2</v>
      </c>
      <c r="V342">
        <v>1</v>
      </c>
      <c r="W342">
        <v>-2</v>
      </c>
      <c r="X342">
        <v>-1</v>
      </c>
      <c r="Y342">
        <v>-3</v>
      </c>
      <c r="Z342">
        <v>1</v>
      </c>
      <c r="AA342">
        <v>-2</v>
      </c>
      <c r="AB342">
        <v>1</v>
      </c>
      <c r="AC342">
        <v>-1</v>
      </c>
      <c r="AD342">
        <v>-2</v>
      </c>
      <c r="AE342">
        <v>-1</v>
      </c>
      <c r="AF342">
        <v>-1</v>
      </c>
      <c r="AG342">
        <v>-1</v>
      </c>
      <c r="AH342">
        <v>-2</v>
      </c>
    </row>
    <row r="343" spans="1:34" x14ac:dyDescent="0.3">
      <c r="A343" s="42">
        <f t="shared" si="23"/>
        <v>21</v>
      </c>
      <c r="B343" s="44">
        <f t="shared" si="22"/>
        <v>-1.34375</v>
      </c>
      <c r="C343">
        <v>-2</v>
      </c>
      <c r="D343">
        <v>-1</v>
      </c>
      <c r="E343">
        <v>-1</v>
      </c>
      <c r="F343">
        <v>-2</v>
      </c>
      <c r="G343">
        <v>-3</v>
      </c>
      <c r="H343">
        <v>-2</v>
      </c>
      <c r="I343">
        <v>-2</v>
      </c>
      <c r="J343">
        <v>-2</v>
      </c>
      <c r="K343">
        <v>1</v>
      </c>
      <c r="L343">
        <v>-1</v>
      </c>
      <c r="M343">
        <v>1</v>
      </c>
      <c r="N343">
        <v>-1</v>
      </c>
      <c r="O343">
        <v>-1</v>
      </c>
      <c r="P343">
        <v>1</v>
      </c>
      <c r="Q343">
        <v>-1</v>
      </c>
      <c r="R343">
        <v>-1</v>
      </c>
      <c r="S343">
        <v>-1</v>
      </c>
      <c r="T343">
        <v>-3</v>
      </c>
      <c r="U343">
        <v>-2</v>
      </c>
      <c r="V343">
        <v>-1</v>
      </c>
      <c r="W343">
        <v>-1</v>
      </c>
      <c r="X343">
        <v>-3</v>
      </c>
      <c r="Y343">
        <v>-3</v>
      </c>
      <c r="Z343">
        <v>-1</v>
      </c>
      <c r="AA343">
        <v>-1</v>
      </c>
      <c r="AB343">
        <v>-1</v>
      </c>
      <c r="AC343">
        <v>-2</v>
      </c>
      <c r="AD343">
        <v>-2</v>
      </c>
      <c r="AE343">
        <v>-1</v>
      </c>
      <c r="AF343">
        <v>-1</v>
      </c>
      <c r="AG343">
        <v>-1</v>
      </c>
      <c r="AH343">
        <v>-2</v>
      </c>
    </row>
    <row r="344" spans="1:34" x14ac:dyDescent="0.3">
      <c r="A344" s="42">
        <f t="shared" si="23"/>
        <v>22</v>
      </c>
      <c r="B344" s="44">
        <f t="shared" si="22"/>
        <v>-0.90625</v>
      </c>
      <c r="C344">
        <v>1</v>
      </c>
      <c r="D344">
        <v>-1</v>
      </c>
      <c r="E344">
        <v>-1</v>
      </c>
      <c r="F344">
        <v>-3</v>
      </c>
      <c r="G344">
        <v>-2</v>
      </c>
      <c r="H344">
        <v>-1</v>
      </c>
      <c r="I344">
        <v>-1</v>
      </c>
      <c r="J344">
        <v>-1</v>
      </c>
      <c r="K344">
        <v>1</v>
      </c>
      <c r="L344">
        <v>-1</v>
      </c>
      <c r="M344">
        <v>1</v>
      </c>
      <c r="N344">
        <v>-1</v>
      </c>
      <c r="O344">
        <v>-1</v>
      </c>
      <c r="P344">
        <v>-1</v>
      </c>
      <c r="Q344">
        <v>1</v>
      </c>
      <c r="R344">
        <v>-1</v>
      </c>
      <c r="S344">
        <v>-1</v>
      </c>
      <c r="T344">
        <v>-3</v>
      </c>
      <c r="U344">
        <v>1</v>
      </c>
      <c r="V344">
        <v>-1</v>
      </c>
      <c r="W344">
        <v>-2</v>
      </c>
      <c r="X344">
        <v>-2</v>
      </c>
      <c r="Y344">
        <v>-3</v>
      </c>
      <c r="Z344">
        <v>-1</v>
      </c>
      <c r="AA344">
        <v>-1</v>
      </c>
      <c r="AB344">
        <v>-1</v>
      </c>
      <c r="AC344">
        <v>-1</v>
      </c>
      <c r="AD344">
        <v>-1</v>
      </c>
      <c r="AE344">
        <v>-1</v>
      </c>
      <c r="AF344">
        <v>-1</v>
      </c>
      <c r="AG344">
        <v>-1</v>
      </c>
      <c r="AH344">
        <v>1</v>
      </c>
    </row>
    <row r="345" spans="1:34" x14ac:dyDescent="0.3">
      <c r="A345" s="42">
        <f t="shared" si="23"/>
        <v>23</v>
      </c>
      <c r="B345" s="44">
        <f t="shared" si="22"/>
        <v>-0.5</v>
      </c>
      <c r="C345">
        <v>-3</v>
      </c>
      <c r="D345">
        <v>-1</v>
      </c>
      <c r="E345">
        <v>-1</v>
      </c>
      <c r="F345">
        <v>-2</v>
      </c>
      <c r="G345">
        <v>-3</v>
      </c>
      <c r="H345">
        <v>-2</v>
      </c>
      <c r="I345">
        <v>-2</v>
      </c>
      <c r="J345">
        <v>1</v>
      </c>
      <c r="K345">
        <v>1</v>
      </c>
      <c r="L345">
        <v>-1</v>
      </c>
      <c r="M345">
        <v>1</v>
      </c>
      <c r="N345">
        <v>-1</v>
      </c>
      <c r="O345">
        <v>-1</v>
      </c>
      <c r="P345">
        <v>-1</v>
      </c>
      <c r="Q345">
        <v>1</v>
      </c>
      <c r="R345">
        <v>-1</v>
      </c>
      <c r="S345">
        <v>-1</v>
      </c>
      <c r="T345">
        <v>-1</v>
      </c>
      <c r="U345">
        <v>1</v>
      </c>
      <c r="V345">
        <v>3</v>
      </c>
      <c r="W345">
        <v>-1</v>
      </c>
      <c r="X345">
        <v>-1</v>
      </c>
      <c r="Y345">
        <v>-3</v>
      </c>
      <c r="Z345">
        <v>1</v>
      </c>
      <c r="AA345">
        <v>-1</v>
      </c>
      <c r="AB345">
        <v>1</v>
      </c>
      <c r="AC345">
        <v>-1</v>
      </c>
      <c r="AD345">
        <v>1</v>
      </c>
      <c r="AE345">
        <v>1</v>
      </c>
      <c r="AF345">
        <v>-1</v>
      </c>
      <c r="AG345">
        <v>3</v>
      </c>
      <c r="AH345">
        <v>-2</v>
      </c>
    </row>
    <row r="346" spans="1:34" x14ac:dyDescent="0.3">
      <c r="A346" s="42">
        <f t="shared" si="23"/>
        <v>24</v>
      </c>
      <c r="B346" s="44">
        <f t="shared" si="22"/>
        <v>-0.875</v>
      </c>
      <c r="C346">
        <v>-1</v>
      </c>
      <c r="D346">
        <v>-2</v>
      </c>
      <c r="E346">
        <v>-1</v>
      </c>
      <c r="F346">
        <v>2</v>
      </c>
      <c r="G346">
        <v>-1</v>
      </c>
      <c r="H346">
        <v>-1</v>
      </c>
      <c r="I346">
        <v>-2</v>
      </c>
      <c r="J346">
        <v>-1</v>
      </c>
      <c r="K346">
        <v>2</v>
      </c>
      <c r="L346">
        <v>-1</v>
      </c>
      <c r="M346">
        <v>2</v>
      </c>
      <c r="N346">
        <v>-1</v>
      </c>
      <c r="O346">
        <v>-1</v>
      </c>
      <c r="P346">
        <v>-1</v>
      </c>
      <c r="Q346">
        <v>1</v>
      </c>
      <c r="R346">
        <v>-1</v>
      </c>
      <c r="S346">
        <v>-1</v>
      </c>
      <c r="T346">
        <v>-1</v>
      </c>
      <c r="U346">
        <v>-1</v>
      </c>
      <c r="V346">
        <v>-3</v>
      </c>
      <c r="W346">
        <v>-1</v>
      </c>
      <c r="X346">
        <v>-2</v>
      </c>
      <c r="Y346">
        <v>-3</v>
      </c>
      <c r="Z346">
        <v>-1</v>
      </c>
      <c r="AA346">
        <v>-1</v>
      </c>
      <c r="AB346">
        <v>1</v>
      </c>
      <c r="AC346">
        <v>-1</v>
      </c>
      <c r="AD346">
        <v>-2</v>
      </c>
      <c r="AE346">
        <v>-1</v>
      </c>
      <c r="AF346">
        <v>-1</v>
      </c>
      <c r="AG346">
        <v>-1</v>
      </c>
      <c r="AH346">
        <v>-2</v>
      </c>
    </row>
    <row r="347" spans="1:34" x14ac:dyDescent="0.3">
      <c r="A347" s="42">
        <f t="shared" si="23"/>
        <v>25</v>
      </c>
      <c r="B347" s="44">
        <f t="shared" si="22"/>
        <v>-1.25</v>
      </c>
      <c r="C347">
        <v>-2</v>
      </c>
      <c r="D347">
        <v>-1</v>
      </c>
      <c r="E347">
        <v>-1</v>
      </c>
      <c r="F347">
        <v>-3</v>
      </c>
      <c r="G347">
        <v>-3</v>
      </c>
      <c r="H347">
        <v>-2</v>
      </c>
      <c r="I347">
        <v>-3</v>
      </c>
      <c r="J347">
        <v>1</v>
      </c>
      <c r="K347">
        <v>1</v>
      </c>
      <c r="L347">
        <v>-1</v>
      </c>
      <c r="M347">
        <v>1</v>
      </c>
      <c r="N347">
        <v>-1</v>
      </c>
      <c r="O347">
        <v>-1</v>
      </c>
      <c r="P347">
        <v>-1</v>
      </c>
      <c r="Q347">
        <v>1</v>
      </c>
      <c r="R347">
        <v>-1</v>
      </c>
      <c r="S347">
        <v>-2</v>
      </c>
      <c r="T347">
        <v>-1</v>
      </c>
      <c r="U347">
        <v>-2</v>
      </c>
      <c r="V347">
        <v>-3</v>
      </c>
      <c r="W347">
        <v>-2</v>
      </c>
      <c r="X347">
        <v>-1</v>
      </c>
      <c r="Y347">
        <v>-3</v>
      </c>
      <c r="Z347">
        <v>-1</v>
      </c>
      <c r="AA347">
        <v>-1</v>
      </c>
      <c r="AB347">
        <v>-1</v>
      </c>
      <c r="AC347">
        <v>-2</v>
      </c>
      <c r="AD347">
        <v>1</v>
      </c>
      <c r="AE347">
        <v>-1</v>
      </c>
      <c r="AF347">
        <v>-1</v>
      </c>
      <c r="AG347">
        <v>-2</v>
      </c>
      <c r="AH347">
        <v>-2</v>
      </c>
    </row>
    <row r="348" spans="1:34" x14ac:dyDescent="0.3">
      <c r="A348" s="42">
        <f t="shared" si="23"/>
        <v>26</v>
      </c>
      <c r="B348" s="44">
        <f t="shared" si="22"/>
        <v>-1.21875</v>
      </c>
      <c r="C348">
        <v>-1</v>
      </c>
      <c r="D348">
        <v>-2</v>
      </c>
      <c r="E348">
        <v>-1</v>
      </c>
      <c r="F348">
        <v>-2</v>
      </c>
      <c r="G348">
        <v>-1</v>
      </c>
      <c r="H348">
        <v>-2</v>
      </c>
      <c r="I348">
        <v>-2</v>
      </c>
      <c r="J348">
        <v>-1</v>
      </c>
      <c r="K348">
        <v>1</v>
      </c>
      <c r="L348">
        <v>-1</v>
      </c>
      <c r="M348">
        <v>1</v>
      </c>
      <c r="N348">
        <v>-1</v>
      </c>
      <c r="O348">
        <v>-2</v>
      </c>
      <c r="P348">
        <v>-1</v>
      </c>
      <c r="Q348">
        <v>1</v>
      </c>
      <c r="R348">
        <v>-1</v>
      </c>
      <c r="S348">
        <v>-2</v>
      </c>
      <c r="T348">
        <v>-1</v>
      </c>
      <c r="U348">
        <v>-1</v>
      </c>
      <c r="V348">
        <v>-3</v>
      </c>
      <c r="W348">
        <v>-1</v>
      </c>
      <c r="X348">
        <v>-2</v>
      </c>
      <c r="Y348">
        <v>-3</v>
      </c>
      <c r="Z348">
        <v>-1</v>
      </c>
      <c r="AA348">
        <v>-1</v>
      </c>
      <c r="AB348">
        <v>-1</v>
      </c>
      <c r="AC348">
        <v>-1</v>
      </c>
      <c r="AD348">
        <v>-2</v>
      </c>
      <c r="AE348">
        <v>-1</v>
      </c>
      <c r="AF348">
        <v>-1</v>
      </c>
      <c r="AG348">
        <v>-1</v>
      </c>
      <c r="AH348">
        <v>-2</v>
      </c>
    </row>
    <row r="349" spans="1:34" x14ac:dyDescent="0.3">
      <c r="A349" s="42">
        <f t="shared" si="23"/>
        <v>27</v>
      </c>
      <c r="B349" s="44">
        <f t="shared" si="22"/>
        <v>-0.90625</v>
      </c>
      <c r="C349">
        <v>-1</v>
      </c>
      <c r="D349">
        <v>-1</v>
      </c>
      <c r="E349">
        <v>-1</v>
      </c>
      <c r="F349">
        <v>-3</v>
      </c>
      <c r="G349">
        <v>2</v>
      </c>
      <c r="H349">
        <v>-2</v>
      </c>
      <c r="I349">
        <v>-2</v>
      </c>
      <c r="J349">
        <v>-1</v>
      </c>
      <c r="K349">
        <v>1</v>
      </c>
      <c r="L349">
        <v>-1</v>
      </c>
      <c r="M349">
        <v>1</v>
      </c>
      <c r="N349">
        <v>-1</v>
      </c>
      <c r="O349">
        <v>-1</v>
      </c>
      <c r="P349">
        <v>1</v>
      </c>
      <c r="Q349">
        <v>1</v>
      </c>
      <c r="R349">
        <v>-1</v>
      </c>
      <c r="S349">
        <v>-1</v>
      </c>
      <c r="T349">
        <v>-1</v>
      </c>
      <c r="U349">
        <v>-1</v>
      </c>
      <c r="V349">
        <v>-1</v>
      </c>
      <c r="W349">
        <v>-1</v>
      </c>
      <c r="X349">
        <v>-1</v>
      </c>
      <c r="Y349">
        <v>-3</v>
      </c>
      <c r="Z349">
        <v>-1</v>
      </c>
      <c r="AA349">
        <v>-1</v>
      </c>
      <c r="AB349">
        <v>-1</v>
      </c>
      <c r="AC349">
        <v>-1</v>
      </c>
      <c r="AD349">
        <v>-1</v>
      </c>
      <c r="AE349">
        <v>-1</v>
      </c>
      <c r="AF349">
        <v>-1</v>
      </c>
      <c r="AG349">
        <v>-2</v>
      </c>
      <c r="AH349">
        <v>-2</v>
      </c>
    </row>
    <row r="350" spans="1:34" x14ac:dyDescent="0.3">
      <c r="A350" s="42">
        <f t="shared" si="23"/>
        <v>28</v>
      </c>
      <c r="B350" s="44">
        <f t="shared" si="22"/>
        <v>-0.84375</v>
      </c>
      <c r="C350">
        <v>-1</v>
      </c>
      <c r="D350">
        <v>-2</v>
      </c>
      <c r="E350">
        <v>-1</v>
      </c>
      <c r="F350">
        <v>-2</v>
      </c>
      <c r="G350">
        <v>-3</v>
      </c>
      <c r="H350">
        <v>-1</v>
      </c>
      <c r="I350">
        <v>-2</v>
      </c>
      <c r="J350">
        <v>1</v>
      </c>
      <c r="K350">
        <v>2</v>
      </c>
      <c r="L350">
        <v>-1</v>
      </c>
      <c r="M350">
        <v>2</v>
      </c>
      <c r="N350">
        <v>-1</v>
      </c>
      <c r="O350">
        <v>-1</v>
      </c>
      <c r="P350">
        <v>-1</v>
      </c>
      <c r="Q350">
        <v>1</v>
      </c>
      <c r="R350">
        <v>-1</v>
      </c>
      <c r="S350">
        <v>-1</v>
      </c>
      <c r="T350">
        <v>-1</v>
      </c>
      <c r="U350">
        <v>-1</v>
      </c>
      <c r="V350">
        <v>-1</v>
      </c>
      <c r="W350">
        <v>-1</v>
      </c>
      <c r="X350">
        <v>-1</v>
      </c>
      <c r="Y350">
        <v>-3</v>
      </c>
      <c r="Z350">
        <v>-1</v>
      </c>
      <c r="AA350">
        <v>-1</v>
      </c>
      <c r="AB350">
        <v>-1</v>
      </c>
      <c r="AC350">
        <v>-1</v>
      </c>
      <c r="AD350">
        <v>1</v>
      </c>
      <c r="AE350">
        <v>-1</v>
      </c>
      <c r="AF350">
        <v>-1</v>
      </c>
      <c r="AG350">
        <v>-1</v>
      </c>
      <c r="AH350">
        <v>-1</v>
      </c>
    </row>
    <row r="351" spans="1:34" x14ac:dyDescent="0.3">
      <c r="A351" s="42">
        <f t="shared" si="23"/>
        <v>29</v>
      </c>
      <c r="B351" s="44">
        <f t="shared" si="22"/>
        <v>-1.15625</v>
      </c>
      <c r="C351">
        <v>-1</v>
      </c>
      <c r="D351">
        <v>-1</v>
      </c>
      <c r="E351">
        <v>-1</v>
      </c>
      <c r="F351">
        <v>-3</v>
      </c>
      <c r="G351">
        <v>-3</v>
      </c>
      <c r="H351">
        <v>-2</v>
      </c>
      <c r="I351">
        <v>-2</v>
      </c>
      <c r="J351">
        <v>1</v>
      </c>
      <c r="K351">
        <v>1</v>
      </c>
      <c r="L351">
        <v>-1</v>
      </c>
      <c r="M351">
        <v>1</v>
      </c>
      <c r="N351">
        <v>-1</v>
      </c>
      <c r="O351">
        <v>-1</v>
      </c>
      <c r="P351">
        <v>-1</v>
      </c>
      <c r="Q351">
        <v>1</v>
      </c>
      <c r="R351">
        <v>-1</v>
      </c>
      <c r="S351">
        <v>-1</v>
      </c>
      <c r="T351">
        <v>-2</v>
      </c>
      <c r="U351">
        <v>-1</v>
      </c>
      <c r="V351">
        <v>-3</v>
      </c>
      <c r="W351">
        <v>-2</v>
      </c>
      <c r="X351">
        <v>-1</v>
      </c>
      <c r="Y351">
        <v>-3</v>
      </c>
      <c r="Z351">
        <v>-1</v>
      </c>
      <c r="AA351">
        <v>-1</v>
      </c>
      <c r="AB351">
        <v>-1</v>
      </c>
      <c r="AC351">
        <v>-1</v>
      </c>
      <c r="AD351">
        <v>-1</v>
      </c>
      <c r="AE351">
        <v>-1</v>
      </c>
      <c r="AF351">
        <v>-1</v>
      </c>
      <c r="AG351">
        <v>-1</v>
      </c>
      <c r="AH351">
        <v>-2</v>
      </c>
    </row>
    <row r="352" spans="1:34" x14ac:dyDescent="0.3">
      <c r="A352" s="42">
        <f t="shared" si="23"/>
        <v>30</v>
      </c>
      <c r="B352" s="44">
        <f t="shared" si="22"/>
        <v>-1.09375</v>
      </c>
      <c r="C352">
        <v>2</v>
      </c>
      <c r="D352">
        <v>-2</v>
      </c>
      <c r="E352">
        <v>-1</v>
      </c>
      <c r="F352">
        <v>3</v>
      </c>
      <c r="G352">
        <v>-3</v>
      </c>
      <c r="H352">
        <v>-2</v>
      </c>
      <c r="I352">
        <v>-2</v>
      </c>
      <c r="J352">
        <v>-2</v>
      </c>
      <c r="K352">
        <v>-2</v>
      </c>
      <c r="L352">
        <v>-1</v>
      </c>
      <c r="M352">
        <v>1</v>
      </c>
      <c r="N352">
        <v>-1</v>
      </c>
      <c r="O352">
        <v>-2</v>
      </c>
      <c r="P352">
        <v>-1</v>
      </c>
      <c r="Q352">
        <v>1</v>
      </c>
      <c r="R352">
        <v>-2</v>
      </c>
      <c r="S352">
        <v>-2</v>
      </c>
      <c r="T352">
        <v>-3</v>
      </c>
      <c r="U352">
        <v>-1</v>
      </c>
      <c r="V352">
        <v>1</v>
      </c>
      <c r="W352">
        <v>-1</v>
      </c>
      <c r="X352">
        <v>-2</v>
      </c>
      <c r="Y352">
        <v>-3</v>
      </c>
      <c r="Z352">
        <v>-1</v>
      </c>
      <c r="AA352">
        <v>-1</v>
      </c>
      <c r="AB352">
        <v>-2</v>
      </c>
      <c r="AC352">
        <v>-1</v>
      </c>
      <c r="AD352">
        <v>-3</v>
      </c>
      <c r="AE352">
        <v>-1</v>
      </c>
      <c r="AF352">
        <v>-1</v>
      </c>
      <c r="AG352">
        <v>-1</v>
      </c>
      <c r="AH352">
        <v>1</v>
      </c>
    </row>
    <row r="353" spans="1:34" x14ac:dyDescent="0.3">
      <c r="A353" s="42">
        <f t="shared" si="23"/>
        <v>31</v>
      </c>
      <c r="B353" s="44">
        <f t="shared" si="22"/>
        <v>-1.625</v>
      </c>
      <c r="C353">
        <v>-1</v>
      </c>
      <c r="D353">
        <v>-1</v>
      </c>
      <c r="E353">
        <v>-1</v>
      </c>
      <c r="F353">
        <v>-3</v>
      </c>
      <c r="G353">
        <v>-3</v>
      </c>
      <c r="H353">
        <v>-2</v>
      </c>
      <c r="I353">
        <v>-2</v>
      </c>
      <c r="J353">
        <v>-2</v>
      </c>
      <c r="K353">
        <v>-2</v>
      </c>
      <c r="L353">
        <v>-1</v>
      </c>
      <c r="M353">
        <v>1</v>
      </c>
      <c r="N353">
        <v>-1</v>
      </c>
      <c r="O353">
        <v>-3</v>
      </c>
      <c r="P353">
        <v>-1</v>
      </c>
      <c r="Q353">
        <v>1</v>
      </c>
      <c r="R353">
        <v>-2</v>
      </c>
      <c r="S353">
        <v>-2</v>
      </c>
      <c r="T353">
        <v>-3</v>
      </c>
      <c r="U353">
        <v>-1</v>
      </c>
      <c r="V353">
        <v>-3</v>
      </c>
      <c r="W353">
        <v>-2</v>
      </c>
      <c r="X353">
        <v>-2</v>
      </c>
      <c r="Y353">
        <v>-3</v>
      </c>
      <c r="Z353">
        <v>-1</v>
      </c>
      <c r="AA353">
        <v>-1</v>
      </c>
      <c r="AB353">
        <v>-1</v>
      </c>
      <c r="AC353">
        <v>-1</v>
      </c>
      <c r="AD353">
        <v>-2</v>
      </c>
      <c r="AE353">
        <v>-1</v>
      </c>
      <c r="AF353">
        <v>-1</v>
      </c>
      <c r="AG353">
        <v>-3</v>
      </c>
      <c r="AH353">
        <v>-2</v>
      </c>
    </row>
    <row r="354" spans="1:34" x14ac:dyDescent="0.3">
      <c r="A354" s="42">
        <f t="shared" si="23"/>
        <v>32</v>
      </c>
      <c r="B354" s="44">
        <f t="shared" si="22"/>
        <v>-1.125</v>
      </c>
      <c r="C354">
        <v>-1</v>
      </c>
      <c r="D354">
        <v>-1</v>
      </c>
      <c r="E354">
        <v>-1</v>
      </c>
      <c r="F354">
        <v>-3</v>
      </c>
      <c r="G354">
        <v>-3</v>
      </c>
      <c r="H354">
        <v>-1</v>
      </c>
      <c r="I354">
        <v>-1</v>
      </c>
      <c r="J354">
        <v>-1</v>
      </c>
      <c r="K354">
        <v>-1</v>
      </c>
      <c r="L354">
        <v>-1</v>
      </c>
      <c r="M354">
        <v>1</v>
      </c>
      <c r="N354">
        <v>-1</v>
      </c>
      <c r="O354">
        <v>-2</v>
      </c>
      <c r="P354">
        <v>-1</v>
      </c>
      <c r="Q354">
        <v>1</v>
      </c>
      <c r="R354">
        <v>-1</v>
      </c>
      <c r="S354">
        <v>-1</v>
      </c>
      <c r="T354">
        <v>-2</v>
      </c>
      <c r="U354">
        <v>-1</v>
      </c>
      <c r="V354">
        <v>-2</v>
      </c>
      <c r="W354">
        <v>-2</v>
      </c>
      <c r="X354">
        <v>-1</v>
      </c>
      <c r="Y354">
        <v>-3</v>
      </c>
      <c r="Z354">
        <v>-1</v>
      </c>
      <c r="AA354">
        <v>-1</v>
      </c>
      <c r="AB354">
        <v>-1</v>
      </c>
      <c r="AC354">
        <v>-1</v>
      </c>
      <c r="AD354">
        <v>1</v>
      </c>
      <c r="AE354">
        <v>-1</v>
      </c>
      <c r="AF354">
        <v>-1</v>
      </c>
      <c r="AG354">
        <v>-1</v>
      </c>
      <c r="AH354">
        <v>-1</v>
      </c>
    </row>
    <row r="355" spans="1:34" x14ac:dyDescent="0.3">
      <c r="A355" s="42">
        <f t="shared" si="23"/>
        <v>33</v>
      </c>
      <c r="B355" s="44">
        <f t="shared" si="22"/>
        <v>-0.65625</v>
      </c>
      <c r="C355">
        <v>-1</v>
      </c>
      <c r="D355">
        <v>-1</v>
      </c>
      <c r="E355">
        <v>-1</v>
      </c>
      <c r="F355">
        <v>-2</v>
      </c>
      <c r="G355">
        <v>3</v>
      </c>
      <c r="H355">
        <v>-1</v>
      </c>
      <c r="I355">
        <v>2</v>
      </c>
      <c r="J355">
        <v>-1</v>
      </c>
      <c r="K355">
        <v>1</v>
      </c>
      <c r="L355">
        <v>-1</v>
      </c>
      <c r="M355">
        <v>2</v>
      </c>
      <c r="N355">
        <v>-1</v>
      </c>
      <c r="O355">
        <v>-1</v>
      </c>
      <c r="P355">
        <v>-1</v>
      </c>
      <c r="Q355">
        <v>1</v>
      </c>
      <c r="R355">
        <v>-1</v>
      </c>
      <c r="S355">
        <v>-1</v>
      </c>
      <c r="T355">
        <v>-1</v>
      </c>
      <c r="U355">
        <v>-1</v>
      </c>
      <c r="V355">
        <v>-2</v>
      </c>
      <c r="W355">
        <v>-2</v>
      </c>
      <c r="X355">
        <v>-1</v>
      </c>
      <c r="Y355">
        <v>-3</v>
      </c>
      <c r="Z355">
        <v>-1</v>
      </c>
      <c r="AA355">
        <v>-1</v>
      </c>
      <c r="AB355">
        <v>-1</v>
      </c>
      <c r="AC355">
        <v>-1</v>
      </c>
      <c r="AD355">
        <v>-2</v>
      </c>
      <c r="AE355">
        <v>-1</v>
      </c>
      <c r="AF355">
        <v>-1</v>
      </c>
      <c r="AG355">
        <v>2</v>
      </c>
      <c r="AH355">
        <v>-1</v>
      </c>
    </row>
    <row r="356" spans="1:34" x14ac:dyDescent="0.3">
      <c r="A356" s="42">
        <f t="shared" si="23"/>
        <v>34</v>
      </c>
      <c r="B356" s="44">
        <f t="shared" si="22"/>
        <v>-1.25</v>
      </c>
      <c r="C356">
        <v>1</v>
      </c>
      <c r="D356">
        <v>-2</v>
      </c>
      <c r="E356">
        <v>-2</v>
      </c>
      <c r="F356">
        <v>1</v>
      </c>
      <c r="G356">
        <v>-3</v>
      </c>
      <c r="H356">
        <v>-2</v>
      </c>
      <c r="I356">
        <v>-1</v>
      </c>
      <c r="J356">
        <v>-1</v>
      </c>
      <c r="K356">
        <v>-2</v>
      </c>
      <c r="L356">
        <v>-1</v>
      </c>
      <c r="M356">
        <v>-2</v>
      </c>
      <c r="N356">
        <v>-2</v>
      </c>
      <c r="O356">
        <v>-2</v>
      </c>
      <c r="P356">
        <v>1</v>
      </c>
      <c r="Q356">
        <v>1</v>
      </c>
      <c r="R356">
        <v>-2</v>
      </c>
      <c r="S356">
        <v>-2</v>
      </c>
      <c r="T356">
        <v>-1</v>
      </c>
      <c r="U356">
        <v>-1</v>
      </c>
      <c r="V356">
        <v>-3</v>
      </c>
      <c r="W356">
        <v>-2</v>
      </c>
      <c r="X356">
        <v>-3</v>
      </c>
      <c r="Y356">
        <v>-3</v>
      </c>
      <c r="Z356">
        <v>-1</v>
      </c>
      <c r="AA356">
        <v>-1</v>
      </c>
      <c r="AB356">
        <v>1</v>
      </c>
      <c r="AC356">
        <v>-1</v>
      </c>
      <c r="AD356">
        <v>-3</v>
      </c>
      <c r="AE356">
        <v>-1</v>
      </c>
      <c r="AF356">
        <v>-1</v>
      </c>
      <c r="AG356">
        <v>2</v>
      </c>
      <c r="AH356">
        <v>-2</v>
      </c>
    </row>
    <row r="357" spans="1:34" x14ac:dyDescent="0.3">
      <c r="A357" s="42">
        <f t="shared" si="23"/>
        <v>35</v>
      </c>
      <c r="B357" s="44">
        <f t="shared" si="22"/>
        <v>-0.8125</v>
      </c>
      <c r="C357">
        <v>-1</v>
      </c>
      <c r="D357">
        <v>1</v>
      </c>
      <c r="E357">
        <v>-2</v>
      </c>
      <c r="F357">
        <v>-1</v>
      </c>
      <c r="G357">
        <v>1</v>
      </c>
      <c r="H357">
        <v>-2</v>
      </c>
      <c r="I357">
        <v>2</v>
      </c>
      <c r="J357">
        <v>1</v>
      </c>
      <c r="K357">
        <v>-2</v>
      </c>
      <c r="L357">
        <v>-2</v>
      </c>
      <c r="M357">
        <v>1</v>
      </c>
      <c r="N357">
        <v>-1</v>
      </c>
      <c r="O357">
        <v>-1</v>
      </c>
      <c r="P357">
        <v>-1</v>
      </c>
      <c r="Q357">
        <v>1</v>
      </c>
      <c r="R357">
        <v>-1</v>
      </c>
      <c r="S357">
        <v>-1</v>
      </c>
      <c r="T357">
        <v>-1</v>
      </c>
      <c r="U357">
        <v>1</v>
      </c>
      <c r="V357">
        <v>-2</v>
      </c>
      <c r="W357">
        <v>-2</v>
      </c>
      <c r="X357">
        <v>-1</v>
      </c>
      <c r="Y357">
        <v>-3</v>
      </c>
      <c r="Z357">
        <v>-1</v>
      </c>
      <c r="AA357">
        <v>-1</v>
      </c>
      <c r="AB357">
        <v>-2</v>
      </c>
      <c r="AC357">
        <v>-1</v>
      </c>
      <c r="AD357">
        <v>-2</v>
      </c>
      <c r="AE357">
        <v>-1</v>
      </c>
      <c r="AF357">
        <v>-1</v>
      </c>
      <c r="AG357">
        <v>1</v>
      </c>
      <c r="AH357">
        <v>-2</v>
      </c>
    </row>
    <row r="358" spans="1:34" x14ac:dyDescent="0.3">
      <c r="A358" s="42">
        <f t="shared" si="23"/>
        <v>36</v>
      </c>
      <c r="B358" s="44">
        <f t="shared" si="22"/>
        <v>-0.9375</v>
      </c>
      <c r="C358">
        <v>-1</v>
      </c>
      <c r="D358">
        <v>-1</v>
      </c>
      <c r="E358">
        <v>-1</v>
      </c>
      <c r="F358">
        <v>-3</v>
      </c>
      <c r="G358">
        <v>-2</v>
      </c>
      <c r="H358">
        <v>-1</v>
      </c>
      <c r="I358">
        <v>2</v>
      </c>
      <c r="J358">
        <v>-2</v>
      </c>
      <c r="K358">
        <v>1</v>
      </c>
      <c r="L358">
        <v>-1</v>
      </c>
      <c r="M358">
        <v>2</v>
      </c>
      <c r="N358">
        <v>-1</v>
      </c>
      <c r="O358">
        <v>-1</v>
      </c>
      <c r="P358">
        <v>1</v>
      </c>
      <c r="Q358">
        <v>1</v>
      </c>
      <c r="R358">
        <v>-1</v>
      </c>
      <c r="S358">
        <v>-1</v>
      </c>
      <c r="T358">
        <v>-1</v>
      </c>
      <c r="U358">
        <v>-2</v>
      </c>
      <c r="V358">
        <v>-1</v>
      </c>
      <c r="W358">
        <v>-2</v>
      </c>
      <c r="X358">
        <v>-1</v>
      </c>
      <c r="Y358">
        <v>-3</v>
      </c>
      <c r="Z358">
        <v>1</v>
      </c>
      <c r="AA358">
        <v>-2</v>
      </c>
      <c r="AB358">
        <v>-1</v>
      </c>
      <c r="AC358">
        <v>-1</v>
      </c>
      <c r="AD358">
        <v>-1</v>
      </c>
      <c r="AE358">
        <v>-1</v>
      </c>
      <c r="AF358">
        <v>-1</v>
      </c>
      <c r="AG358">
        <v>-3</v>
      </c>
      <c r="AH358">
        <v>-2</v>
      </c>
    </row>
    <row r="359" spans="1:34" x14ac:dyDescent="0.3">
      <c r="A359" s="42">
        <f t="shared" si="23"/>
        <v>37</v>
      </c>
      <c r="B359" s="44">
        <f t="shared" si="22"/>
        <v>-9.375E-2</v>
      </c>
      <c r="C359">
        <v>-3</v>
      </c>
      <c r="D359">
        <v>-2</v>
      </c>
      <c r="E359">
        <v>1</v>
      </c>
      <c r="F359">
        <v>-3</v>
      </c>
      <c r="G359">
        <v>3</v>
      </c>
      <c r="H359">
        <v>-1</v>
      </c>
      <c r="I359">
        <v>1</v>
      </c>
      <c r="J359">
        <v>1</v>
      </c>
      <c r="K359">
        <v>1</v>
      </c>
      <c r="L359">
        <v>-1</v>
      </c>
      <c r="M359">
        <v>-2</v>
      </c>
      <c r="N359">
        <v>1</v>
      </c>
      <c r="O359">
        <v>1</v>
      </c>
      <c r="P359">
        <v>-1</v>
      </c>
      <c r="Q359">
        <v>1</v>
      </c>
      <c r="R359">
        <v>-1</v>
      </c>
      <c r="S359">
        <v>-1</v>
      </c>
      <c r="T359">
        <v>-1</v>
      </c>
      <c r="U359">
        <v>1</v>
      </c>
      <c r="V359">
        <v>1</v>
      </c>
      <c r="W359">
        <v>-1</v>
      </c>
      <c r="X359">
        <v>-1</v>
      </c>
      <c r="Y359">
        <v>3</v>
      </c>
      <c r="Z359">
        <v>-1</v>
      </c>
      <c r="AA359">
        <v>2</v>
      </c>
      <c r="AB359">
        <v>1</v>
      </c>
      <c r="AC359">
        <v>-1</v>
      </c>
      <c r="AD359">
        <v>-2</v>
      </c>
      <c r="AE359">
        <v>1</v>
      </c>
      <c r="AF359">
        <v>-2</v>
      </c>
      <c r="AG359">
        <v>1</v>
      </c>
      <c r="AH359">
        <v>1</v>
      </c>
    </row>
    <row r="360" spans="1:34" x14ac:dyDescent="0.3">
      <c r="A360" s="42">
        <f t="shared" si="23"/>
        <v>38</v>
      </c>
      <c r="B360" s="44">
        <f t="shared" si="22"/>
        <v>-0.59375</v>
      </c>
      <c r="C360">
        <v>1</v>
      </c>
      <c r="D360">
        <v>-1</v>
      </c>
      <c r="E360">
        <v>-1</v>
      </c>
      <c r="F360">
        <v>-3</v>
      </c>
      <c r="G360">
        <v>-3</v>
      </c>
      <c r="H360">
        <v>-2</v>
      </c>
      <c r="I360">
        <v>-1</v>
      </c>
      <c r="J360">
        <v>1</v>
      </c>
      <c r="K360">
        <v>1</v>
      </c>
      <c r="L360">
        <v>-2</v>
      </c>
      <c r="M360">
        <v>1</v>
      </c>
      <c r="N360">
        <v>-1</v>
      </c>
      <c r="O360">
        <v>-1</v>
      </c>
      <c r="P360">
        <v>-1</v>
      </c>
      <c r="Q360">
        <v>1</v>
      </c>
      <c r="R360">
        <v>-1</v>
      </c>
      <c r="S360">
        <v>-1</v>
      </c>
      <c r="T360">
        <v>-2</v>
      </c>
      <c r="U360">
        <v>1</v>
      </c>
      <c r="V360">
        <v>1</v>
      </c>
      <c r="W360">
        <v>-1</v>
      </c>
      <c r="X360">
        <v>-1</v>
      </c>
      <c r="Y360">
        <v>-3</v>
      </c>
      <c r="Z360">
        <v>-1</v>
      </c>
      <c r="AA360">
        <v>1</v>
      </c>
      <c r="AB360">
        <v>-1</v>
      </c>
      <c r="AC360">
        <v>-1</v>
      </c>
      <c r="AD360">
        <v>1</v>
      </c>
      <c r="AE360">
        <v>-1</v>
      </c>
      <c r="AF360">
        <v>-1</v>
      </c>
      <c r="AG360">
        <v>1</v>
      </c>
      <c r="AH360">
        <v>1</v>
      </c>
    </row>
    <row r="361" spans="1:34" x14ac:dyDescent="0.3">
      <c r="A361" s="42">
        <f t="shared" si="23"/>
        <v>39</v>
      </c>
      <c r="B361" s="44">
        <f t="shared" si="22"/>
        <v>-0.78125</v>
      </c>
      <c r="C361">
        <v>1</v>
      </c>
      <c r="D361">
        <v>-1</v>
      </c>
      <c r="E361">
        <v>-1</v>
      </c>
      <c r="F361">
        <v>-2</v>
      </c>
      <c r="G361">
        <v>-2</v>
      </c>
      <c r="H361">
        <v>-1</v>
      </c>
      <c r="I361">
        <v>1</v>
      </c>
      <c r="J361">
        <v>1</v>
      </c>
      <c r="K361">
        <v>1</v>
      </c>
      <c r="L361">
        <v>-1</v>
      </c>
      <c r="M361">
        <v>2</v>
      </c>
      <c r="N361">
        <v>-1</v>
      </c>
      <c r="O361">
        <v>-2</v>
      </c>
      <c r="P361">
        <v>-1</v>
      </c>
      <c r="Q361">
        <v>1</v>
      </c>
      <c r="R361">
        <v>-1</v>
      </c>
      <c r="S361">
        <v>-1</v>
      </c>
      <c r="T361">
        <v>-1</v>
      </c>
      <c r="U361">
        <v>-1</v>
      </c>
      <c r="V361">
        <v>-2</v>
      </c>
      <c r="W361">
        <v>-2</v>
      </c>
      <c r="X361">
        <v>-1</v>
      </c>
      <c r="Y361">
        <v>-3</v>
      </c>
      <c r="Z361">
        <v>-1</v>
      </c>
      <c r="AA361">
        <v>-1</v>
      </c>
      <c r="AB361">
        <v>-1</v>
      </c>
      <c r="AC361">
        <v>-1</v>
      </c>
      <c r="AD361">
        <v>-1</v>
      </c>
      <c r="AE361">
        <v>-1</v>
      </c>
      <c r="AF361">
        <v>-1</v>
      </c>
      <c r="AG361">
        <v>1</v>
      </c>
      <c r="AH361">
        <v>-2</v>
      </c>
    </row>
    <row r="362" spans="1:34" x14ac:dyDescent="0.3">
      <c r="A362" s="42">
        <f t="shared" si="23"/>
        <v>40</v>
      </c>
      <c r="B362" s="44">
        <f t="shared" si="22"/>
        <v>-1.53125</v>
      </c>
      <c r="C362">
        <v>2</v>
      </c>
      <c r="D362">
        <v>1</v>
      </c>
      <c r="E362">
        <v>-2</v>
      </c>
      <c r="F362">
        <v>3</v>
      </c>
      <c r="G362">
        <v>-2</v>
      </c>
      <c r="H362">
        <v>-2</v>
      </c>
      <c r="I362">
        <v>-3</v>
      </c>
      <c r="J362">
        <v>-3</v>
      </c>
      <c r="K362">
        <v>-2</v>
      </c>
      <c r="L362">
        <v>-2</v>
      </c>
      <c r="M362">
        <v>-3</v>
      </c>
      <c r="N362">
        <v>-1</v>
      </c>
      <c r="O362">
        <v>-3</v>
      </c>
      <c r="P362">
        <v>1</v>
      </c>
      <c r="Q362">
        <v>1</v>
      </c>
      <c r="R362">
        <v>-3</v>
      </c>
      <c r="S362">
        <v>-2</v>
      </c>
      <c r="T362">
        <v>-3</v>
      </c>
      <c r="U362">
        <v>-2</v>
      </c>
      <c r="V362">
        <v>-3</v>
      </c>
      <c r="W362">
        <v>-3</v>
      </c>
      <c r="X362">
        <v>-3</v>
      </c>
      <c r="Y362">
        <v>-3</v>
      </c>
      <c r="Z362">
        <v>-2</v>
      </c>
      <c r="AA362">
        <v>-2</v>
      </c>
      <c r="AB362">
        <v>1</v>
      </c>
      <c r="AC362">
        <v>-2</v>
      </c>
      <c r="AD362">
        <v>2</v>
      </c>
      <c r="AE362">
        <v>-1</v>
      </c>
      <c r="AF362">
        <v>-3</v>
      </c>
      <c r="AG362">
        <v>-3</v>
      </c>
      <c r="AH362">
        <v>-2</v>
      </c>
    </row>
    <row r="363" spans="1:34" x14ac:dyDescent="0.3">
      <c r="A363" s="42">
        <f t="shared" si="23"/>
        <v>41</v>
      </c>
      <c r="B363" s="44">
        <f t="shared" si="22"/>
        <v>-1</v>
      </c>
      <c r="C363">
        <v>1</v>
      </c>
      <c r="D363">
        <v>-2</v>
      </c>
      <c r="E363">
        <v>-2</v>
      </c>
      <c r="F363">
        <v>-2</v>
      </c>
      <c r="G363">
        <v>-3</v>
      </c>
      <c r="H363">
        <v>-2</v>
      </c>
      <c r="I363">
        <v>1</v>
      </c>
      <c r="J363">
        <v>2</v>
      </c>
      <c r="K363">
        <v>-1</v>
      </c>
      <c r="L363">
        <v>-2</v>
      </c>
      <c r="M363">
        <v>-2</v>
      </c>
      <c r="N363">
        <v>-1</v>
      </c>
      <c r="O363">
        <v>-2</v>
      </c>
      <c r="P363">
        <v>1</v>
      </c>
      <c r="Q363">
        <v>1</v>
      </c>
      <c r="R363">
        <v>-1</v>
      </c>
      <c r="S363">
        <v>-2</v>
      </c>
      <c r="T363">
        <v>-1</v>
      </c>
      <c r="U363">
        <v>-2</v>
      </c>
      <c r="V363">
        <v>-2</v>
      </c>
      <c r="W363">
        <v>-3</v>
      </c>
      <c r="X363">
        <v>-3</v>
      </c>
      <c r="Y363">
        <v>3</v>
      </c>
      <c r="Z363">
        <v>-1</v>
      </c>
      <c r="AA363">
        <v>-2</v>
      </c>
      <c r="AB363">
        <v>-2</v>
      </c>
      <c r="AC363">
        <v>-1</v>
      </c>
      <c r="AD363">
        <v>1</v>
      </c>
      <c r="AE363">
        <v>2</v>
      </c>
      <c r="AF363">
        <v>-2</v>
      </c>
      <c r="AG363">
        <v>-1</v>
      </c>
      <c r="AH363">
        <v>-2</v>
      </c>
    </row>
    <row r="364" spans="1:34" x14ac:dyDescent="0.3">
      <c r="A364" s="42">
        <f t="shared" si="23"/>
        <v>42</v>
      </c>
      <c r="B364" s="44">
        <f t="shared" si="22"/>
        <v>-0.8125</v>
      </c>
      <c r="C364">
        <v>-3</v>
      </c>
      <c r="D364">
        <v>-1</v>
      </c>
      <c r="E364">
        <v>-1</v>
      </c>
      <c r="F364">
        <v>-3</v>
      </c>
      <c r="G364">
        <v>-2</v>
      </c>
      <c r="H364">
        <v>-1</v>
      </c>
      <c r="I364">
        <v>-2</v>
      </c>
      <c r="J364">
        <v>1</v>
      </c>
      <c r="K364">
        <v>1</v>
      </c>
      <c r="L364">
        <v>-2</v>
      </c>
      <c r="M364">
        <v>1</v>
      </c>
      <c r="N364">
        <v>-1</v>
      </c>
      <c r="O364">
        <v>-1</v>
      </c>
      <c r="P364">
        <v>-1</v>
      </c>
      <c r="Q364">
        <v>1</v>
      </c>
      <c r="R364">
        <v>-1</v>
      </c>
      <c r="S364">
        <v>-1</v>
      </c>
      <c r="T364">
        <v>-1</v>
      </c>
      <c r="U364">
        <v>-1</v>
      </c>
      <c r="V364">
        <v>2</v>
      </c>
      <c r="W364">
        <v>-2</v>
      </c>
      <c r="X364">
        <v>-1</v>
      </c>
      <c r="Y364">
        <v>-3</v>
      </c>
      <c r="Z364">
        <v>-1</v>
      </c>
      <c r="AA364">
        <v>-1</v>
      </c>
      <c r="AB364">
        <v>-1</v>
      </c>
      <c r="AC364">
        <v>-1</v>
      </c>
      <c r="AD364">
        <v>-2</v>
      </c>
      <c r="AE364">
        <v>-1</v>
      </c>
      <c r="AF364">
        <v>-1</v>
      </c>
      <c r="AG364">
        <v>3</v>
      </c>
      <c r="AH364">
        <v>1</v>
      </c>
    </row>
    <row r="365" spans="1:34" x14ac:dyDescent="0.3">
      <c r="A365" s="42">
        <f t="shared" si="23"/>
        <v>43</v>
      </c>
      <c r="B365" s="44">
        <f t="shared" si="22"/>
        <v>-0.1875</v>
      </c>
      <c r="C365">
        <v>-1</v>
      </c>
      <c r="D365">
        <v>2</v>
      </c>
      <c r="E365">
        <v>-1</v>
      </c>
      <c r="F365">
        <v>3</v>
      </c>
      <c r="G365">
        <v>-2</v>
      </c>
      <c r="H365">
        <v>1</v>
      </c>
      <c r="I365">
        <v>-2</v>
      </c>
      <c r="J365">
        <v>-1</v>
      </c>
      <c r="K365">
        <v>1</v>
      </c>
      <c r="L365">
        <v>1</v>
      </c>
      <c r="M365">
        <v>2</v>
      </c>
      <c r="N365">
        <v>-1</v>
      </c>
      <c r="O365">
        <v>1</v>
      </c>
      <c r="P365">
        <v>1</v>
      </c>
      <c r="Q365">
        <v>1</v>
      </c>
      <c r="R365">
        <v>-1</v>
      </c>
      <c r="S365">
        <v>-1</v>
      </c>
      <c r="T365">
        <v>-1</v>
      </c>
      <c r="U365">
        <v>-1</v>
      </c>
      <c r="V365">
        <v>3</v>
      </c>
      <c r="W365">
        <v>-2</v>
      </c>
      <c r="X365">
        <v>1</v>
      </c>
      <c r="Y365">
        <v>-3</v>
      </c>
      <c r="Z365">
        <v>-1</v>
      </c>
      <c r="AA365">
        <v>-1</v>
      </c>
      <c r="AB365">
        <v>-1</v>
      </c>
      <c r="AC365">
        <v>-1</v>
      </c>
      <c r="AD365">
        <v>-2</v>
      </c>
      <c r="AE365">
        <v>1</v>
      </c>
      <c r="AF365">
        <v>-1</v>
      </c>
      <c r="AG365">
        <v>-1</v>
      </c>
      <c r="AH365">
        <v>1</v>
      </c>
    </row>
    <row r="366" spans="1:34" x14ac:dyDescent="0.3">
      <c r="A366" s="42">
        <f t="shared" si="23"/>
        <v>44</v>
      </c>
      <c r="B366" s="44">
        <f t="shared" si="22"/>
        <v>9.375E-2</v>
      </c>
      <c r="C366">
        <v>1</v>
      </c>
      <c r="D366">
        <v>-1</v>
      </c>
      <c r="E366">
        <v>-1</v>
      </c>
      <c r="F366">
        <v>3</v>
      </c>
      <c r="G366">
        <v>3</v>
      </c>
      <c r="H366">
        <v>-1</v>
      </c>
      <c r="I366">
        <v>2</v>
      </c>
      <c r="J366">
        <v>1</v>
      </c>
      <c r="K366">
        <v>1</v>
      </c>
      <c r="L366">
        <v>-1</v>
      </c>
      <c r="M366">
        <v>2</v>
      </c>
      <c r="N366">
        <v>-1</v>
      </c>
      <c r="O366">
        <v>1</v>
      </c>
      <c r="P366">
        <v>-1</v>
      </c>
      <c r="Q366">
        <v>1</v>
      </c>
      <c r="R366">
        <v>-1</v>
      </c>
      <c r="S366">
        <v>2</v>
      </c>
      <c r="T366">
        <v>-1</v>
      </c>
      <c r="U366">
        <v>1</v>
      </c>
      <c r="V366">
        <v>1</v>
      </c>
      <c r="W366">
        <v>-2</v>
      </c>
      <c r="X366">
        <v>1</v>
      </c>
      <c r="Y366">
        <v>-3</v>
      </c>
      <c r="Z366">
        <v>1</v>
      </c>
      <c r="AA366">
        <v>-2</v>
      </c>
      <c r="AB366">
        <v>1</v>
      </c>
      <c r="AC366">
        <v>-1</v>
      </c>
      <c r="AD366">
        <v>-1</v>
      </c>
      <c r="AE366">
        <v>-1</v>
      </c>
      <c r="AF366">
        <v>-1</v>
      </c>
      <c r="AG366">
        <v>-1</v>
      </c>
      <c r="AH366">
        <v>1</v>
      </c>
    </row>
    <row r="367" spans="1:34" x14ac:dyDescent="0.3">
      <c r="A367" s="42">
        <f t="shared" si="23"/>
        <v>45</v>
      </c>
      <c r="B367" s="44">
        <f t="shared" si="22"/>
        <v>0.375</v>
      </c>
      <c r="C367">
        <v>-2</v>
      </c>
      <c r="D367">
        <v>2</v>
      </c>
      <c r="E367">
        <v>1</v>
      </c>
      <c r="F367">
        <v>-2</v>
      </c>
      <c r="G367">
        <v>2</v>
      </c>
      <c r="H367">
        <v>1</v>
      </c>
      <c r="I367">
        <v>3</v>
      </c>
      <c r="J367">
        <v>1</v>
      </c>
      <c r="K367">
        <v>1</v>
      </c>
      <c r="L367">
        <v>1</v>
      </c>
      <c r="M367">
        <v>2</v>
      </c>
      <c r="N367">
        <v>-1</v>
      </c>
      <c r="O367">
        <v>2</v>
      </c>
      <c r="P367">
        <v>-1</v>
      </c>
      <c r="Q367">
        <v>-1</v>
      </c>
      <c r="R367">
        <v>-1</v>
      </c>
      <c r="S367">
        <v>3</v>
      </c>
      <c r="T367">
        <v>1</v>
      </c>
      <c r="U367">
        <v>2</v>
      </c>
      <c r="V367">
        <v>1</v>
      </c>
      <c r="W367">
        <v>-3</v>
      </c>
      <c r="X367">
        <v>-1</v>
      </c>
      <c r="Y367">
        <v>3</v>
      </c>
      <c r="Z367">
        <v>-1</v>
      </c>
      <c r="AA367">
        <v>2</v>
      </c>
      <c r="AB367">
        <v>-1</v>
      </c>
      <c r="AC367">
        <v>-1</v>
      </c>
      <c r="AD367">
        <v>-2</v>
      </c>
      <c r="AE367">
        <v>-2</v>
      </c>
      <c r="AF367">
        <v>-1</v>
      </c>
      <c r="AG367">
        <v>3</v>
      </c>
      <c r="AH367">
        <v>1</v>
      </c>
    </row>
    <row r="368" spans="1:34" x14ac:dyDescent="0.3">
      <c r="A368" s="42">
        <f t="shared" si="23"/>
        <v>46</v>
      </c>
      <c r="B368" s="44">
        <f t="shared" si="22"/>
        <v>0.5625</v>
      </c>
      <c r="C368">
        <v>2</v>
      </c>
      <c r="D368">
        <v>2</v>
      </c>
      <c r="E368">
        <v>1</v>
      </c>
      <c r="F368">
        <v>3</v>
      </c>
      <c r="G368">
        <v>3</v>
      </c>
      <c r="H368">
        <v>-2</v>
      </c>
      <c r="I368">
        <v>3</v>
      </c>
      <c r="J368">
        <v>2</v>
      </c>
      <c r="K368">
        <v>1</v>
      </c>
      <c r="L368">
        <v>1</v>
      </c>
      <c r="M368">
        <v>1</v>
      </c>
      <c r="N368">
        <v>-1</v>
      </c>
      <c r="O368">
        <v>2</v>
      </c>
      <c r="P368">
        <v>1</v>
      </c>
      <c r="Q368">
        <v>1</v>
      </c>
      <c r="R368">
        <v>-1</v>
      </c>
      <c r="S368">
        <v>3</v>
      </c>
      <c r="T368">
        <v>3</v>
      </c>
      <c r="U368">
        <v>-1</v>
      </c>
      <c r="V368">
        <v>-3</v>
      </c>
      <c r="W368">
        <v>-1</v>
      </c>
      <c r="X368">
        <v>2</v>
      </c>
      <c r="Y368">
        <v>-3</v>
      </c>
      <c r="Z368">
        <v>-2</v>
      </c>
      <c r="AA368">
        <v>1</v>
      </c>
      <c r="AB368">
        <v>1</v>
      </c>
      <c r="AC368">
        <v>-2</v>
      </c>
      <c r="AD368">
        <v>2</v>
      </c>
      <c r="AE368">
        <v>1</v>
      </c>
      <c r="AF368">
        <v>-1</v>
      </c>
      <c r="AG368">
        <v>-3</v>
      </c>
      <c r="AH368">
        <v>2</v>
      </c>
    </row>
    <row r="369" spans="1:34" x14ac:dyDescent="0.3">
      <c r="A369" s="42">
        <f t="shared" si="23"/>
        <v>47</v>
      </c>
      <c r="B369" s="44">
        <f t="shared" si="22"/>
        <v>-0.78125</v>
      </c>
      <c r="C369">
        <v>1</v>
      </c>
      <c r="D369">
        <v>-1</v>
      </c>
      <c r="E369">
        <v>-1</v>
      </c>
      <c r="F369">
        <v>-3</v>
      </c>
      <c r="G369">
        <v>-1</v>
      </c>
      <c r="H369">
        <v>-1</v>
      </c>
      <c r="I369">
        <v>-1</v>
      </c>
      <c r="J369">
        <v>-1</v>
      </c>
      <c r="K369">
        <v>1</v>
      </c>
      <c r="L369">
        <v>-1</v>
      </c>
      <c r="M369">
        <v>2</v>
      </c>
      <c r="N369">
        <v>-1</v>
      </c>
      <c r="O369">
        <v>-1</v>
      </c>
      <c r="P369">
        <v>-1</v>
      </c>
      <c r="Q369">
        <v>-1</v>
      </c>
      <c r="R369">
        <v>-1</v>
      </c>
      <c r="S369">
        <v>-1</v>
      </c>
      <c r="T369">
        <v>-1</v>
      </c>
      <c r="U369">
        <v>-1</v>
      </c>
      <c r="V369">
        <v>-1</v>
      </c>
      <c r="W369">
        <v>-1</v>
      </c>
      <c r="X369">
        <v>1</v>
      </c>
      <c r="Y369">
        <v>-3</v>
      </c>
      <c r="Z369">
        <v>-1</v>
      </c>
      <c r="AA369">
        <v>-1</v>
      </c>
      <c r="AB369">
        <v>-1</v>
      </c>
      <c r="AC369">
        <v>-1</v>
      </c>
      <c r="AD369">
        <v>-1</v>
      </c>
      <c r="AE369">
        <v>-1</v>
      </c>
      <c r="AF369">
        <v>-1</v>
      </c>
      <c r="AG369">
        <v>-1</v>
      </c>
      <c r="AH369">
        <v>1</v>
      </c>
    </row>
    <row r="370" spans="1:34" x14ac:dyDescent="0.3">
      <c r="A370" s="42">
        <f t="shared" si="23"/>
        <v>48</v>
      </c>
      <c r="B370" s="44">
        <f t="shared" si="22"/>
        <v>-1.15625</v>
      </c>
      <c r="C370">
        <v>-1</v>
      </c>
      <c r="D370">
        <v>-2</v>
      </c>
      <c r="E370">
        <v>-2</v>
      </c>
      <c r="F370">
        <v>-1</v>
      </c>
      <c r="G370">
        <v>-2</v>
      </c>
      <c r="H370">
        <v>-2</v>
      </c>
      <c r="I370">
        <v>-1</v>
      </c>
      <c r="J370">
        <v>-1</v>
      </c>
      <c r="K370">
        <v>-3</v>
      </c>
      <c r="L370">
        <v>-1</v>
      </c>
      <c r="M370">
        <v>2</v>
      </c>
      <c r="N370">
        <v>-1</v>
      </c>
      <c r="O370">
        <v>-2</v>
      </c>
      <c r="P370">
        <v>-1</v>
      </c>
      <c r="Q370">
        <v>1</v>
      </c>
      <c r="R370">
        <v>-1</v>
      </c>
      <c r="S370">
        <v>-1</v>
      </c>
      <c r="T370">
        <v>-1</v>
      </c>
      <c r="U370">
        <v>1</v>
      </c>
      <c r="V370">
        <v>-1</v>
      </c>
      <c r="W370">
        <v>-1</v>
      </c>
      <c r="X370">
        <v>-1</v>
      </c>
      <c r="Y370">
        <v>-3</v>
      </c>
      <c r="Z370">
        <v>-1</v>
      </c>
      <c r="AA370">
        <v>-1</v>
      </c>
      <c r="AB370">
        <v>-2</v>
      </c>
      <c r="AC370">
        <v>-1</v>
      </c>
      <c r="AD370">
        <v>-2</v>
      </c>
      <c r="AE370">
        <v>-1</v>
      </c>
      <c r="AF370">
        <v>-1</v>
      </c>
      <c r="AG370">
        <v>-2</v>
      </c>
      <c r="AH370">
        <v>-1</v>
      </c>
    </row>
    <row r="371" spans="1:34" x14ac:dyDescent="0.3">
      <c r="A371" s="42">
        <f t="shared" si="23"/>
        <v>49</v>
      </c>
      <c r="B371" s="44">
        <f t="shared" si="22"/>
        <v>-1.34375</v>
      </c>
      <c r="C371">
        <v>-2</v>
      </c>
      <c r="D371">
        <v>-1</v>
      </c>
      <c r="E371">
        <v>-2</v>
      </c>
      <c r="F371">
        <v>-3</v>
      </c>
      <c r="G371">
        <v>-2</v>
      </c>
      <c r="H371">
        <v>-1</v>
      </c>
      <c r="I371">
        <v>-2</v>
      </c>
      <c r="J371">
        <v>-2</v>
      </c>
      <c r="K371">
        <v>-2</v>
      </c>
      <c r="L371">
        <v>-1</v>
      </c>
      <c r="M371">
        <v>1</v>
      </c>
      <c r="N371">
        <v>-1</v>
      </c>
      <c r="O371">
        <v>-1</v>
      </c>
      <c r="P371">
        <v>-1</v>
      </c>
      <c r="Q371">
        <v>1</v>
      </c>
      <c r="R371">
        <v>-1</v>
      </c>
      <c r="S371">
        <v>-1</v>
      </c>
      <c r="T371">
        <v>-2</v>
      </c>
      <c r="U371">
        <v>-2</v>
      </c>
      <c r="V371">
        <v>-3</v>
      </c>
      <c r="W371">
        <v>-2</v>
      </c>
      <c r="X371">
        <v>-2</v>
      </c>
      <c r="Y371">
        <v>-3</v>
      </c>
      <c r="Z371">
        <v>-1</v>
      </c>
      <c r="AA371">
        <v>-1</v>
      </c>
      <c r="AB371">
        <v>-1</v>
      </c>
      <c r="AC371">
        <v>-1</v>
      </c>
      <c r="AD371">
        <v>1</v>
      </c>
      <c r="AE371">
        <v>-1</v>
      </c>
      <c r="AF371">
        <v>-1</v>
      </c>
      <c r="AG371">
        <v>-1</v>
      </c>
      <c r="AH371">
        <v>-2</v>
      </c>
    </row>
    <row r="372" spans="1:34" x14ac:dyDescent="0.3">
      <c r="A372" s="42">
        <f t="shared" si="23"/>
        <v>50</v>
      </c>
      <c r="B372" s="44">
        <f t="shared" si="22"/>
        <v>-1.03125</v>
      </c>
      <c r="C372">
        <v>1</v>
      </c>
      <c r="D372">
        <v>-1</v>
      </c>
      <c r="E372">
        <v>-2</v>
      </c>
      <c r="F372">
        <v>-2</v>
      </c>
      <c r="G372">
        <v>-3</v>
      </c>
      <c r="H372">
        <v>-1</v>
      </c>
      <c r="I372">
        <v>-3</v>
      </c>
      <c r="J372">
        <v>-2</v>
      </c>
      <c r="K372">
        <v>-2</v>
      </c>
      <c r="L372">
        <v>-1</v>
      </c>
      <c r="M372">
        <v>1</v>
      </c>
      <c r="N372">
        <v>-1</v>
      </c>
      <c r="O372">
        <v>-2</v>
      </c>
      <c r="P372">
        <v>-1</v>
      </c>
      <c r="Q372">
        <v>2</v>
      </c>
      <c r="R372">
        <v>-1</v>
      </c>
      <c r="S372">
        <v>-2</v>
      </c>
      <c r="T372">
        <v>-1</v>
      </c>
      <c r="U372">
        <v>-1</v>
      </c>
      <c r="V372">
        <v>-3</v>
      </c>
      <c r="W372">
        <v>-3</v>
      </c>
      <c r="X372">
        <v>-2</v>
      </c>
      <c r="Y372">
        <v>-2</v>
      </c>
      <c r="Z372">
        <v>-1</v>
      </c>
      <c r="AA372">
        <v>1</v>
      </c>
      <c r="AB372">
        <v>1</v>
      </c>
      <c r="AC372">
        <v>-1</v>
      </c>
      <c r="AD372">
        <v>1</v>
      </c>
      <c r="AE372">
        <v>-1</v>
      </c>
      <c r="AF372">
        <v>-1</v>
      </c>
      <c r="AG372">
        <v>-1</v>
      </c>
      <c r="AH372">
        <v>1</v>
      </c>
    </row>
    <row r="373" spans="1:34" x14ac:dyDescent="0.3">
      <c r="A373" s="42">
        <f t="shared" si="23"/>
        <v>51</v>
      </c>
      <c r="B373" s="44">
        <f t="shared" si="22"/>
        <v>-0.28125</v>
      </c>
      <c r="C373">
        <v>3</v>
      </c>
      <c r="D373">
        <v>-1</v>
      </c>
      <c r="E373">
        <v>-1</v>
      </c>
      <c r="F373">
        <v>-2</v>
      </c>
      <c r="G373">
        <v>-2</v>
      </c>
      <c r="H373">
        <v>1</v>
      </c>
      <c r="I373">
        <v>2</v>
      </c>
      <c r="J373">
        <v>1</v>
      </c>
      <c r="K373">
        <v>2</v>
      </c>
      <c r="L373">
        <v>1</v>
      </c>
      <c r="M373">
        <v>2</v>
      </c>
      <c r="N373">
        <v>-1</v>
      </c>
      <c r="O373">
        <v>-1</v>
      </c>
      <c r="P373">
        <v>-1</v>
      </c>
      <c r="Q373">
        <v>1</v>
      </c>
      <c r="R373">
        <v>-1</v>
      </c>
      <c r="S373">
        <v>-1</v>
      </c>
      <c r="T373">
        <v>-1</v>
      </c>
      <c r="U373">
        <v>-1</v>
      </c>
      <c r="V373">
        <v>-1</v>
      </c>
      <c r="W373">
        <v>-1</v>
      </c>
      <c r="X373">
        <v>-1</v>
      </c>
      <c r="Y373">
        <v>-2</v>
      </c>
      <c r="Z373">
        <v>-1</v>
      </c>
      <c r="AA373">
        <v>-1</v>
      </c>
      <c r="AB373">
        <v>-1</v>
      </c>
      <c r="AC373">
        <v>-1</v>
      </c>
      <c r="AD373">
        <v>-2</v>
      </c>
      <c r="AE373">
        <v>-1</v>
      </c>
      <c r="AF373">
        <v>-1</v>
      </c>
      <c r="AG373">
        <v>3</v>
      </c>
      <c r="AH373">
        <v>1</v>
      </c>
    </row>
    <row r="374" spans="1:34" x14ac:dyDescent="0.3">
      <c r="A374" s="42">
        <f t="shared" si="23"/>
        <v>52</v>
      </c>
      <c r="B374" s="44">
        <f t="shared" si="22"/>
        <v>-0.78125</v>
      </c>
      <c r="C374">
        <v>3</v>
      </c>
      <c r="D374">
        <v>-1</v>
      </c>
      <c r="E374">
        <v>-2</v>
      </c>
      <c r="F374">
        <v>-2</v>
      </c>
      <c r="G374">
        <v>-3</v>
      </c>
      <c r="H374">
        <v>-3</v>
      </c>
      <c r="I374">
        <v>1</v>
      </c>
      <c r="J374">
        <v>-2</v>
      </c>
      <c r="K374">
        <v>2</v>
      </c>
      <c r="L374">
        <v>2</v>
      </c>
      <c r="M374">
        <v>2</v>
      </c>
      <c r="N374">
        <v>-1</v>
      </c>
      <c r="O374">
        <v>-1</v>
      </c>
      <c r="P374">
        <v>1</v>
      </c>
      <c r="Q374">
        <v>-1</v>
      </c>
      <c r="R374">
        <v>-1</v>
      </c>
      <c r="S374">
        <v>-1</v>
      </c>
      <c r="T374">
        <v>-3</v>
      </c>
      <c r="U374">
        <v>-1</v>
      </c>
      <c r="V374">
        <v>2</v>
      </c>
      <c r="W374">
        <v>-1</v>
      </c>
      <c r="X374">
        <v>-3</v>
      </c>
      <c r="Y374">
        <v>-3</v>
      </c>
      <c r="Z374">
        <v>-2</v>
      </c>
      <c r="AA374">
        <v>-2</v>
      </c>
      <c r="AB374">
        <v>-1</v>
      </c>
      <c r="AC374">
        <v>-1</v>
      </c>
      <c r="AD374">
        <v>1</v>
      </c>
      <c r="AE374">
        <v>-1</v>
      </c>
      <c r="AF374">
        <v>-1</v>
      </c>
      <c r="AG374">
        <v>-3</v>
      </c>
      <c r="AH374">
        <v>1</v>
      </c>
    </row>
    <row r="375" spans="1:34" x14ac:dyDescent="0.3">
      <c r="A375" s="42">
        <f t="shared" si="23"/>
        <v>53</v>
      </c>
      <c r="B375" s="44">
        <f t="shared" si="22"/>
        <v>-0.1875</v>
      </c>
      <c r="C375">
        <v>-2</v>
      </c>
      <c r="D375">
        <v>-1</v>
      </c>
      <c r="E375">
        <v>-1</v>
      </c>
      <c r="F375">
        <v>-2</v>
      </c>
      <c r="G375">
        <v>3</v>
      </c>
      <c r="H375">
        <v>1</v>
      </c>
      <c r="I375">
        <v>-1</v>
      </c>
      <c r="J375">
        <v>1</v>
      </c>
      <c r="K375">
        <v>1</v>
      </c>
      <c r="L375">
        <v>-1</v>
      </c>
      <c r="M375">
        <v>2</v>
      </c>
      <c r="N375">
        <v>-2</v>
      </c>
      <c r="O375">
        <v>1</v>
      </c>
      <c r="P375">
        <v>1</v>
      </c>
      <c r="Q375">
        <v>-1</v>
      </c>
      <c r="R375">
        <v>-1</v>
      </c>
      <c r="S375">
        <v>-1</v>
      </c>
      <c r="T375">
        <v>-1</v>
      </c>
      <c r="U375">
        <v>-1</v>
      </c>
      <c r="V375">
        <v>-3</v>
      </c>
      <c r="W375">
        <v>-1</v>
      </c>
      <c r="X375">
        <v>-3</v>
      </c>
      <c r="Y375">
        <v>3</v>
      </c>
      <c r="Z375">
        <v>-1</v>
      </c>
      <c r="AA375">
        <v>-1</v>
      </c>
      <c r="AB375">
        <v>1</v>
      </c>
      <c r="AC375">
        <v>-1</v>
      </c>
      <c r="AD375">
        <v>1</v>
      </c>
      <c r="AE375">
        <v>1</v>
      </c>
      <c r="AF375">
        <v>-1</v>
      </c>
      <c r="AG375">
        <v>3</v>
      </c>
      <c r="AH375">
        <v>1</v>
      </c>
    </row>
    <row r="376" spans="1:34" x14ac:dyDescent="0.3">
      <c r="A376" s="42">
        <f t="shared" si="23"/>
        <v>54</v>
      </c>
      <c r="B376" s="44">
        <f t="shared" si="22"/>
        <v>-0.5</v>
      </c>
      <c r="C376">
        <v>-1</v>
      </c>
      <c r="D376">
        <v>-1</v>
      </c>
      <c r="E376">
        <v>1</v>
      </c>
      <c r="F376">
        <v>1</v>
      </c>
      <c r="G376">
        <v>1</v>
      </c>
      <c r="H376">
        <v>-2</v>
      </c>
      <c r="I376">
        <v>1</v>
      </c>
      <c r="J376">
        <v>-1</v>
      </c>
      <c r="K376">
        <v>-1</v>
      </c>
      <c r="L376">
        <v>-2</v>
      </c>
      <c r="M376">
        <v>1</v>
      </c>
      <c r="N376">
        <v>-1</v>
      </c>
      <c r="O376">
        <v>-1</v>
      </c>
      <c r="P376">
        <v>-1</v>
      </c>
      <c r="Q376">
        <v>1</v>
      </c>
      <c r="R376">
        <v>-1</v>
      </c>
      <c r="S376">
        <v>1</v>
      </c>
      <c r="T376">
        <v>-2</v>
      </c>
      <c r="U376">
        <v>-1</v>
      </c>
      <c r="V376">
        <v>-2</v>
      </c>
      <c r="W376">
        <v>-2</v>
      </c>
      <c r="X376">
        <v>-2</v>
      </c>
      <c r="Y376">
        <v>-3</v>
      </c>
      <c r="Z376">
        <v>-1</v>
      </c>
      <c r="AA376">
        <v>1</v>
      </c>
      <c r="AB376">
        <v>1</v>
      </c>
      <c r="AC376">
        <v>1</v>
      </c>
      <c r="AD376">
        <v>1</v>
      </c>
      <c r="AE376">
        <v>-1</v>
      </c>
      <c r="AF376">
        <v>-1</v>
      </c>
      <c r="AG376">
        <v>-1</v>
      </c>
      <c r="AH376">
        <v>1</v>
      </c>
    </row>
    <row r="377" spans="1:34" x14ac:dyDescent="0.3">
      <c r="A377" s="42">
        <f t="shared" si="23"/>
        <v>55</v>
      </c>
      <c r="B377" s="44">
        <f t="shared" si="22"/>
        <v>-0.5</v>
      </c>
      <c r="C377">
        <v>2</v>
      </c>
      <c r="D377">
        <v>-3</v>
      </c>
      <c r="E377">
        <v>1</v>
      </c>
      <c r="F377">
        <v>-3</v>
      </c>
      <c r="G377">
        <v>1</v>
      </c>
      <c r="H377">
        <v>-1</v>
      </c>
      <c r="I377">
        <v>-1</v>
      </c>
      <c r="J377">
        <v>-1</v>
      </c>
      <c r="K377">
        <v>1</v>
      </c>
      <c r="L377">
        <v>1</v>
      </c>
      <c r="M377">
        <v>2</v>
      </c>
      <c r="N377">
        <v>-1</v>
      </c>
      <c r="O377">
        <v>-1</v>
      </c>
      <c r="P377">
        <v>-1</v>
      </c>
      <c r="Q377">
        <v>1</v>
      </c>
      <c r="R377">
        <v>-1</v>
      </c>
      <c r="S377">
        <v>-1</v>
      </c>
      <c r="T377">
        <v>-3</v>
      </c>
      <c r="U377">
        <v>1</v>
      </c>
      <c r="V377">
        <v>-1</v>
      </c>
      <c r="W377">
        <v>-3</v>
      </c>
      <c r="X377">
        <v>-2</v>
      </c>
      <c r="Y377">
        <v>3</v>
      </c>
      <c r="Z377">
        <v>-1</v>
      </c>
      <c r="AA377">
        <v>-1</v>
      </c>
      <c r="AB377">
        <v>-1</v>
      </c>
      <c r="AC377">
        <v>1</v>
      </c>
      <c r="AD377">
        <v>1</v>
      </c>
      <c r="AE377">
        <v>-1</v>
      </c>
      <c r="AF377">
        <v>-1</v>
      </c>
      <c r="AG377">
        <v>-1</v>
      </c>
      <c r="AH377">
        <v>-2</v>
      </c>
    </row>
    <row r="378" spans="1:34" x14ac:dyDescent="0.3">
      <c r="A378" s="42">
        <f t="shared" si="23"/>
        <v>56</v>
      </c>
      <c r="B378" s="44">
        <f t="shared" si="22"/>
        <v>-0.9375</v>
      </c>
      <c r="C378">
        <v>-1</v>
      </c>
      <c r="D378">
        <v>-1</v>
      </c>
      <c r="E378">
        <v>-1</v>
      </c>
      <c r="F378">
        <v>-2</v>
      </c>
      <c r="G378">
        <v>1</v>
      </c>
      <c r="H378">
        <v>-1</v>
      </c>
      <c r="I378">
        <v>-2</v>
      </c>
      <c r="J378">
        <v>-1</v>
      </c>
      <c r="K378">
        <v>1</v>
      </c>
      <c r="L378">
        <v>-2</v>
      </c>
      <c r="M378">
        <v>2</v>
      </c>
      <c r="N378">
        <v>-1</v>
      </c>
      <c r="O378">
        <v>-1</v>
      </c>
      <c r="P378">
        <v>-1</v>
      </c>
      <c r="Q378">
        <v>2</v>
      </c>
      <c r="R378">
        <v>-1</v>
      </c>
      <c r="S378">
        <v>-1</v>
      </c>
      <c r="T378">
        <v>-1</v>
      </c>
      <c r="U378">
        <v>-1</v>
      </c>
      <c r="V378">
        <v>-2</v>
      </c>
      <c r="W378">
        <v>-2</v>
      </c>
      <c r="X378">
        <v>-2</v>
      </c>
      <c r="Y378">
        <v>-3</v>
      </c>
      <c r="Z378">
        <v>-1</v>
      </c>
      <c r="AA378">
        <v>-1</v>
      </c>
      <c r="AB378">
        <v>-2</v>
      </c>
      <c r="AC378">
        <v>-1</v>
      </c>
      <c r="AD378">
        <v>-2</v>
      </c>
      <c r="AE378">
        <v>-1</v>
      </c>
      <c r="AF378">
        <v>-1</v>
      </c>
      <c r="AG378">
        <v>-1</v>
      </c>
      <c r="AH378">
        <v>1</v>
      </c>
    </row>
    <row r="379" spans="1:34" x14ac:dyDescent="0.3">
      <c r="A379" s="42">
        <f t="shared" si="23"/>
        <v>57</v>
      </c>
      <c r="B379" s="44">
        <f t="shared" si="22"/>
        <v>-1.15625</v>
      </c>
      <c r="C379">
        <v>1</v>
      </c>
      <c r="D379">
        <v>-2</v>
      </c>
      <c r="E379">
        <v>-2</v>
      </c>
      <c r="F379">
        <v>1</v>
      </c>
      <c r="G379">
        <v>-2</v>
      </c>
      <c r="H379">
        <v>-1</v>
      </c>
      <c r="I379">
        <v>-3</v>
      </c>
      <c r="J379">
        <v>-2</v>
      </c>
      <c r="K379">
        <v>1</v>
      </c>
      <c r="L379">
        <v>-1</v>
      </c>
      <c r="M379">
        <v>-2</v>
      </c>
      <c r="N379">
        <v>-1</v>
      </c>
      <c r="O379">
        <v>-2</v>
      </c>
      <c r="P379">
        <v>1</v>
      </c>
      <c r="Q379">
        <v>1</v>
      </c>
      <c r="R379">
        <v>-1</v>
      </c>
      <c r="S379">
        <v>-1</v>
      </c>
      <c r="T379">
        <v>-1</v>
      </c>
      <c r="U379">
        <v>-1</v>
      </c>
      <c r="V379">
        <v>-3</v>
      </c>
      <c r="W379">
        <v>-2</v>
      </c>
      <c r="X379">
        <v>-2</v>
      </c>
      <c r="Y379">
        <v>-3</v>
      </c>
      <c r="Z379">
        <v>-2</v>
      </c>
      <c r="AA379">
        <v>-1</v>
      </c>
      <c r="AB379">
        <v>2</v>
      </c>
      <c r="AC379">
        <v>-3</v>
      </c>
      <c r="AD379">
        <v>-2</v>
      </c>
      <c r="AE379">
        <v>-1</v>
      </c>
      <c r="AF379">
        <v>-1</v>
      </c>
      <c r="AG379">
        <v>-1</v>
      </c>
      <c r="AH379">
        <v>-1</v>
      </c>
    </row>
    <row r="380" spans="1:34" x14ac:dyDescent="0.3">
      <c r="A380" s="42">
        <f t="shared" si="23"/>
        <v>58</v>
      </c>
      <c r="B380" s="44">
        <f t="shared" si="22"/>
        <v>-1.59375</v>
      </c>
      <c r="C380">
        <v>-3</v>
      </c>
      <c r="D380">
        <v>-3</v>
      </c>
      <c r="E380">
        <v>-1</v>
      </c>
      <c r="F380">
        <v>-2</v>
      </c>
      <c r="G380">
        <v>-1</v>
      </c>
      <c r="H380">
        <v>-3</v>
      </c>
      <c r="I380">
        <v>-3</v>
      </c>
      <c r="J380">
        <v>-1</v>
      </c>
      <c r="K380">
        <v>-2</v>
      </c>
      <c r="L380">
        <v>-1</v>
      </c>
      <c r="M380">
        <v>2</v>
      </c>
      <c r="N380">
        <v>-1</v>
      </c>
      <c r="O380">
        <v>-1</v>
      </c>
      <c r="P380">
        <v>1</v>
      </c>
      <c r="Q380">
        <v>1</v>
      </c>
      <c r="R380">
        <v>-1</v>
      </c>
      <c r="S380">
        <v>-1</v>
      </c>
      <c r="T380">
        <v>-2</v>
      </c>
      <c r="U380">
        <v>-2</v>
      </c>
      <c r="V380">
        <v>-3</v>
      </c>
      <c r="W380">
        <v>-3</v>
      </c>
      <c r="X380">
        <v>-2</v>
      </c>
      <c r="Y380">
        <v>-3</v>
      </c>
      <c r="Z380">
        <v>-2</v>
      </c>
      <c r="AA380">
        <v>-2</v>
      </c>
      <c r="AB380">
        <v>-2</v>
      </c>
      <c r="AC380">
        <v>-2</v>
      </c>
      <c r="AD380">
        <v>-1</v>
      </c>
      <c r="AE380">
        <v>-1</v>
      </c>
      <c r="AF380">
        <v>-1</v>
      </c>
      <c r="AG380">
        <v>-3</v>
      </c>
      <c r="AH380">
        <v>-2</v>
      </c>
    </row>
    <row r="381" spans="1:34" x14ac:dyDescent="0.3">
      <c r="A381" s="42">
        <f t="shared" si="23"/>
        <v>59</v>
      </c>
      <c r="B381" s="44">
        <f t="shared" si="22"/>
        <v>0.375</v>
      </c>
      <c r="C381">
        <v>-1</v>
      </c>
      <c r="D381">
        <v>3</v>
      </c>
      <c r="E381">
        <v>1</v>
      </c>
      <c r="F381">
        <v>-2</v>
      </c>
      <c r="G381">
        <v>3</v>
      </c>
      <c r="H381">
        <v>1</v>
      </c>
      <c r="I381">
        <v>-1</v>
      </c>
      <c r="J381">
        <v>1</v>
      </c>
      <c r="K381">
        <v>2</v>
      </c>
      <c r="L381">
        <v>1</v>
      </c>
      <c r="M381">
        <v>-2</v>
      </c>
      <c r="N381">
        <v>-1</v>
      </c>
      <c r="O381">
        <v>1</v>
      </c>
      <c r="P381">
        <v>-1</v>
      </c>
      <c r="Q381">
        <v>2</v>
      </c>
      <c r="R381">
        <v>-1</v>
      </c>
      <c r="S381">
        <v>2</v>
      </c>
      <c r="T381">
        <v>2</v>
      </c>
      <c r="U381">
        <v>1</v>
      </c>
      <c r="V381">
        <v>2</v>
      </c>
      <c r="W381">
        <v>-3</v>
      </c>
      <c r="X381">
        <v>-2</v>
      </c>
      <c r="Y381">
        <v>3</v>
      </c>
      <c r="Z381">
        <v>-2</v>
      </c>
      <c r="AA381">
        <v>1</v>
      </c>
      <c r="AB381">
        <v>-2</v>
      </c>
      <c r="AC381">
        <v>-1</v>
      </c>
      <c r="AD381">
        <v>1</v>
      </c>
      <c r="AE381">
        <v>-1</v>
      </c>
      <c r="AF381">
        <v>1</v>
      </c>
      <c r="AG381">
        <v>3</v>
      </c>
      <c r="AH381">
        <v>1</v>
      </c>
    </row>
    <row r="382" spans="1:34" x14ac:dyDescent="0.3">
      <c r="A382" s="42">
        <f t="shared" si="23"/>
        <v>60</v>
      </c>
      <c r="B382" s="44">
        <f t="shared" si="22"/>
        <v>-0.25</v>
      </c>
      <c r="C382">
        <v>-3</v>
      </c>
      <c r="D382">
        <v>1</v>
      </c>
      <c r="E382">
        <v>2</v>
      </c>
      <c r="F382">
        <v>-3</v>
      </c>
      <c r="G382">
        <v>-1</v>
      </c>
      <c r="H382">
        <v>1</v>
      </c>
      <c r="I382">
        <v>-1</v>
      </c>
      <c r="J382">
        <v>-1</v>
      </c>
      <c r="K382">
        <v>1</v>
      </c>
      <c r="L382">
        <v>1</v>
      </c>
      <c r="M382">
        <v>2</v>
      </c>
      <c r="N382">
        <v>-1</v>
      </c>
      <c r="O382">
        <v>1</v>
      </c>
      <c r="P382">
        <v>-1</v>
      </c>
      <c r="Q382">
        <v>2</v>
      </c>
      <c r="R382">
        <v>-1</v>
      </c>
      <c r="S382">
        <v>-1</v>
      </c>
      <c r="T382">
        <v>-1</v>
      </c>
      <c r="U382">
        <v>1</v>
      </c>
      <c r="V382">
        <v>-3</v>
      </c>
      <c r="W382">
        <v>-3</v>
      </c>
      <c r="X382">
        <v>-1</v>
      </c>
      <c r="Y382">
        <v>3</v>
      </c>
      <c r="Z382">
        <v>-1</v>
      </c>
      <c r="AA382">
        <v>-1</v>
      </c>
      <c r="AB382">
        <v>2</v>
      </c>
      <c r="AC382">
        <v>-1</v>
      </c>
      <c r="AD382">
        <v>1</v>
      </c>
      <c r="AE382">
        <v>-1</v>
      </c>
      <c r="AF382">
        <v>-1</v>
      </c>
      <c r="AG382">
        <v>-1</v>
      </c>
      <c r="AH382">
        <v>1</v>
      </c>
    </row>
    <row r="383" spans="1:34" x14ac:dyDescent="0.3">
      <c r="A383" s="42">
        <f t="shared" si="23"/>
        <v>61</v>
      </c>
      <c r="B383" s="44">
        <f t="shared" si="22"/>
        <v>-0.6875</v>
      </c>
      <c r="C383">
        <v>2</v>
      </c>
      <c r="D383">
        <v>-1</v>
      </c>
      <c r="E383">
        <v>-1</v>
      </c>
      <c r="F383">
        <v>-2</v>
      </c>
      <c r="G383">
        <v>1</v>
      </c>
      <c r="H383">
        <v>-1</v>
      </c>
      <c r="I383">
        <v>-1</v>
      </c>
      <c r="J383">
        <v>-1</v>
      </c>
      <c r="K383">
        <v>1</v>
      </c>
      <c r="L383">
        <v>-1</v>
      </c>
      <c r="M383">
        <v>2</v>
      </c>
      <c r="N383">
        <v>-1</v>
      </c>
      <c r="O383">
        <v>-1</v>
      </c>
      <c r="P383">
        <v>-1</v>
      </c>
      <c r="Q383">
        <v>1</v>
      </c>
      <c r="R383">
        <v>-1</v>
      </c>
      <c r="S383">
        <v>-1</v>
      </c>
      <c r="T383">
        <v>-1</v>
      </c>
      <c r="U383">
        <v>-1</v>
      </c>
      <c r="V383">
        <v>-1</v>
      </c>
      <c r="W383">
        <v>-3</v>
      </c>
      <c r="X383">
        <v>-2</v>
      </c>
      <c r="Y383">
        <v>-3</v>
      </c>
      <c r="Z383">
        <v>-2</v>
      </c>
      <c r="AA383">
        <v>-1</v>
      </c>
      <c r="AB383">
        <v>2</v>
      </c>
      <c r="AC383">
        <v>-1</v>
      </c>
      <c r="AD383">
        <v>-1</v>
      </c>
      <c r="AE383">
        <v>-1</v>
      </c>
      <c r="AF383">
        <v>-1</v>
      </c>
      <c r="AG383">
        <v>-1</v>
      </c>
      <c r="AH383">
        <v>1</v>
      </c>
    </row>
    <row r="384" spans="1:34" x14ac:dyDescent="0.3">
      <c r="A384" s="42">
        <f t="shared" si="23"/>
        <v>62</v>
      </c>
      <c r="B384" s="44">
        <f t="shared" si="22"/>
        <v>6.25E-2</v>
      </c>
      <c r="C384">
        <v>2</v>
      </c>
      <c r="D384">
        <v>2</v>
      </c>
      <c r="E384">
        <v>-1</v>
      </c>
      <c r="F384">
        <v>-1</v>
      </c>
      <c r="G384">
        <v>-1</v>
      </c>
      <c r="H384">
        <v>-2</v>
      </c>
      <c r="I384">
        <v>-2</v>
      </c>
      <c r="J384">
        <v>1</v>
      </c>
      <c r="K384">
        <v>2</v>
      </c>
      <c r="L384">
        <v>1</v>
      </c>
      <c r="M384">
        <v>1</v>
      </c>
      <c r="N384">
        <v>-1</v>
      </c>
      <c r="O384">
        <v>1</v>
      </c>
      <c r="P384">
        <v>-1</v>
      </c>
      <c r="Q384">
        <v>-1</v>
      </c>
      <c r="R384">
        <v>-2</v>
      </c>
      <c r="S384">
        <v>3</v>
      </c>
      <c r="T384">
        <v>3</v>
      </c>
      <c r="U384">
        <v>-2</v>
      </c>
      <c r="V384">
        <v>2</v>
      </c>
      <c r="W384">
        <v>-3</v>
      </c>
      <c r="X384">
        <v>-2</v>
      </c>
      <c r="Y384">
        <v>3</v>
      </c>
      <c r="Z384">
        <v>-2</v>
      </c>
      <c r="AA384">
        <v>2</v>
      </c>
      <c r="AB384">
        <v>2</v>
      </c>
      <c r="AC384">
        <v>-2</v>
      </c>
      <c r="AD384">
        <v>3</v>
      </c>
      <c r="AE384">
        <v>-1</v>
      </c>
      <c r="AF384">
        <v>-1</v>
      </c>
      <c r="AG384">
        <v>-3</v>
      </c>
      <c r="AH384">
        <v>2</v>
      </c>
    </row>
    <row r="385" spans="1:34" x14ac:dyDescent="0.3">
      <c r="A385" s="42">
        <f t="shared" si="23"/>
        <v>63</v>
      </c>
      <c r="B385" s="44">
        <f t="shared" si="22"/>
        <v>-0.78125</v>
      </c>
      <c r="C385">
        <v>-2</v>
      </c>
      <c r="D385">
        <v>1</v>
      </c>
      <c r="E385">
        <v>-1</v>
      </c>
      <c r="F385">
        <v>3</v>
      </c>
      <c r="G385">
        <v>-1</v>
      </c>
      <c r="H385">
        <v>-3</v>
      </c>
      <c r="I385">
        <v>-3</v>
      </c>
      <c r="J385">
        <v>-3</v>
      </c>
      <c r="K385">
        <v>-2</v>
      </c>
      <c r="L385">
        <v>-1</v>
      </c>
      <c r="M385">
        <v>-2</v>
      </c>
      <c r="N385">
        <v>-1</v>
      </c>
      <c r="O385">
        <v>1</v>
      </c>
      <c r="P385">
        <v>1</v>
      </c>
      <c r="Q385">
        <v>-1</v>
      </c>
      <c r="R385">
        <v>-1</v>
      </c>
      <c r="S385">
        <v>2</v>
      </c>
      <c r="T385">
        <v>2</v>
      </c>
      <c r="U385">
        <v>-2</v>
      </c>
      <c r="V385">
        <v>-3</v>
      </c>
      <c r="W385">
        <v>-2</v>
      </c>
      <c r="X385">
        <v>-2</v>
      </c>
      <c r="Y385">
        <v>-3</v>
      </c>
      <c r="Z385">
        <v>-2</v>
      </c>
      <c r="AA385">
        <v>-1</v>
      </c>
      <c r="AB385">
        <v>-1</v>
      </c>
      <c r="AC385">
        <v>2</v>
      </c>
      <c r="AD385">
        <v>-1</v>
      </c>
      <c r="AE385">
        <v>-1</v>
      </c>
      <c r="AF385">
        <v>-1</v>
      </c>
      <c r="AG385">
        <v>2</v>
      </c>
      <c r="AH385">
        <v>1</v>
      </c>
    </row>
    <row r="386" spans="1:34" x14ac:dyDescent="0.3">
      <c r="A386" s="42">
        <f t="shared" si="23"/>
        <v>64</v>
      </c>
      <c r="B386" s="44">
        <f t="shared" si="22"/>
        <v>-0.90625</v>
      </c>
      <c r="C386">
        <v>1</v>
      </c>
      <c r="D386">
        <v>-2</v>
      </c>
      <c r="E386">
        <v>-2</v>
      </c>
      <c r="F386">
        <v>-3</v>
      </c>
      <c r="G386">
        <v>-1</v>
      </c>
      <c r="H386">
        <v>-3</v>
      </c>
      <c r="I386">
        <v>-2</v>
      </c>
      <c r="J386">
        <v>1</v>
      </c>
      <c r="K386">
        <v>1</v>
      </c>
      <c r="L386">
        <v>-1</v>
      </c>
      <c r="M386">
        <v>-2</v>
      </c>
      <c r="N386">
        <v>-1</v>
      </c>
      <c r="O386">
        <v>-1</v>
      </c>
      <c r="P386">
        <v>1</v>
      </c>
      <c r="Q386">
        <v>-1</v>
      </c>
      <c r="R386">
        <v>-1</v>
      </c>
      <c r="S386">
        <v>-2</v>
      </c>
      <c r="T386">
        <v>-1</v>
      </c>
      <c r="U386">
        <v>-2</v>
      </c>
      <c r="V386">
        <v>2</v>
      </c>
      <c r="W386">
        <v>-1</v>
      </c>
      <c r="X386">
        <v>-3</v>
      </c>
      <c r="Y386">
        <v>-3</v>
      </c>
      <c r="Z386">
        <v>-1</v>
      </c>
      <c r="AA386">
        <v>-1</v>
      </c>
      <c r="AB386">
        <v>-1</v>
      </c>
      <c r="AC386">
        <v>-1</v>
      </c>
      <c r="AD386">
        <v>-1</v>
      </c>
      <c r="AE386">
        <v>-1</v>
      </c>
      <c r="AF386">
        <v>-1</v>
      </c>
      <c r="AG386">
        <v>3</v>
      </c>
      <c r="AH386">
        <v>1</v>
      </c>
    </row>
    <row r="387" spans="1:34" x14ac:dyDescent="0.3">
      <c r="A387" s="42">
        <f t="shared" si="23"/>
        <v>65</v>
      </c>
      <c r="B387" s="44">
        <f t="shared" si="22"/>
        <v>-1.5</v>
      </c>
      <c r="C387">
        <v>-2</v>
      </c>
      <c r="D387">
        <v>-2</v>
      </c>
      <c r="E387">
        <v>-2</v>
      </c>
      <c r="F387">
        <v>-3</v>
      </c>
      <c r="G387">
        <v>-3</v>
      </c>
      <c r="H387">
        <v>-2</v>
      </c>
      <c r="I387">
        <v>-2</v>
      </c>
      <c r="J387">
        <v>-2</v>
      </c>
      <c r="K387">
        <v>1</v>
      </c>
      <c r="L387">
        <v>-2</v>
      </c>
      <c r="M387">
        <v>2</v>
      </c>
      <c r="N387">
        <v>-1</v>
      </c>
      <c r="O387">
        <v>-2</v>
      </c>
      <c r="P387">
        <v>-1</v>
      </c>
      <c r="Q387">
        <v>-1</v>
      </c>
      <c r="R387">
        <v>-1</v>
      </c>
      <c r="S387">
        <v>-2</v>
      </c>
      <c r="T387">
        <v>-3</v>
      </c>
      <c r="U387">
        <v>-1</v>
      </c>
      <c r="V387">
        <v>-2</v>
      </c>
      <c r="W387">
        <v>-1</v>
      </c>
      <c r="X387">
        <v>-3</v>
      </c>
      <c r="Y387">
        <v>-3</v>
      </c>
      <c r="Z387">
        <v>-2</v>
      </c>
      <c r="AA387">
        <v>-2</v>
      </c>
      <c r="AB387">
        <v>-1</v>
      </c>
      <c r="AC387">
        <v>-2</v>
      </c>
      <c r="AD387">
        <v>-1</v>
      </c>
      <c r="AE387">
        <v>-1</v>
      </c>
      <c r="AF387">
        <v>-1</v>
      </c>
      <c r="AG387">
        <v>-1</v>
      </c>
      <c r="AH387">
        <v>1</v>
      </c>
    </row>
    <row r="388" spans="1:34" x14ac:dyDescent="0.3">
      <c r="A388" s="42">
        <f t="shared" si="23"/>
        <v>66</v>
      </c>
      <c r="B388" s="44">
        <f t="shared" ref="B388:B394" si="24" xml:space="preserve"> AVERAGE($C388:$AH388)</f>
        <v>-1.75</v>
      </c>
      <c r="C388">
        <v>1</v>
      </c>
      <c r="D388">
        <v>-3</v>
      </c>
      <c r="E388">
        <v>-2</v>
      </c>
      <c r="F388">
        <v>-3</v>
      </c>
      <c r="G388">
        <v>3</v>
      </c>
      <c r="H388">
        <v>-3</v>
      </c>
      <c r="I388">
        <v>-3</v>
      </c>
      <c r="J388">
        <v>-3</v>
      </c>
      <c r="K388">
        <v>1</v>
      </c>
      <c r="L388">
        <v>-3</v>
      </c>
      <c r="M388">
        <v>-3</v>
      </c>
      <c r="N388">
        <v>-1</v>
      </c>
      <c r="O388">
        <v>1</v>
      </c>
      <c r="P388">
        <v>-1</v>
      </c>
      <c r="Q388">
        <v>-1</v>
      </c>
      <c r="R388">
        <v>-2</v>
      </c>
      <c r="S388">
        <v>-2</v>
      </c>
      <c r="T388">
        <v>-3</v>
      </c>
      <c r="U388">
        <v>-1</v>
      </c>
      <c r="V388">
        <v>-3</v>
      </c>
      <c r="W388">
        <v>-3</v>
      </c>
      <c r="X388">
        <v>-3</v>
      </c>
      <c r="Y388">
        <v>-3</v>
      </c>
      <c r="Z388">
        <v>-2</v>
      </c>
      <c r="AA388">
        <v>-3</v>
      </c>
      <c r="AB388">
        <v>-2</v>
      </c>
      <c r="AC388">
        <v>-3</v>
      </c>
      <c r="AD388">
        <v>-3</v>
      </c>
      <c r="AE388">
        <v>-1</v>
      </c>
      <c r="AF388">
        <v>-1</v>
      </c>
      <c r="AG388">
        <v>-2</v>
      </c>
      <c r="AH388">
        <v>1</v>
      </c>
    </row>
    <row r="389" spans="1:34" x14ac:dyDescent="0.3">
      <c r="A389" s="42">
        <f t="shared" ref="A389:A394" si="25" xml:space="preserve"> A388 + 1</f>
        <v>67</v>
      </c>
      <c r="B389" s="44">
        <f t="shared" si="24"/>
        <v>-0.375</v>
      </c>
      <c r="C389">
        <v>-1</v>
      </c>
      <c r="D389">
        <v>-1</v>
      </c>
      <c r="E389">
        <v>2</v>
      </c>
      <c r="F389">
        <v>-3</v>
      </c>
      <c r="G389">
        <v>3</v>
      </c>
      <c r="H389">
        <v>2</v>
      </c>
      <c r="I389">
        <v>-2</v>
      </c>
      <c r="J389">
        <v>-3</v>
      </c>
      <c r="K389">
        <v>2</v>
      </c>
      <c r="L389">
        <v>-3</v>
      </c>
      <c r="M389">
        <v>-3</v>
      </c>
      <c r="N389">
        <v>-1</v>
      </c>
      <c r="O389">
        <v>1</v>
      </c>
      <c r="P389">
        <v>1</v>
      </c>
      <c r="Q389">
        <v>-1</v>
      </c>
      <c r="R389">
        <v>-1</v>
      </c>
      <c r="S389">
        <v>2</v>
      </c>
      <c r="T389">
        <v>2</v>
      </c>
      <c r="U389">
        <v>1</v>
      </c>
      <c r="V389">
        <v>-3</v>
      </c>
      <c r="W389">
        <v>-2</v>
      </c>
      <c r="X389">
        <v>-3</v>
      </c>
      <c r="Y389">
        <v>3</v>
      </c>
      <c r="Z389">
        <v>-3</v>
      </c>
      <c r="AA389">
        <v>-3</v>
      </c>
      <c r="AB389">
        <v>-2</v>
      </c>
      <c r="AC389">
        <v>1</v>
      </c>
      <c r="AD389">
        <v>2</v>
      </c>
      <c r="AE389">
        <v>-2</v>
      </c>
      <c r="AF389">
        <v>-1</v>
      </c>
      <c r="AG389">
        <v>3</v>
      </c>
      <c r="AH389">
        <v>1</v>
      </c>
    </row>
    <row r="390" spans="1:34" x14ac:dyDescent="0.3">
      <c r="A390" s="42">
        <f t="shared" si="25"/>
        <v>68</v>
      </c>
      <c r="B390" s="44">
        <f t="shared" si="24"/>
        <v>-1.625</v>
      </c>
      <c r="C390">
        <v>-1</v>
      </c>
      <c r="D390">
        <v>-1</v>
      </c>
      <c r="E390">
        <v>1</v>
      </c>
      <c r="F390">
        <v>-3</v>
      </c>
      <c r="G390">
        <v>-3</v>
      </c>
      <c r="H390">
        <v>-3</v>
      </c>
      <c r="I390">
        <v>-3</v>
      </c>
      <c r="J390">
        <v>-3</v>
      </c>
      <c r="K390">
        <v>1</v>
      </c>
      <c r="L390">
        <v>-3</v>
      </c>
      <c r="M390">
        <v>-2</v>
      </c>
      <c r="N390">
        <v>-1</v>
      </c>
      <c r="O390">
        <v>-2</v>
      </c>
      <c r="P390">
        <v>1</v>
      </c>
      <c r="Q390">
        <v>-1</v>
      </c>
      <c r="R390">
        <v>-1</v>
      </c>
      <c r="S390">
        <v>-2</v>
      </c>
      <c r="T390">
        <v>-3</v>
      </c>
      <c r="U390">
        <v>1</v>
      </c>
      <c r="V390">
        <v>-3</v>
      </c>
      <c r="W390">
        <v>-3</v>
      </c>
      <c r="X390">
        <v>-3</v>
      </c>
      <c r="Y390">
        <v>3</v>
      </c>
      <c r="Z390">
        <v>-3</v>
      </c>
      <c r="AA390">
        <v>-2</v>
      </c>
      <c r="AB390">
        <v>-3</v>
      </c>
      <c r="AC390">
        <v>-3</v>
      </c>
      <c r="AD390">
        <v>-2</v>
      </c>
      <c r="AE390">
        <v>-2</v>
      </c>
      <c r="AF390">
        <v>-1</v>
      </c>
      <c r="AG390">
        <v>-3</v>
      </c>
      <c r="AH390">
        <v>1</v>
      </c>
    </row>
    <row r="391" spans="1:34" x14ac:dyDescent="0.3">
      <c r="A391" s="42">
        <f t="shared" si="25"/>
        <v>69</v>
      </c>
      <c r="B391" s="44">
        <f t="shared" si="24"/>
        <v>-1.46875</v>
      </c>
      <c r="C391">
        <v>-2</v>
      </c>
      <c r="D391">
        <v>-1</v>
      </c>
      <c r="E391">
        <v>-3</v>
      </c>
      <c r="F391">
        <v>-2</v>
      </c>
      <c r="G391">
        <v>3</v>
      </c>
      <c r="H391">
        <v>2</v>
      </c>
      <c r="I391">
        <v>-2</v>
      </c>
      <c r="J391">
        <v>-3</v>
      </c>
      <c r="K391">
        <v>1</v>
      </c>
      <c r="L391">
        <v>1</v>
      </c>
      <c r="M391">
        <v>2</v>
      </c>
      <c r="N391">
        <v>-1</v>
      </c>
      <c r="O391">
        <v>-3</v>
      </c>
      <c r="P391">
        <v>2</v>
      </c>
      <c r="Q391">
        <v>-1</v>
      </c>
      <c r="R391">
        <v>-1</v>
      </c>
      <c r="S391">
        <v>-2</v>
      </c>
      <c r="T391">
        <v>-2</v>
      </c>
      <c r="U391">
        <v>-2</v>
      </c>
      <c r="V391">
        <v>-3</v>
      </c>
      <c r="W391">
        <v>-3</v>
      </c>
      <c r="X391">
        <v>-3</v>
      </c>
      <c r="Y391">
        <v>-3</v>
      </c>
      <c r="Z391">
        <v>-3</v>
      </c>
      <c r="AA391">
        <v>-1</v>
      </c>
      <c r="AB391">
        <v>-3</v>
      </c>
      <c r="AC391">
        <v>-3</v>
      </c>
      <c r="AD391">
        <v>-3</v>
      </c>
      <c r="AE391">
        <v>-2</v>
      </c>
      <c r="AF391">
        <v>-1</v>
      </c>
      <c r="AG391">
        <v>-3</v>
      </c>
      <c r="AH391">
        <v>-2</v>
      </c>
    </row>
    <row r="392" spans="1:34" x14ac:dyDescent="0.3">
      <c r="A392" s="42">
        <f t="shared" si="25"/>
        <v>70</v>
      </c>
      <c r="B392" s="44">
        <f t="shared" si="24"/>
        <v>-1.78125</v>
      </c>
      <c r="C392">
        <v>-3</v>
      </c>
      <c r="D392">
        <v>-2</v>
      </c>
      <c r="E392">
        <v>-3</v>
      </c>
      <c r="F392">
        <v>-3</v>
      </c>
      <c r="G392">
        <v>3</v>
      </c>
      <c r="H392">
        <v>-3</v>
      </c>
      <c r="I392">
        <v>-2</v>
      </c>
      <c r="J392">
        <v>-3</v>
      </c>
      <c r="K392">
        <v>-2</v>
      </c>
      <c r="L392">
        <v>1</v>
      </c>
      <c r="M392">
        <v>-1</v>
      </c>
      <c r="N392">
        <v>-1</v>
      </c>
      <c r="O392">
        <v>-2</v>
      </c>
      <c r="P392">
        <v>1</v>
      </c>
      <c r="Q392">
        <v>-2</v>
      </c>
      <c r="R392">
        <v>-1</v>
      </c>
      <c r="S392">
        <v>-3</v>
      </c>
      <c r="T392">
        <v>-3</v>
      </c>
      <c r="U392">
        <v>-2</v>
      </c>
      <c r="V392">
        <v>-3</v>
      </c>
      <c r="W392">
        <v>-3</v>
      </c>
      <c r="X392">
        <v>-3</v>
      </c>
      <c r="Y392">
        <v>-3</v>
      </c>
      <c r="Z392">
        <v>-2</v>
      </c>
      <c r="AA392">
        <v>-2</v>
      </c>
      <c r="AB392">
        <v>-1</v>
      </c>
      <c r="AC392">
        <v>-3</v>
      </c>
      <c r="AD392">
        <v>1</v>
      </c>
      <c r="AE392">
        <v>-1</v>
      </c>
      <c r="AF392">
        <v>-1</v>
      </c>
      <c r="AG392">
        <v>-3</v>
      </c>
      <c r="AH392">
        <v>-2</v>
      </c>
    </row>
    <row r="393" spans="1:34" x14ac:dyDescent="0.3">
      <c r="A393" s="42">
        <f t="shared" si="25"/>
        <v>71</v>
      </c>
      <c r="B393" s="44">
        <f t="shared" si="24"/>
        <v>-0.625</v>
      </c>
      <c r="C393">
        <v>1</v>
      </c>
      <c r="D393">
        <v>-1</v>
      </c>
      <c r="E393">
        <v>-3</v>
      </c>
      <c r="F393">
        <v>-3</v>
      </c>
      <c r="G393">
        <v>3</v>
      </c>
      <c r="H393">
        <v>-3</v>
      </c>
      <c r="I393">
        <v>-3</v>
      </c>
      <c r="J393">
        <v>2</v>
      </c>
      <c r="K393">
        <v>1</v>
      </c>
      <c r="L393">
        <v>-2</v>
      </c>
      <c r="M393">
        <v>2</v>
      </c>
      <c r="N393">
        <v>-1</v>
      </c>
      <c r="O393">
        <v>-2</v>
      </c>
      <c r="P393">
        <v>2</v>
      </c>
      <c r="Q393">
        <v>-2</v>
      </c>
      <c r="R393">
        <v>-1</v>
      </c>
      <c r="S393">
        <v>-3</v>
      </c>
      <c r="T393">
        <v>2</v>
      </c>
      <c r="U393">
        <v>-2</v>
      </c>
      <c r="V393">
        <v>-3</v>
      </c>
      <c r="W393">
        <v>-1</v>
      </c>
      <c r="X393">
        <v>-3</v>
      </c>
      <c r="Y393">
        <v>3</v>
      </c>
      <c r="Z393">
        <v>-3</v>
      </c>
      <c r="AA393">
        <v>-2</v>
      </c>
      <c r="AB393">
        <v>-1</v>
      </c>
      <c r="AC393">
        <v>-2</v>
      </c>
      <c r="AD393">
        <v>3</v>
      </c>
      <c r="AE393">
        <v>-1</v>
      </c>
      <c r="AF393">
        <v>-1</v>
      </c>
      <c r="AG393">
        <v>3</v>
      </c>
      <c r="AH393">
        <v>1</v>
      </c>
    </row>
    <row r="394" spans="1:34" x14ac:dyDescent="0.3">
      <c r="A394" s="42">
        <f t="shared" si="25"/>
        <v>72</v>
      </c>
      <c r="B394" s="44">
        <f t="shared" si="24"/>
        <v>-0.84375</v>
      </c>
      <c r="C394">
        <v>1</v>
      </c>
      <c r="D394">
        <v>-1</v>
      </c>
      <c r="E394">
        <v>-3</v>
      </c>
      <c r="F394">
        <v>-3</v>
      </c>
      <c r="G394">
        <v>3</v>
      </c>
      <c r="H394">
        <v>2</v>
      </c>
      <c r="I394">
        <v>-2</v>
      </c>
      <c r="J394">
        <v>2</v>
      </c>
      <c r="K394">
        <v>1</v>
      </c>
      <c r="L394">
        <v>-1</v>
      </c>
      <c r="M394">
        <v>-3</v>
      </c>
      <c r="N394">
        <v>-1</v>
      </c>
      <c r="O394">
        <v>-2</v>
      </c>
      <c r="P394">
        <v>2</v>
      </c>
      <c r="Q394">
        <v>-3</v>
      </c>
      <c r="R394">
        <v>-1</v>
      </c>
      <c r="S394">
        <v>-3</v>
      </c>
      <c r="T394">
        <v>-1</v>
      </c>
      <c r="U394">
        <v>-2</v>
      </c>
      <c r="V394">
        <v>-3</v>
      </c>
      <c r="W394">
        <v>-1</v>
      </c>
      <c r="X394">
        <v>-3</v>
      </c>
      <c r="Y394">
        <v>3</v>
      </c>
      <c r="Z394">
        <v>-3</v>
      </c>
      <c r="AA394">
        <v>-2</v>
      </c>
      <c r="AB394">
        <v>-1</v>
      </c>
      <c r="AC394">
        <v>-1</v>
      </c>
      <c r="AD394">
        <v>2</v>
      </c>
      <c r="AE394">
        <v>-1</v>
      </c>
      <c r="AF394">
        <v>-1</v>
      </c>
      <c r="AG394">
        <v>-3</v>
      </c>
      <c r="AH394">
        <v>2</v>
      </c>
    </row>
  </sheetData>
  <mergeCells count="1">
    <mergeCell ref="A1:B1"/>
  </mergeCells>
  <conditionalFormatting sqref="AG323:AG394">
    <cfRule type="top10" dxfId="0" priority="1" percent="1" rank="10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6"/>
  <sheetViews>
    <sheetView zoomScaleNormal="100" workbookViewId="0">
      <selection sqref="A1:B1"/>
    </sheetView>
  </sheetViews>
  <sheetFormatPr defaultColWidth="12.6640625" defaultRowHeight="14.4" x14ac:dyDescent="0.3"/>
  <cols>
    <col min="1" max="1" width="12.6640625" style="42"/>
    <col min="2" max="2" width="12.6640625" style="44"/>
    <col min="3" max="16384" width="12.6640625" style="42"/>
  </cols>
  <sheetData>
    <row r="1" spans="1:50" x14ac:dyDescent="0.3">
      <c r="A1" s="69" t="s">
        <v>140</v>
      </c>
      <c r="B1" s="69"/>
      <c r="C1" s="51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</row>
    <row r="2" spans="1:50" s="50" customFormat="1" x14ac:dyDescent="0.3">
      <c r="A2" s="50" t="s">
        <v>141</v>
      </c>
      <c r="B2" s="52" t="s">
        <v>112</v>
      </c>
      <c r="C2" s="50" t="s">
        <v>113</v>
      </c>
      <c r="D2" s="50" t="s">
        <v>114</v>
      </c>
      <c r="E2" s="50" t="s">
        <v>115</v>
      </c>
      <c r="G2" s="50" t="s">
        <v>180</v>
      </c>
      <c r="R2" s="50" t="s">
        <v>181</v>
      </c>
      <c r="AC2" s="50" t="s">
        <v>182</v>
      </c>
      <c r="AN2" s="50" t="s">
        <v>184</v>
      </c>
    </row>
    <row r="3" spans="1:50" x14ac:dyDescent="0.3">
      <c r="A3" s="56">
        <v>1</v>
      </c>
      <c r="B3" s="57">
        <f xml:space="preserve"> 'HoE Chart'!$B83</f>
        <v>-0.625</v>
      </c>
      <c r="C3" s="57">
        <f xml:space="preserve"> 'HoE Chart'!$B163</f>
        <v>-0.59375</v>
      </c>
      <c r="D3" s="57">
        <f xml:space="preserve"> 'HoE Chart'!$B243</f>
        <v>-0.375</v>
      </c>
      <c r="E3" s="57">
        <f xml:space="preserve"> 'HoE Chart'!$B323</f>
        <v>-0.75</v>
      </c>
    </row>
    <row r="4" spans="1:50" x14ac:dyDescent="0.3">
      <c r="A4" s="42">
        <f xml:space="preserve"> A3 + 1</f>
        <v>2</v>
      </c>
      <c r="B4" s="44">
        <f xml:space="preserve"> 'HoE Chart'!$B84</f>
        <v>-0.625</v>
      </c>
      <c r="C4" s="44">
        <f xml:space="preserve"> 'HoE Chart'!$B164</f>
        <v>-0.5625</v>
      </c>
      <c r="D4" s="44">
        <f xml:space="preserve"> 'HoE Chart'!$B244</f>
        <v>0.21875</v>
      </c>
      <c r="E4" s="44">
        <f xml:space="preserve"> 'HoE Chart'!$B324</f>
        <v>-0.875</v>
      </c>
    </row>
    <row r="5" spans="1:50" x14ac:dyDescent="0.3">
      <c r="A5" s="42">
        <f t="shared" ref="A5:A68" si="0" xml:space="preserve"> A4 + 1</f>
        <v>3</v>
      </c>
      <c r="B5" s="44">
        <f xml:space="preserve"> 'HoE Chart'!$B85</f>
        <v>-0.34375</v>
      </c>
      <c r="C5" s="44">
        <f xml:space="preserve"> 'HoE Chart'!$B165</f>
        <v>-0.1875</v>
      </c>
      <c r="D5" s="44">
        <f xml:space="preserve"> 'HoE Chart'!$B245</f>
        <v>-0.125</v>
      </c>
      <c r="E5" s="44">
        <f xml:space="preserve"> 'HoE Chart'!$B325</f>
        <v>-0.8125</v>
      </c>
    </row>
    <row r="6" spans="1:50" x14ac:dyDescent="0.3">
      <c r="A6" s="42">
        <f t="shared" si="0"/>
        <v>4</v>
      </c>
      <c r="B6" s="44">
        <f xml:space="preserve"> 'HoE Chart'!$B86</f>
        <v>0.375</v>
      </c>
      <c r="C6" s="44">
        <f xml:space="preserve"> 'HoE Chart'!$B166</f>
        <v>-1.0625</v>
      </c>
      <c r="D6" s="44">
        <f xml:space="preserve"> 'HoE Chart'!$B246</f>
        <v>1.21875</v>
      </c>
      <c r="E6" s="44">
        <f xml:space="preserve"> 'HoE Chart'!$B326</f>
        <v>-1.15625</v>
      </c>
    </row>
    <row r="7" spans="1:50" x14ac:dyDescent="0.3">
      <c r="A7" s="42">
        <f t="shared" si="0"/>
        <v>5</v>
      </c>
      <c r="B7" s="44">
        <f xml:space="preserve"> 'HoE Chart'!$B87</f>
        <v>0.21875</v>
      </c>
      <c r="C7" s="44">
        <f xml:space="preserve"> 'HoE Chart'!$B167</f>
        <v>-0.75</v>
      </c>
      <c r="D7" s="44">
        <f xml:space="preserve"> 'HoE Chart'!$B247</f>
        <v>0.59375</v>
      </c>
      <c r="E7" s="44">
        <f xml:space="preserve"> 'HoE Chart'!$B327</f>
        <v>-1.3125</v>
      </c>
    </row>
    <row r="8" spans="1:50" x14ac:dyDescent="0.3">
      <c r="A8" s="42">
        <f t="shared" si="0"/>
        <v>6</v>
      </c>
      <c r="B8" s="44">
        <f xml:space="preserve"> 'HoE Chart'!$B88</f>
        <v>-0.21875</v>
      </c>
      <c r="C8" s="44">
        <f xml:space="preserve"> 'HoE Chart'!$B168</f>
        <v>-0.75</v>
      </c>
      <c r="D8" s="44">
        <f xml:space="preserve"> 'HoE Chart'!$B248</f>
        <v>0.3125</v>
      </c>
      <c r="E8" s="44">
        <f xml:space="preserve"> 'HoE Chart'!$B328</f>
        <v>-1.0625</v>
      </c>
    </row>
    <row r="9" spans="1:50" x14ac:dyDescent="0.3">
      <c r="A9" s="42">
        <f t="shared" si="0"/>
        <v>7</v>
      </c>
      <c r="B9" s="44">
        <f xml:space="preserve"> 'HoE Chart'!$B89</f>
        <v>-0.40625</v>
      </c>
      <c r="C9" s="44">
        <f xml:space="preserve"> 'HoE Chart'!$B169</f>
        <v>-0.3125</v>
      </c>
      <c r="D9" s="44">
        <f xml:space="preserve"> 'HoE Chart'!$B249</f>
        <v>-0.4375</v>
      </c>
      <c r="E9" s="44">
        <f xml:space="preserve"> 'HoE Chart'!$B329</f>
        <v>-0.9375</v>
      </c>
    </row>
    <row r="10" spans="1:50" x14ac:dyDescent="0.3">
      <c r="A10" s="42">
        <f t="shared" si="0"/>
        <v>8</v>
      </c>
      <c r="B10" s="44">
        <f xml:space="preserve"> 'HoE Chart'!$B90</f>
        <v>-0.3125</v>
      </c>
      <c r="C10" s="44">
        <f xml:space="preserve"> 'HoE Chart'!$B170</f>
        <v>-0.5625</v>
      </c>
      <c r="D10" s="44">
        <f xml:space="preserve"> 'HoE Chart'!$B250</f>
        <v>3.125E-2</v>
      </c>
      <c r="E10" s="44">
        <f xml:space="preserve"> 'HoE Chart'!$B330</f>
        <v>-1.09375</v>
      </c>
    </row>
    <row r="11" spans="1:50" x14ac:dyDescent="0.3">
      <c r="A11" s="42">
        <f t="shared" si="0"/>
        <v>9</v>
      </c>
      <c r="B11" s="44">
        <f xml:space="preserve"> 'HoE Chart'!$B91</f>
        <v>0.15625</v>
      </c>
      <c r="C11" s="44">
        <f xml:space="preserve"> 'HoE Chart'!$B171</f>
        <v>-1.03125</v>
      </c>
      <c r="D11" s="44">
        <f xml:space="preserve"> 'HoE Chart'!$B251</f>
        <v>0.59375</v>
      </c>
      <c r="E11" s="44">
        <f xml:space="preserve"> 'HoE Chart'!$B331</f>
        <v>-0.78125</v>
      </c>
    </row>
    <row r="12" spans="1:50" x14ac:dyDescent="0.3">
      <c r="A12" s="42">
        <f t="shared" si="0"/>
        <v>10</v>
      </c>
      <c r="B12" s="44">
        <f xml:space="preserve"> 'HoE Chart'!$B92</f>
        <v>0.4375</v>
      </c>
      <c r="C12" s="44">
        <f xml:space="preserve"> 'HoE Chart'!$B172</f>
        <v>-9.375E-2</v>
      </c>
      <c r="D12" s="44">
        <f xml:space="preserve"> 'HoE Chart'!$B252</f>
        <v>0.53125</v>
      </c>
      <c r="E12" s="44">
        <f xml:space="preserve"> 'HoE Chart'!$B332</f>
        <v>-1.25</v>
      </c>
    </row>
    <row r="13" spans="1:50" x14ac:dyDescent="0.3">
      <c r="A13" s="42">
        <f t="shared" si="0"/>
        <v>11</v>
      </c>
      <c r="B13" s="44">
        <f xml:space="preserve"> 'HoE Chart'!$B93</f>
        <v>0.21875</v>
      </c>
      <c r="C13" s="44">
        <f xml:space="preserve"> 'HoE Chart'!$B173</f>
        <v>-0.375</v>
      </c>
      <c r="D13" s="44">
        <f xml:space="preserve"> 'HoE Chart'!$B253</f>
        <v>0.59375</v>
      </c>
      <c r="E13" s="44">
        <f xml:space="preserve"> 'HoE Chart'!$B333</f>
        <v>-1.5625</v>
      </c>
    </row>
    <row r="14" spans="1:50" x14ac:dyDescent="0.3">
      <c r="A14" s="42">
        <f t="shared" si="0"/>
        <v>12</v>
      </c>
      <c r="B14" s="44">
        <f xml:space="preserve"> 'HoE Chart'!$B94</f>
        <v>1</v>
      </c>
      <c r="C14" s="44">
        <f xml:space="preserve"> 'HoE Chart'!$B174</f>
        <v>-0.1875</v>
      </c>
      <c r="D14" s="44">
        <f xml:space="preserve"> 'HoE Chart'!$B254</f>
        <v>1.78125</v>
      </c>
      <c r="E14" s="44">
        <f xml:space="preserve"> 'HoE Chart'!$B334</f>
        <v>-0.78125</v>
      </c>
    </row>
    <row r="15" spans="1:50" x14ac:dyDescent="0.3">
      <c r="A15" s="42">
        <f t="shared" si="0"/>
        <v>13</v>
      </c>
      <c r="B15" s="44">
        <f xml:space="preserve"> 'HoE Chart'!$B95</f>
        <v>0.21875</v>
      </c>
      <c r="C15" s="44">
        <f xml:space="preserve"> 'HoE Chart'!$B175</f>
        <v>-6.25E-2</v>
      </c>
      <c r="D15" s="44">
        <f xml:space="preserve"> 'HoE Chart'!$B255</f>
        <v>0.53125</v>
      </c>
      <c r="E15" s="44">
        <f xml:space="preserve"> 'HoE Chart'!$B335</f>
        <v>-0.40625</v>
      </c>
    </row>
    <row r="16" spans="1:50" x14ac:dyDescent="0.3">
      <c r="A16" s="42">
        <f t="shared" si="0"/>
        <v>14</v>
      </c>
      <c r="B16" s="44">
        <f xml:space="preserve"> 'HoE Chart'!$B96</f>
        <v>-0.6875</v>
      </c>
      <c r="C16" s="44">
        <f xml:space="preserve"> 'HoE Chart'!$B176</f>
        <v>-0.28125</v>
      </c>
      <c r="D16" s="44">
        <f xml:space="preserve"> 'HoE Chart'!$B256</f>
        <v>-0.5</v>
      </c>
      <c r="E16" s="44">
        <f xml:space="preserve"> 'HoE Chart'!$B336</f>
        <v>-0.375</v>
      </c>
    </row>
    <row r="17" spans="1:5" x14ac:dyDescent="0.3">
      <c r="A17" s="42">
        <f t="shared" si="0"/>
        <v>15</v>
      </c>
      <c r="B17" s="44">
        <f xml:space="preserve"> 'HoE Chart'!$B97</f>
        <v>-0.4375</v>
      </c>
      <c r="C17" s="44">
        <f xml:space="preserve"> 'HoE Chart'!$B177</f>
        <v>-0.96875</v>
      </c>
      <c r="D17" s="44">
        <f xml:space="preserve"> 'HoE Chart'!$B257</f>
        <v>0.28125</v>
      </c>
      <c r="E17" s="44">
        <f xml:space="preserve"> 'HoE Chart'!$B337</f>
        <v>-0.53125</v>
      </c>
    </row>
    <row r="18" spans="1:5" x14ac:dyDescent="0.3">
      <c r="A18" s="42">
        <f t="shared" si="0"/>
        <v>16</v>
      </c>
      <c r="B18" s="44">
        <f xml:space="preserve"> 'HoE Chart'!$B98</f>
        <v>-0.25</v>
      </c>
      <c r="C18" s="44">
        <f xml:space="preserve"> 'HoE Chart'!$B178</f>
        <v>-0.9375</v>
      </c>
      <c r="D18" s="44">
        <f xml:space="preserve"> 'HoE Chart'!$B258</f>
        <v>-0.6875</v>
      </c>
      <c r="E18" s="44">
        <f xml:space="preserve"> 'HoE Chart'!$B338</f>
        <v>-0.6875</v>
      </c>
    </row>
    <row r="19" spans="1:5" x14ac:dyDescent="0.3">
      <c r="A19" s="42">
        <f t="shared" si="0"/>
        <v>17</v>
      </c>
      <c r="B19" s="44">
        <f xml:space="preserve"> 'HoE Chart'!$B99</f>
        <v>6.25E-2</v>
      </c>
      <c r="C19" s="44">
        <f xml:space="preserve"> 'HoE Chart'!$B179</f>
        <v>-0.40625</v>
      </c>
      <c r="D19" s="44">
        <f xml:space="preserve"> 'HoE Chart'!$B259</f>
        <v>0.65625</v>
      </c>
      <c r="E19" s="44">
        <f xml:space="preserve"> 'HoE Chart'!$B339</f>
        <v>-1.28125</v>
      </c>
    </row>
    <row r="20" spans="1:5" x14ac:dyDescent="0.3">
      <c r="A20" s="56">
        <f t="shared" si="0"/>
        <v>18</v>
      </c>
      <c r="B20" s="57">
        <f xml:space="preserve"> 'HoE Chart'!$B100</f>
        <v>0.1875</v>
      </c>
      <c r="C20" s="57">
        <f xml:space="preserve"> 'HoE Chart'!$B180</f>
        <v>-0.84375</v>
      </c>
      <c r="D20" s="57">
        <f xml:space="preserve"> 'HoE Chart'!$B260</f>
        <v>0.5625</v>
      </c>
      <c r="E20" s="57">
        <f xml:space="preserve"> 'HoE Chart'!$B340</f>
        <v>-1.25</v>
      </c>
    </row>
    <row r="21" spans="1:5" x14ac:dyDescent="0.3">
      <c r="A21" s="42">
        <f t="shared" si="0"/>
        <v>19</v>
      </c>
      <c r="B21" s="44">
        <f xml:space="preserve"> 'HoE Chart'!$B101</f>
        <v>0.5625</v>
      </c>
      <c r="C21" s="44">
        <f xml:space="preserve"> 'HoE Chart'!$B181</f>
        <v>-1.28125</v>
      </c>
      <c r="D21" s="44">
        <f xml:space="preserve"> 'HoE Chart'!$B261</f>
        <v>0.4375</v>
      </c>
      <c r="E21" s="44">
        <f xml:space="preserve"> 'HoE Chart'!$B341</f>
        <v>-1.375</v>
      </c>
    </row>
    <row r="22" spans="1:5" x14ac:dyDescent="0.3">
      <c r="A22" s="42">
        <f t="shared" si="0"/>
        <v>20</v>
      </c>
      <c r="B22" s="44">
        <f xml:space="preserve"> 'HoE Chart'!$B102</f>
        <v>-0.78125</v>
      </c>
      <c r="C22" s="44">
        <f xml:space="preserve"> 'HoE Chart'!$B182</f>
        <v>-1</v>
      </c>
      <c r="D22" s="44">
        <f xml:space="preserve"> 'HoE Chart'!$B262</f>
        <v>-0.5625</v>
      </c>
      <c r="E22" s="44">
        <f xml:space="preserve"> 'HoE Chart'!$B342</f>
        <v>-1.15625</v>
      </c>
    </row>
    <row r="23" spans="1:5" x14ac:dyDescent="0.3">
      <c r="A23" s="42">
        <f t="shared" si="0"/>
        <v>21</v>
      </c>
      <c r="B23" s="44">
        <f xml:space="preserve"> 'HoE Chart'!$B103</f>
        <v>-0.53125</v>
      </c>
      <c r="C23" s="44">
        <f xml:space="preserve"> 'HoE Chart'!$B183</f>
        <v>-0.84375</v>
      </c>
      <c r="D23" s="44">
        <f xml:space="preserve"> 'HoE Chart'!$B263</f>
        <v>-0.4375</v>
      </c>
      <c r="E23" s="44">
        <f xml:space="preserve"> 'HoE Chart'!$B343</f>
        <v>-1.34375</v>
      </c>
    </row>
    <row r="24" spans="1:5" x14ac:dyDescent="0.3">
      <c r="A24" s="42">
        <f t="shared" si="0"/>
        <v>22</v>
      </c>
      <c r="B24" s="44">
        <f xml:space="preserve"> 'HoE Chart'!$B104</f>
        <v>0.40625</v>
      </c>
      <c r="C24" s="44">
        <f xml:space="preserve"> 'HoE Chart'!$B184</f>
        <v>-0.6875</v>
      </c>
      <c r="D24" s="44">
        <f xml:space="preserve"> 'HoE Chart'!$B264</f>
        <v>0.125</v>
      </c>
      <c r="E24" s="44">
        <f xml:space="preserve"> 'HoE Chart'!$B344</f>
        <v>-0.90625</v>
      </c>
    </row>
    <row r="25" spans="1:5" x14ac:dyDescent="0.3">
      <c r="A25" s="42">
        <f t="shared" si="0"/>
        <v>23</v>
      </c>
      <c r="B25" s="44">
        <f xml:space="preserve"> 'HoE Chart'!$B105</f>
        <v>-0.75</v>
      </c>
      <c r="C25" s="44">
        <f xml:space="preserve"> 'HoE Chart'!$B185</f>
        <v>-0.625</v>
      </c>
      <c r="D25" s="44">
        <f xml:space="preserve"> 'HoE Chart'!$B265</f>
        <v>-0.75</v>
      </c>
      <c r="E25" s="44">
        <f xml:space="preserve"> 'HoE Chart'!$B345</f>
        <v>-0.5</v>
      </c>
    </row>
    <row r="26" spans="1:5" x14ac:dyDescent="0.3">
      <c r="A26" s="42">
        <f t="shared" si="0"/>
        <v>24</v>
      </c>
      <c r="B26" s="44">
        <f xml:space="preserve"> 'HoE Chart'!$B106</f>
        <v>9.375E-2</v>
      </c>
      <c r="C26" s="44">
        <f xml:space="preserve"> 'HoE Chart'!$B186</f>
        <v>-0.4375</v>
      </c>
      <c r="D26" s="44">
        <f xml:space="preserve"> 'HoE Chart'!$B266</f>
        <v>0.15625</v>
      </c>
      <c r="E26" s="44">
        <f xml:space="preserve"> 'HoE Chart'!$B346</f>
        <v>-0.875</v>
      </c>
    </row>
    <row r="27" spans="1:5" x14ac:dyDescent="0.3">
      <c r="A27" s="42">
        <f t="shared" si="0"/>
        <v>25</v>
      </c>
      <c r="B27" s="44">
        <f xml:space="preserve"> 'HoE Chart'!$B107</f>
        <v>0.3125</v>
      </c>
      <c r="C27" s="44">
        <f xml:space="preserve"> 'HoE Chart'!$B187</f>
        <v>-0.71875</v>
      </c>
      <c r="D27" s="44">
        <f xml:space="preserve"> 'HoE Chart'!$B267</f>
        <v>0.71875</v>
      </c>
      <c r="E27" s="44">
        <f xml:space="preserve"> 'HoE Chart'!$B347</f>
        <v>-1.25</v>
      </c>
    </row>
    <row r="28" spans="1:5" x14ac:dyDescent="0.3">
      <c r="A28" s="42">
        <f t="shared" si="0"/>
        <v>26</v>
      </c>
      <c r="B28" s="44">
        <f xml:space="preserve"> 'HoE Chart'!$B108</f>
        <v>-0.25</v>
      </c>
      <c r="C28" s="44">
        <f xml:space="preserve"> 'HoE Chart'!$B188</f>
        <v>-1.0625</v>
      </c>
      <c r="D28" s="44">
        <f xml:space="preserve"> 'HoE Chart'!$B268</f>
        <v>0.25</v>
      </c>
      <c r="E28" s="44">
        <f xml:space="preserve"> 'HoE Chart'!$B348</f>
        <v>-1.21875</v>
      </c>
    </row>
    <row r="29" spans="1:5" x14ac:dyDescent="0.3">
      <c r="A29" s="42">
        <f t="shared" si="0"/>
        <v>27</v>
      </c>
      <c r="B29" s="44">
        <f xml:space="preserve"> 'HoE Chart'!$B109</f>
        <v>6.25E-2</v>
      </c>
      <c r="C29" s="44">
        <f xml:space="preserve"> 'HoE Chart'!$B189</f>
        <v>-0.875</v>
      </c>
      <c r="D29" s="44">
        <f xml:space="preserve"> 'HoE Chart'!$B269</f>
        <v>0.6875</v>
      </c>
      <c r="E29" s="44">
        <f xml:space="preserve"> 'HoE Chart'!$B349</f>
        <v>-0.90625</v>
      </c>
    </row>
    <row r="30" spans="1:5" x14ac:dyDescent="0.3">
      <c r="A30" s="42">
        <f t="shared" si="0"/>
        <v>28</v>
      </c>
      <c r="B30" s="44">
        <f xml:space="preserve"> 'HoE Chart'!$B110</f>
        <v>0.25</v>
      </c>
      <c r="C30" s="44">
        <f xml:space="preserve"> 'HoE Chart'!$B190</f>
        <v>-0.40625</v>
      </c>
      <c r="D30" s="44">
        <f xml:space="preserve"> 'HoE Chart'!$B270</f>
        <v>0.25</v>
      </c>
      <c r="E30" s="44">
        <f xml:space="preserve"> 'HoE Chart'!$B350</f>
        <v>-0.84375</v>
      </c>
    </row>
    <row r="31" spans="1:5" x14ac:dyDescent="0.3">
      <c r="A31" s="42">
        <f t="shared" si="0"/>
        <v>29</v>
      </c>
      <c r="B31" s="44">
        <f xml:space="preserve"> 'HoE Chart'!$B111</f>
        <v>-0.125</v>
      </c>
      <c r="C31" s="44">
        <f xml:space="preserve"> 'HoE Chart'!$B191</f>
        <v>-0.71875</v>
      </c>
      <c r="D31" s="44">
        <f xml:space="preserve"> 'HoE Chart'!$B271</f>
        <v>0.59375</v>
      </c>
      <c r="E31" s="44">
        <f xml:space="preserve"> 'HoE Chart'!$B351</f>
        <v>-1.15625</v>
      </c>
    </row>
    <row r="32" spans="1:5" x14ac:dyDescent="0.3">
      <c r="A32" s="42">
        <f t="shared" si="0"/>
        <v>30</v>
      </c>
      <c r="B32" s="44">
        <f xml:space="preserve"> 'HoE Chart'!$B112</f>
        <v>0.25</v>
      </c>
      <c r="C32" s="44">
        <f xml:space="preserve"> 'HoE Chart'!$B192</f>
        <v>-0.5</v>
      </c>
      <c r="D32" s="44">
        <f xml:space="preserve"> 'HoE Chart'!$B272</f>
        <v>0.71875</v>
      </c>
      <c r="E32" s="44">
        <f xml:space="preserve"> 'HoE Chart'!$B352</f>
        <v>-1.09375</v>
      </c>
    </row>
    <row r="33" spans="1:5" x14ac:dyDescent="0.3">
      <c r="A33" s="42">
        <f t="shared" si="0"/>
        <v>31</v>
      </c>
      <c r="B33" s="44">
        <f xml:space="preserve"> 'HoE Chart'!$B113</f>
        <v>9.375E-2</v>
      </c>
      <c r="C33" s="44">
        <f xml:space="preserve"> 'HoE Chart'!$B193</f>
        <v>-1.09375</v>
      </c>
      <c r="D33" s="44">
        <f xml:space="preserve"> 'HoE Chart'!$B273</f>
        <v>0.21875</v>
      </c>
      <c r="E33" s="44">
        <f xml:space="preserve"> 'HoE Chart'!$B353</f>
        <v>-1.625</v>
      </c>
    </row>
    <row r="34" spans="1:5" x14ac:dyDescent="0.3">
      <c r="A34" s="42">
        <f t="shared" si="0"/>
        <v>32</v>
      </c>
      <c r="B34" s="44">
        <f xml:space="preserve"> 'HoE Chart'!$B114</f>
        <v>0.875</v>
      </c>
      <c r="C34" s="44">
        <f xml:space="preserve"> 'HoE Chart'!$B194</f>
        <v>-0.21875</v>
      </c>
      <c r="D34" s="44">
        <f xml:space="preserve"> 'HoE Chart'!$B274</f>
        <v>0.96875</v>
      </c>
      <c r="E34" s="44">
        <f xml:space="preserve"> 'HoE Chart'!$B354</f>
        <v>-1.125</v>
      </c>
    </row>
    <row r="35" spans="1:5" x14ac:dyDescent="0.3">
      <c r="A35" s="42">
        <f t="shared" si="0"/>
        <v>33</v>
      </c>
      <c r="B35" s="44">
        <f xml:space="preserve"> 'HoE Chart'!$B115</f>
        <v>-0.1875</v>
      </c>
      <c r="C35" s="44">
        <f xml:space="preserve"> 'HoE Chart'!$B195</f>
        <v>-0.1875</v>
      </c>
      <c r="D35" s="44">
        <f xml:space="preserve"> 'HoE Chart'!$B275</f>
        <v>0.28125</v>
      </c>
      <c r="E35" s="44">
        <f xml:space="preserve"> 'HoE Chart'!$B355</f>
        <v>-0.65625</v>
      </c>
    </row>
    <row r="36" spans="1:5" x14ac:dyDescent="0.3">
      <c r="A36" s="42">
        <f t="shared" si="0"/>
        <v>34</v>
      </c>
      <c r="B36" s="44">
        <f xml:space="preserve"> 'HoE Chart'!$B116</f>
        <v>0.21875</v>
      </c>
      <c r="C36" s="44">
        <f xml:space="preserve"> 'HoE Chart'!$B196</f>
        <v>-1.15625</v>
      </c>
      <c r="D36" s="44">
        <f xml:space="preserve"> 'HoE Chart'!$B276</f>
        <v>0.375</v>
      </c>
      <c r="E36" s="44">
        <f xml:space="preserve"> 'HoE Chart'!$B356</f>
        <v>-1.25</v>
      </c>
    </row>
    <row r="37" spans="1:5" x14ac:dyDescent="0.3">
      <c r="A37" s="42">
        <f t="shared" si="0"/>
        <v>35</v>
      </c>
      <c r="B37" s="44">
        <f xml:space="preserve"> 'HoE Chart'!$B117</f>
        <v>0.40625</v>
      </c>
      <c r="C37" s="44">
        <f xml:space="preserve"> 'HoE Chart'!$B197</f>
        <v>-0.28125</v>
      </c>
      <c r="D37" s="44">
        <f xml:space="preserve"> 'HoE Chart'!$B277</f>
        <v>0.3125</v>
      </c>
      <c r="E37" s="44">
        <f xml:space="preserve"> 'HoE Chart'!$B357</f>
        <v>-0.8125</v>
      </c>
    </row>
    <row r="38" spans="1:5" x14ac:dyDescent="0.3">
      <c r="A38" s="42">
        <f t="shared" si="0"/>
        <v>36</v>
      </c>
      <c r="B38" s="44">
        <f xml:space="preserve"> 'HoE Chart'!$B118</f>
        <v>-0.21875</v>
      </c>
      <c r="C38" s="44">
        <f xml:space="preserve"> 'HoE Chart'!$B198</f>
        <v>-0.28125</v>
      </c>
      <c r="D38" s="44">
        <f xml:space="preserve"> 'HoE Chart'!$B278</f>
        <v>3.125E-2</v>
      </c>
      <c r="E38" s="44">
        <f xml:space="preserve"> 'HoE Chart'!$B358</f>
        <v>-0.9375</v>
      </c>
    </row>
    <row r="39" spans="1:5" x14ac:dyDescent="0.3">
      <c r="A39" s="42">
        <f t="shared" si="0"/>
        <v>37</v>
      </c>
      <c r="B39" s="44">
        <f xml:space="preserve"> 'HoE Chart'!$B119</f>
        <v>-0.65625</v>
      </c>
      <c r="C39" s="44">
        <f xml:space="preserve"> 'HoE Chart'!$B199</f>
        <v>-0.34375</v>
      </c>
      <c r="D39" s="44">
        <f xml:space="preserve"> 'HoE Chart'!$B279</f>
        <v>-0.9375</v>
      </c>
      <c r="E39" s="44">
        <f xml:space="preserve"> 'HoE Chart'!$B359</f>
        <v>-9.375E-2</v>
      </c>
    </row>
    <row r="40" spans="1:5" x14ac:dyDescent="0.3">
      <c r="A40" s="42">
        <f t="shared" si="0"/>
        <v>38</v>
      </c>
      <c r="B40" s="44">
        <f xml:space="preserve"> 'HoE Chart'!$B120</f>
        <v>-0.5625</v>
      </c>
      <c r="C40" s="44">
        <f xml:space="preserve"> 'HoE Chart'!$B200</f>
        <v>-0.21875</v>
      </c>
      <c r="D40" s="44">
        <f xml:space="preserve"> 'HoE Chart'!$B280</f>
        <v>-0.46875</v>
      </c>
      <c r="E40" s="44">
        <f xml:space="preserve"> 'HoE Chart'!$B360</f>
        <v>-0.59375</v>
      </c>
    </row>
    <row r="41" spans="1:5" x14ac:dyDescent="0.3">
      <c r="A41" s="42">
        <f t="shared" si="0"/>
        <v>39</v>
      </c>
      <c r="B41" s="44">
        <f xml:space="preserve"> 'HoE Chart'!$B121</f>
        <v>-0.15625</v>
      </c>
      <c r="C41" s="44">
        <f xml:space="preserve"> 'HoE Chart'!$B201</f>
        <v>-0.15625</v>
      </c>
      <c r="D41" s="44">
        <f xml:space="preserve"> 'HoE Chart'!$B281</f>
        <v>0.15625</v>
      </c>
      <c r="E41" s="44">
        <f xml:space="preserve"> 'HoE Chart'!$B361</f>
        <v>-0.78125</v>
      </c>
    </row>
    <row r="42" spans="1:5" x14ac:dyDescent="0.3">
      <c r="A42" s="42">
        <f t="shared" si="0"/>
        <v>40</v>
      </c>
      <c r="B42" s="44">
        <f xml:space="preserve"> 'HoE Chart'!$B122</f>
        <v>0.21875</v>
      </c>
      <c r="C42" s="44">
        <f xml:space="preserve"> 'HoE Chart'!$B202</f>
        <v>-1.4375</v>
      </c>
      <c r="D42" s="44">
        <f xml:space="preserve"> 'HoE Chart'!$B282</f>
        <v>0.3125</v>
      </c>
      <c r="E42" s="44">
        <f xml:space="preserve"> 'HoE Chart'!$B362</f>
        <v>-1.53125</v>
      </c>
    </row>
    <row r="43" spans="1:5" x14ac:dyDescent="0.3">
      <c r="A43" s="42">
        <f t="shared" si="0"/>
        <v>41</v>
      </c>
      <c r="B43" s="44">
        <f xml:space="preserve"> 'HoE Chart'!$B123</f>
        <v>-0.34375</v>
      </c>
      <c r="C43" s="44">
        <f xml:space="preserve"> 'HoE Chart'!$B203</f>
        <v>-1.21875</v>
      </c>
      <c r="D43" s="44">
        <f xml:space="preserve"> 'HoE Chart'!$B283</f>
        <v>-0.375</v>
      </c>
      <c r="E43" s="44">
        <f xml:space="preserve"> 'HoE Chart'!$B363</f>
        <v>-1</v>
      </c>
    </row>
    <row r="44" spans="1:5" x14ac:dyDescent="0.3">
      <c r="A44" s="42">
        <f t="shared" si="0"/>
        <v>42</v>
      </c>
      <c r="B44" s="44">
        <f xml:space="preserve"> 'HoE Chart'!$B124</f>
        <v>-0.40625</v>
      </c>
      <c r="C44" s="44">
        <f xml:space="preserve"> 'HoE Chart'!$B204</f>
        <v>-0.46875</v>
      </c>
      <c r="D44" s="44">
        <f xml:space="preserve"> 'HoE Chart'!$B284</f>
        <v>-0.5</v>
      </c>
      <c r="E44" s="44">
        <f xml:space="preserve"> 'HoE Chart'!$B364</f>
        <v>-0.8125</v>
      </c>
    </row>
    <row r="45" spans="1:5" x14ac:dyDescent="0.3">
      <c r="A45" s="42">
        <f t="shared" si="0"/>
        <v>43</v>
      </c>
      <c r="B45" s="44">
        <f xml:space="preserve"> 'HoE Chart'!$B125</f>
        <v>-0.21875</v>
      </c>
      <c r="C45" s="44">
        <f xml:space="preserve"> 'HoE Chart'!$B205</f>
        <v>-9.375E-2</v>
      </c>
      <c r="D45" s="44">
        <f xml:space="preserve"> 'HoE Chart'!$B285</f>
        <v>0.125</v>
      </c>
      <c r="E45" s="44">
        <f xml:space="preserve"> 'HoE Chart'!$B365</f>
        <v>-0.1875</v>
      </c>
    </row>
    <row r="46" spans="1:5" x14ac:dyDescent="0.3">
      <c r="A46" s="42">
        <f t="shared" si="0"/>
        <v>44</v>
      </c>
      <c r="B46" s="44">
        <f xml:space="preserve"> 'HoE Chart'!$B126</f>
        <v>-0.65625</v>
      </c>
      <c r="C46" s="44">
        <f xml:space="preserve"> 'HoE Chart'!$B206</f>
        <v>-0.3125</v>
      </c>
      <c r="D46" s="44">
        <f xml:space="preserve"> 'HoE Chart'!$B286</f>
        <v>-0.15625</v>
      </c>
      <c r="E46" s="44">
        <f xml:space="preserve"> 'HoE Chart'!$B366</f>
        <v>9.375E-2</v>
      </c>
    </row>
    <row r="47" spans="1:5" x14ac:dyDescent="0.3">
      <c r="A47" s="42">
        <f t="shared" si="0"/>
        <v>45</v>
      </c>
      <c r="B47" s="44">
        <f xml:space="preserve"> 'HoE Chart'!$B127</f>
        <v>-0.15625</v>
      </c>
      <c r="C47" s="44">
        <f xml:space="preserve"> 'HoE Chart'!$B207</f>
        <v>-0.28125</v>
      </c>
      <c r="D47" s="44">
        <f xml:space="preserve"> 'HoE Chart'!$B287</f>
        <v>0</v>
      </c>
      <c r="E47" s="44">
        <f xml:space="preserve"> 'HoE Chart'!$B367</f>
        <v>0.375</v>
      </c>
    </row>
    <row r="48" spans="1:5" x14ac:dyDescent="0.3">
      <c r="A48" s="42">
        <f t="shared" si="0"/>
        <v>46</v>
      </c>
      <c r="B48" s="44">
        <f xml:space="preserve"> 'HoE Chart'!$B128</f>
        <v>-0.59375</v>
      </c>
      <c r="C48" s="44">
        <f xml:space="preserve"> 'HoE Chart'!$B208</f>
        <v>-0.6875</v>
      </c>
      <c r="D48" s="44">
        <f xml:space="preserve"> 'HoE Chart'!$B288</f>
        <v>-0.5</v>
      </c>
      <c r="E48" s="44">
        <f xml:space="preserve"> 'HoE Chart'!$B368</f>
        <v>0.5625</v>
      </c>
    </row>
    <row r="49" spans="1:5" x14ac:dyDescent="0.3">
      <c r="A49" s="56">
        <f t="shared" si="0"/>
        <v>47</v>
      </c>
      <c r="B49" s="57">
        <f xml:space="preserve"> 'HoE Chart'!$B129</f>
        <v>0.15625</v>
      </c>
      <c r="C49" s="57">
        <f xml:space="preserve"> 'HoE Chart'!$B209</f>
        <v>-3.125E-2</v>
      </c>
      <c r="D49" s="57">
        <f xml:space="preserve"> 'HoE Chart'!$B289</f>
        <v>0.375</v>
      </c>
      <c r="E49" s="57">
        <f xml:space="preserve"> 'HoE Chart'!$B369</f>
        <v>-0.78125</v>
      </c>
    </row>
    <row r="50" spans="1:5" x14ac:dyDescent="0.3">
      <c r="A50" s="42">
        <f t="shared" si="0"/>
        <v>48</v>
      </c>
      <c r="B50" s="44">
        <f xml:space="preserve"> 'HoE Chart'!$B130</f>
        <v>-0.4375</v>
      </c>
      <c r="C50" s="44">
        <f xml:space="preserve"> 'HoE Chart'!$B210</f>
        <v>-0.5625</v>
      </c>
      <c r="D50" s="44">
        <f xml:space="preserve"> 'HoE Chart'!$B290</f>
        <v>-0.28125</v>
      </c>
      <c r="E50" s="44">
        <f xml:space="preserve"> 'HoE Chart'!$B370</f>
        <v>-1.15625</v>
      </c>
    </row>
    <row r="51" spans="1:5" x14ac:dyDescent="0.3">
      <c r="A51" s="42">
        <f t="shared" si="0"/>
        <v>49</v>
      </c>
      <c r="B51" s="44">
        <f xml:space="preserve"> 'HoE Chart'!$B131</f>
        <v>-0.21875</v>
      </c>
      <c r="C51" s="44">
        <f xml:space="preserve"> 'HoE Chart'!$B211</f>
        <v>-0.5</v>
      </c>
      <c r="D51" s="44">
        <f xml:space="preserve"> 'HoE Chart'!$B291</f>
        <v>6.25E-2</v>
      </c>
      <c r="E51" s="44">
        <f xml:space="preserve"> 'HoE Chart'!$B371</f>
        <v>-1.34375</v>
      </c>
    </row>
    <row r="52" spans="1:5" x14ac:dyDescent="0.3">
      <c r="A52" s="42">
        <f t="shared" si="0"/>
        <v>50</v>
      </c>
      <c r="B52" s="44">
        <f xml:space="preserve"> 'HoE Chart'!$B132</f>
        <v>-0.21875</v>
      </c>
      <c r="C52" s="44">
        <f xml:space="preserve"> 'HoE Chart'!$B212</f>
        <v>-0.84375</v>
      </c>
      <c r="D52" s="44">
        <f xml:space="preserve"> 'HoE Chart'!$B292</f>
        <v>0.125</v>
      </c>
      <c r="E52" s="44">
        <f xml:space="preserve"> 'HoE Chart'!$B372</f>
        <v>-1.03125</v>
      </c>
    </row>
    <row r="53" spans="1:5" x14ac:dyDescent="0.3">
      <c r="A53" s="42">
        <f t="shared" si="0"/>
        <v>51</v>
      </c>
      <c r="B53" s="44">
        <f xml:space="preserve"> 'HoE Chart'!$B133</f>
        <v>-0.1875</v>
      </c>
      <c r="C53" s="44">
        <f xml:space="preserve"> 'HoE Chart'!$B213</f>
        <v>-0.6875</v>
      </c>
      <c r="D53" s="44">
        <f xml:space="preserve"> 'HoE Chart'!$B293</f>
        <v>-0.28125</v>
      </c>
      <c r="E53" s="44">
        <f xml:space="preserve"> 'HoE Chart'!$B373</f>
        <v>-0.28125</v>
      </c>
    </row>
    <row r="54" spans="1:5" x14ac:dyDescent="0.3">
      <c r="A54" s="42">
        <f t="shared" si="0"/>
        <v>52</v>
      </c>
      <c r="B54" s="44">
        <f xml:space="preserve"> 'HoE Chart'!$B134</f>
        <v>-0.125</v>
      </c>
      <c r="C54" s="44">
        <f xml:space="preserve"> 'HoE Chart'!$B214</f>
        <v>-0.1875</v>
      </c>
      <c r="D54" s="44">
        <f xml:space="preserve"> 'HoE Chart'!$B294</f>
        <v>-0.5625</v>
      </c>
      <c r="E54" s="44">
        <f xml:space="preserve"> 'HoE Chart'!$B374</f>
        <v>-0.78125</v>
      </c>
    </row>
    <row r="55" spans="1:5" x14ac:dyDescent="0.3">
      <c r="A55" s="42">
        <f t="shared" si="0"/>
        <v>53</v>
      </c>
      <c r="B55" s="44">
        <f xml:space="preserve"> 'HoE Chart'!$B135</f>
        <v>-0.46875</v>
      </c>
      <c r="C55" s="44">
        <f xml:space="preserve"> 'HoE Chart'!$B215</f>
        <v>-0.25</v>
      </c>
      <c r="D55" s="44">
        <f xml:space="preserve"> 'HoE Chart'!$B295</f>
        <v>-0.34375</v>
      </c>
      <c r="E55" s="44">
        <f xml:space="preserve"> 'HoE Chart'!$B375</f>
        <v>-0.1875</v>
      </c>
    </row>
    <row r="56" spans="1:5" x14ac:dyDescent="0.3">
      <c r="A56" s="42">
        <f t="shared" si="0"/>
        <v>54</v>
      </c>
      <c r="B56" s="44">
        <f xml:space="preserve"> 'HoE Chart'!$B136</f>
        <v>-0.625</v>
      </c>
      <c r="C56" s="44">
        <f xml:space="preserve"> 'HoE Chart'!$B216</f>
        <v>9.375E-2</v>
      </c>
      <c r="D56" s="44">
        <f xml:space="preserve"> 'HoE Chart'!$B296</f>
        <v>-0.125</v>
      </c>
      <c r="E56" s="44">
        <f xml:space="preserve"> 'HoE Chart'!$B376</f>
        <v>-0.5</v>
      </c>
    </row>
    <row r="57" spans="1:5" x14ac:dyDescent="0.3">
      <c r="A57" s="42">
        <f t="shared" si="0"/>
        <v>55</v>
      </c>
      <c r="B57" s="44">
        <f xml:space="preserve"> 'HoE Chart'!$B137</f>
        <v>0.5625</v>
      </c>
      <c r="C57" s="44">
        <f xml:space="preserve"> 'HoE Chart'!$B217</f>
        <v>9.375E-2</v>
      </c>
      <c r="D57" s="44">
        <f xml:space="preserve"> 'HoE Chart'!$B297</f>
        <v>0.125</v>
      </c>
      <c r="E57" s="44">
        <f xml:space="preserve"> 'HoE Chart'!$B377</f>
        <v>-0.5</v>
      </c>
    </row>
    <row r="58" spans="1:5" x14ac:dyDescent="0.3">
      <c r="A58" s="42">
        <f t="shared" si="0"/>
        <v>56</v>
      </c>
      <c r="B58" s="44">
        <f xml:space="preserve"> 'HoE Chart'!$B138</f>
        <v>-0.125</v>
      </c>
      <c r="C58" s="44">
        <f xml:space="preserve"> 'HoE Chart'!$B218</f>
        <v>-9.375E-2</v>
      </c>
      <c r="D58" s="44">
        <f xml:space="preserve"> 'HoE Chart'!$B298</f>
        <v>0.375</v>
      </c>
      <c r="E58" s="44">
        <f xml:space="preserve"> 'HoE Chart'!$B378</f>
        <v>-0.9375</v>
      </c>
    </row>
    <row r="59" spans="1:5" x14ac:dyDescent="0.3">
      <c r="A59" s="42">
        <f t="shared" si="0"/>
        <v>57</v>
      </c>
      <c r="B59" s="44">
        <f xml:space="preserve"> 'HoE Chart'!$B139</f>
        <v>-6.25E-2</v>
      </c>
      <c r="C59" s="44">
        <f xml:space="preserve"> 'HoE Chart'!$B219</f>
        <v>-0.4375</v>
      </c>
      <c r="D59" s="44">
        <f xml:space="preserve"> 'HoE Chart'!$B299</f>
        <v>3.125E-2</v>
      </c>
      <c r="E59" s="44">
        <f xml:space="preserve"> 'HoE Chart'!$B379</f>
        <v>-1.15625</v>
      </c>
    </row>
    <row r="60" spans="1:5" x14ac:dyDescent="0.3">
      <c r="A60" s="42">
        <f t="shared" si="0"/>
        <v>58</v>
      </c>
      <c r="B60" s="44">
        <f xml:space="preserve"> 'HoE Chart'!$B140</f>
        <v>-0.25</v>
      </c>
      <c r="C60" s="44">
        <f xml:space="preserve"> 'HoE Chart'!$B220</f>
        <v>-0.75</v>
      </c>
      <c r="D60" s="44">
        <f xml:space="preserve"> 'HoE Chart'!$B300</f>
        <v>-0.34375</v>
      </c>
      <c r="E60" s="44">
        <f xml:space="preserve"> 'HoE Chart'!$B380</f>
        <v>-1.59375</v>
      </c>
    </row>
    <row r="61" spans="1:5" x14ac:dyDescent="0.3">
      <c r="A61" s="56">
        <f t="shared" si="0"/>
        <v>59</v>
      </c>
      <c r="B61" s="57">
        <f xml:space="preserve"> 'HoE Chart'!$B141</f>
        <v>-0.40625</v>
      </c>
      <c r="C61" s="57">
        <f xml:space="preserve"> 'HoE Chart'!$B221</f>
        <v>0.1875</v>
      </c>
      <c r="D61" s="57">
        <f xml:space="preserve"> 'HoE Chart'!$B301</f>
        <v>-0.3125</v>
      </c>
      <c r="E61" s="57">
        <f xml:space="preserve"> 'HoE Chart'!$B381</f>
        <v>0.375</v>
      </c>
    </row>
    <row r="62" spans="1:5" x14ac:dyDescent="0.3">
      <c r="A62" s="42">
        <f t="shared" si="0"/>
        <v>60</v>
      </c>
      <c r="B62" s="44">
        <f xml:space="preserve"> 'HoE Chart'!$B142</f>
        <v>0.40625</v>
      </c>
      <c r="C62" s="44">
        <f xml:space="preserve"> 'HoE Chart'!$B222</f>
        <v>0.15625</v>
      </c>
      <c r="D62" s="44">
        <f xml:space="preserve"> 'HoE Chart'!$B302</f>
        <v>0.90625</v>
      </c>
      <c r="E62" s="44">
        <f xml:space="preserve"> 'HoE Chart'!$B382</f>
        <v>-0.25</v>
      </c>
    </row>
    <row r="63" spans="1:5" x14ac:dyDescent="0.3">
      <c r="A63" s="42">
        <f t="shared" si="0"/>
        <v>61</v>
      </c>
      <c r="B63" s="44">
        <f xml:space="preserve"> 'HoE Chart'!$B143</f>
        <v>3.125E-2</v>
      </c>
      <c r="C63" s="44">
        <f xml:space="preserve"> 'HoE Chart'!$B223</f>
        <v>-0.15625</v>
      </c>
      <c r="D63" s="44">
        <f xml:space="preserve"> 'HoE Chart'!$B303</f>
        <v>-0.21875</v>
      </c>
      <c r="E63" s="44">
        <f xml:space="preserve"> 'HoE Chart'!$B383</f>
        <v>-0.6875</v>
      </c>
    </row>
    <row r="64" spans="1:5" x14ac:dyDescent="0.3">
      <c r="A64" s="42">
        <f t="shared" si="0"/>
        <v>62</v>
      </c>
      <c r="B64" s="44">
        <f xml:space="preserve"> 'HoE Chart'!$B144</f>
        <v>-0.1875</v>
      </c>
      <c r="C64" s="44">
        <f xml:space="preserve"> 'HoE Chart'!$B224</f>
        <v>-0.3125</v>
      </c>
      <c r="D64" s="44">
        <f xml:space="preserve"> 'HoE Chart'!$B304</f>
        <v>-0.40625</v>
      </c>
      <c r="E64" s="44">
        <f xml:space="preserve"> 'HoE Chart'!$B384</f>
        <v>6.25E-2</v>
      </c>
    </row>
    <row r="65" spans="1:5" x14ac:dyDescent="0.3">
      <c r="A65" s="42">
        <f t="shared" si="0"/>
        <v>63</v>
      </c>
      <c r="B65" s="44">
        <f xml:space="preserve"> 'HoE Chart'!$B145</f>
        <v>-0.1875</v>
      </c>
      <c r="C65" s="44">
        <f xml:space="preserve"> 'HoE Chart'!$B225</f>
        <v>-0.40625</v>
      </c>
      <c r="D65" s="44">
        <f xml:space="preserve"> 'HoE Chart'!$B305</f>
        <v>-0.40625</v>
      </c>
      <c r="E65" s="44">
        <f xml:space="preserve"> 'HoE Chart'!$B385</f>
        <v>-0.78125</v>
      </c>
    </row>
    <row r="66" spans="1:5" x14ac:dyDescent="0.3">
      <c r="A66" s="42">
        <f t="shared" si="0"/>
        <v>64</v>
      </c>
      <c r="B66" s="44">
        <f xml:space="preserve"> 'HoE Chart'!$B146</f>
        <v>-0.5625</v>
      </c>
      <c r="C66" s="44">
        <f xml:space="preserve"> 'HoE Chart'!$B226</f>
        <v>-0.65625</v>
      </c>
      <c r="D66" s="44">
        <f xml:space="preserve"> 'HoE Chart'!$B306</f>
        <v>-0.5625</v>
      </c>
      <c r="E66" s="44">
        <f xml:space="preserve"> 'HoE Chart'!$B386</f>
        <v>-0.90625</v>
      </c>
    </row>
    <row r="67" spans="1:5" x14ac:dyDescent="0.3">
      <c r="A67" s="42">
        <f t="shared" si="0"/>
        <v>65</v>
      </c>
      <c r="B67" s="44">
        <f xml:space="preserve"> 'HoE Chart'!$B147</f>
        <v>-0.1875</v>
      </c>
      <c r="C67" s="44">
        <f xml:space="preserve"> 'HoE Chart'!$B227</f>
        <v>-0.78125</v>
      </c>
      <c r="D67" s="44">
        <f xml:space="preserve"> 'HoE Chart'!$B307</f>
        <v>0.125</v>
      </c>
      <c r="E67" s="44">
        <f xml:space="preserve"> 'HoE Chart'!$B387</f>
        <v>-1.5</v>
      </c>
    </row>
    <row r="68" spans="1:5" x14ac:dyDescent="0.3">
      <c r="A68" s="42">
        <f t="shared" si="0"/>
        <v>66</v>
      </c>
      <c r="B68" s="44">
        <f xml:space="preserve"> 'HoE Chart'!$B148</f>
        <v>-0.625</v>
      </c>
      <c r="C68" s="44">
        <f xml:space="preserve"> 'HoE Chart'!$B228</f>
        <v>-0.90625</v>
      </c>
      <c r="D68" s="44">
        <f xml:space="preserve"> 'HoE Chart'!$B308</f>
        <v>-0.625</v>
      </c>
      <c r="E68" s="44">
        <f xml:space="preserve"> 'HoE Chart'!$B388</f>
        <v>-1.75</v>
      </c>
    </row>
    <row r="69" spans="1:5" x14ac:dyDescent="0.3">
      <c r="A69" s="42">
        <f t="shared" ref="A69:A74" si="1" xml:space="preserve"> A68 + 1</f>
        <v>67</v>
      </c>
      <c r="B69" s="44">
        <f xml:space="preserve"> 'HoE Chart'!$B149</f>
        <v>-0.53125</v>
      </c>
      <c r="C69" s="44">
        <f xml:space="preserve"> 'HoE Chart'!$B229</f>
        <v>-0.75</v>
      </c>
      <c r="D69" s="44">
        <f xml:space="preserve"> 'HoE Chart'!$B309</f>
        <v>-0.28125</v>
      </c>
      <c r="E69" s="44">
        <f xml:space="preserve"> 'HoE Chart'!$B389</f>
        <v>-0.375</v>
      </c>
    </row>
    <row r="70" spans="1:5" x14ac:dyDescent="0.3">
      <c r="A70" s="42">
        <f t="shared" si="1"/>
        <v>68</v>
      </c>
      <c r="B70" s="44">
        <f xml:space="preserve"> 'HoE Chart'!$B150</f>
        <v>-0.4375</v>
      </c>
      <c r="C70" s="44">
        <f xml:space="preserve"> 'HoE Chart'!$B230</f>
        <v>-1.09375</v>
      </c>
      <c r="D70" s="44">
        <f xml:space="preserve"> 'HoE Chart'!$B310</f>
        <v>-0.375</v>
      </c>
      <c r="E70" s="44">
        <f xml:space="preserve"> 'HoE Chart'!$B390</f>
        <v>-1.625</v>
      </c>
    </row>
    <row r="71" spans="1:5" x14ac:dyDescent="0.3">
      <c r="A71" s="42">
        <f t="shared" si="1"/>
        <v>69</v>
      </c>
      <c r="B71" s="44">
        <f xml:space="preserve"> 'HoE Chart'!$B151</f>
        <v>-0.53125</v>
      </c>
      <c r="C71" s="44">
        <f xml:space="preserve"> 'HoE Chart'!$B231</f>
        <v>-0.625</v>
      </c>
      <c r="D71" s="44">
        <f xml:space="preserve"> 'HoE Chart'!$B311</f>
        <v>-0.53125</v>
      </c>
      <c r="E71" s="44">
        <f xml:space="preserve"> 'HoE Chart'!$B391</f>
        <v>-1.46875</v>
      </c>
    </row>
    <row r="72" spans="1:5" x14ac:dyDescent="0.3">
      <c r="A72" s="42">
        <f t="shared" si="1"/>
        <v>70</v>
      </c>
      <c r="B72" s="44">
        <f xml:space="preserve"> 'HoE Chart'!$B152</f>
        <v>-0.375</v>
      </c>
      <c r="C72" s="44">
        <f xml:space="preserve"> 'HoE Chart'!$B232</f>
        <v>-0.84375</v>
      </c>
      <c r="D72" s="44">
        <f xml:space="preserve"> 'HoE Chart'!$B312</f>
        <v>-0.28125</v>
      </c>
      <c r="E72" s="44">
        <f xml:space="preserve"> 'HoE Chart'!$B392</f>
        <v>-1.78125</v>
      </c>
    </row>
    <row r="73" spans="1:5" x14ac:dyDescent="0.3">
      <c r="A73" s="56">
        <f t="shared" si="1"/>
        <v>71</v>
      </c>
      <c r="B73" s="57">
        <f xml:space="preserve"> 'HoE Chart'!$B153</f>
        <v>-0.3125</v>
      </c>
      <c r="C73" s="57">
        <f xml:space="preserve"> 'HoE Chart'!$B233</f>
        <v>-1</v>
      </c>
      <c r="D73" s="57">
        <f xml:space="preserve"> 'HoE Chart'!$B313</f>
        <v>-0.15625</v>
      </c>
      <c r="E73" s="57">
        <f xml:space="preserve"> 'HoE Chart'!$B393</f>
        <v>-0.625</v>
      </c>
    </row>
    <row r="74" spans="1:5" x14ac:dyDescent="0.3">
      <c r="A74" s="42">
        <f t="shared" si="1"/>
        <v>72</v>
      </c>
      <c r="B74" s="44">
        <f xml:space="preserve"> 'HoE Chart'!$B154</f>
        <v>-0.34375</v>
      </c>
      <c r="C74" s="44">
        <f xml:space="preserve"> 'HoE Chart'!$B234</f>
        <v>-1.09375</v>
      </c>
      <c r="D74" s="44">
        <f xml:space="preserve"> 'HoE Chart'!$B314</f>
        <v>-0.28125</v>
      </c>
      <c r="E74" s="44">
        <f xml:space="preserve"> 'HoE Chart'!$B394</f>
        <v>-0.84375</v>
      </c>
    </row>
    <row r="76" spans="1:5" x14ac:dyDescent="0.3">
      <c r="A76" s="70" t="s">
        <v>179</v>
      </c>
      <c r="B76" s="70"/>
    </row>
  </sheetData>
  <mergeCells count="2">
    <mergeCell ref="A1:B1"/>
    <mergeCell ref="A76:B7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74"/>
  <sheetViews>
    <sheetView topLeftCell="H7" workbookViewId="0">
      <selection activeCell="B2" sqref="B2:B75"/>
    </sheetView>
  </sheetViews>
  <sheetFormatPr defaultColWidth="20.6640625" defaultRowHeight="14.4" x14ac:dyDescent="0.3"/>
  <cols>
    <col min="1" max="2" width="12.6640625" style="42" customWidth="1"/>
    <col min="3" max="37" width="18.6640625" style="42" customWidth="1"/>
    <col min="38" max="16384" width="20.6640625" style="42"/>
  </cols>
  <sheetData>
    <row r="1" spans="1:37" x14ac:dyDescent="0.3">
      <c r="A1" s="45"/>
      <c r="B1" s="48" t="s">
        <v>116</v>
      </c>
      <c r="C1" s="48"/>
      <c r="D1" s="48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7" s="49" customFormat="1" x14ac:dyDescent="0.3">
      <c r="A2" s="49" t="s">
        <v>141</v>
      </c>
      <c r="B2" s="49" t="s">
        <v>135</v>
      </c>
      <c r="C2" s="49" t="s">
        <v>136</v>
      </c>
      <c r="D2" s="49" t="s">
        <v>137</v>
      </c>
      <c r="E2" s="49" t="s">
        <v>138</v>
      </c>
      <c r="F2" s="49" t="s">
        <v>139</v>
      </c>
    </row>
    <row r="3" spans="1:37" x14ac:dyDescent="0.3">
      <c r="A3" s="42">
        <v>1</v>
      </c>
      <c r="B3" s="44">
        <f xml:space="preserve"> $B83</f>
        <v>0.28125</v>
      </c>
      <c r="C3" s="44">
        <f t="shared" ref="C3:C34" si="0" xml:space="preserve"> $B163</f>
        <v>0.3125</v>
      </c>
      <c r="D3" s="44">
        <f t="shared" ref="D3:D34" si="1" xml:space="preserve"> $B243</f>
        <v>0.65625</v>
      </c>
      <c r="E3" s="44">
        <f t="shared" ref="E3:E34" si="2" xml:space="preserve"> $B323</f>
        <v>0.1875</v>
      </c>
      <c r="F3" s="44">
        <f t="shared" ref="F3:F34" si="3" xml:space="preserve"> $B403</f>
        <v>0</v>
      </c>
    </row>
    <row r="4" spans="1:37" x14ac:dyDescent="0.3">
      <c r="A4" s="42">
        <f xml:space="preserve"> A3 + 1</f>
        <v>2</v>
      </c>
      <c r="B4" s="44">
        <f t="shared" ref="B4:B67" si="4" xml:space="preserve"> $B84</f>
        <v>0.28125</v>
      </c>
      <c r="C4" s="44">
        <f t="shared" si="0"/>
        <v>0.125</v>
      </c>
      <c r="D4" s="44">
        <f t="shared" si="1"/>
        <v>0.5</v>
      </c>
      <c r="E4" s="44">
        <f t="shared" si="2"/>
        <v>0.5</v>
      </c>
      <c r="F4" s="44">
        <f t="shared" si="3"/>
        <v>0</v>
      </c>
    </row>
    <row r="5" spans="1:37" x14ac:dyDescent="0.3">
      <c r="A5" s="42">
        <f t="shared" ref="A5:A68" si="5" xml:space="preserve"> A4 + 1</f>
        <v>3</v>
      </c>
      <c r="B5" s="44">
        <f t="shared" si="4"/>
        <v>0.21875</v>
      </c>
      <c r="C5" s="44">
        <f t="shared" si="0"/>
        <v>0.375</v>
      </c>
      <c r="D5" s="44">
        <f t="shared" si="1"/>
        <v>0.40625</v>
      </c>
      <c r="E5" s="44">
        <f t="shared" si="2"/>
        <v>0.25</v>
      </c>
      <c r="F5" s="44">
        <f t="shared" si="3"/>
        <v>6.25E-2</v>
      </c>
    </row>
    <row r="6" spans="1:37" x14ac:dyDescent="0.3">
      <c r="A6" s="42">
        <f t="shared" si="5"/>
        <v>4</v>
      </c>
      <c r="B6" s="44">
        <f t="shared" si="4"/>
        <v>0.59375</v>
      </c>
      <c r="C6" s="44">
        <f t="shared" si="0"/>
        <v>0.46875</v>
      </c>
      <c r="D6" s="44">
        <f t="shared" si="1"/>
        <v>0.4375</v>
      </c>
      <c r="E6" s="44">
        <f t="shared" si="2"/>
        <v>0.25</v>
      </c>
      <c r="F6" s="44">
        <f t="shared" si="3"/>
        <v>0</v>
      </c>
    </row>
    <row r="7" spans="1:37" x14ac:dyDescent="0.3">
      <c r="A7" s="42">
        <f t="shared" si="5"/>
        <v>5</v>
      </c>
      <c r="B7" s="44">
        <f t="shared" si="4"/>
        <v>0.53125</v>
      </c>
      <c r="C7" s="44">
        <f t="shared" si="0"/>
        <v>0.375</v>
      </c>
      <c r="D7" s="44">
        <f t="shared" si="1"/>
        <v>0.59375</v>
      </c>
      <c r="E7" s="44">
        <f t="shared" si="2"/>
        <v>9.375E-2</v>
      </c>
      <c r="F7" s="44">
        <f t="shared" si="3"/>
        <v>0</v>
      </c>
    </row>
    <row r="8" spans="1:37" x14ac:dyDescent="0.3">
      <c r="A8" s="42">
        <f t="shared" si="5"/>
        <v>6</v>
      </c>
      <c r="B8" s="44">
        <f t="shared" si="4"/>
        <v>0.40625</v>
      </c>
      <c r="C8" s="44">
        <f t="shared" si="0"/>
        <v>0.375</v>
      </c>
      <c r="D8" s="44">
        <f t="shared" si="1"/>
        <v>0.5</v>
      </c>
      <c r="E8" s="44">
        <f t="shared" si="2"/>
        <v>0.21875</v>
      </c>
      <c r="F8" s="44">
        <f t="shared" si="3"/>
        <v>6.25E-2</v>
      </c>
    </row>
    <row r="9" spans="1:37" x14ac:dyDescent="0.3">
      <c r="A9" s="42">
        <f t="shared" si="5"/>
        <v>7</v>
      </c>
      <c r="B9" s="44">
        <f t="shared" si="4"/>
        <v>0.4375</v>
      </c>
      <c r="C9" s="44">
        <f t="shared" si="0"/>
        <v>0.3125</v>
      </c>
      <c r="D9" s="44">
        <f t="shared" si="1"/>
        <v>0.59375</v>
      </c>
      <c r="E9" s="44">
        <f t="shared" si="2"/>
        <v>0.125</v>
      </c>
      <c r="F9" s="44">
        <f t="shared" si="3"/>
        <v>9.375E-2</v>
      </c>
    </row>
    <row r="10" spans="1:37" x14ac:dyDescent="0.3">
      <c r="A10" s="42">
        <f t="shared" si="5"/>
        <v>8</v>
      </c>
      <c r="B10" s="44">
        <f t="shared" si="4"/>
        <v>0.53125</v>
      </c>
      <c r="C10" s="44">
        <f t="shared" si="0"/>
        <v>0.375</v>
      </c>
      <c r="D10" s="44">
        <f t="shared" si="1"/>
        <v>0.5</v>
      </c>
      <c r="E10" s="44">
        <f t="shared" si="2"/>
        <v>0.25</v>
      </c>
      <c r="F10" s="44">
        <f t="shared" si="3"/>
        <v>6.25E-2</v>
      </c>
    </row>
    <row r="11" spans="1:37" x14ac:dyDescent="0.3">
      <c r="A11" s="42">
        <f t="shared" si="5"/>
        <v>9</v>
      </c>
      <c r="B11" s="44">
        <f t="shared" si="4"/>
        <v>0.46875</v>
      </c>
      <c r="C11" s="44">
        <f t="shared" si="0"/>
        <v>0.375</v>
      </c>
      <c r="D11" s="44">
        <f t="shared" si="1"/>
        <v>0.46875</v>
      </c>
      <c r="E11" s="44">
        <f t="shared" si="2"/>
        <v>0.34375</v>
      </c>
      <c r="F11" s="44">
        <f t="shared" si="3"/>
        <v>6.25E-2</v>
      </c>
    </row>
    <row r="12" spans="1:37" x14ac:dyDescent="0.3">
      <c r="A12" s="42">
        <f t="shared" si="5"/>
        <v>10</v>
      </c>
      <c r="B12" s="44">
        <f t="shared" si="4"/>
        <v>0.5</v>
      </c>
      <c r="C12" s="44">
        <f t="shared" si="0"/>
        <v>0.21875</v>
      </c>
      <c r="D12" s="44">
        <f t="shared" si="1"/>
        <v>0.3125</v>
      </c>
      <c r="E12" s="44">
        <f t="shared" si="2"/>
        <v>0.59375</v>
      </c>
      <c r="F12" s="44">
        <f t="shared" si="3"/>
        <v>0</v>
      </c>
    </row>
    <row r="13" spans="1:37" x14ac:dyDescent="0.3">
      <c r="A13" s="42">
        <f t="shared" si="5"/>
        <v>11</v>
      </c>
      <c r="B13" s="44">
        <f t="shared" si="4"/>
        <v>0.5625</v>
      </c>
      <c r="C13" s="44">
        <f t="shared" si="0"/>
        <v>0.40625</v>
      </c>
      <c r="D13" s="44">
        <f t="shared" si="1"/>
        <v>0.6875</v>
      </c>
      <c r="E13" s="44">
        <f t="shared" si="2"/>
        <v>6.25E-2</v>
      </c>
      <c r="F13" s="44">
        <f t="shared" si="3"/>
        <v>0</v>
      </c>
    </row>
    <row r="14" spans="1:37" x14ac:dyDescent="0.3">
      <c r="A14" s="42">
        <f t="shared" si="5"/>
        <v>12</v>
      </c>
      <c r="B14" s="44">
        <f t="shared" si="4"/>
        <v>0.625</v>
      </c>
      <c r="C14" s="44">
        <f t="shared" si="0"/>
        <v>0.53125</v>
      </c>
      <c r="D14" s="44">
        <f t="shared" si="1"/>
        <v>0.59375</v>
      </c>
      <c r="E14" s="44">
        <f t="shared" si="2"/>
        <v>9.375E-2</v>
      </c>
      <c r="F14" s="44">
        <f t="shared" si="3"/>
        <v>0</v>
      </c>
    </row>
    <row r="15" spans="1:37" x14ac:dyDescent="0.3">
      <c r="A15" s="42">
        <f t="shared" si="5"/>
        <v>13</v>
      </c>
      <c r="B15" s="44">
        <f t="shared" si="4"/>
        <v>0.46875</v>
      </c>
      <c r="C15" s="44">
        <f t="shared" si="0"/>
        <v>0.34375</v>
      </c>
      <c r="D15" s="44">
        <f t="shared" si="1"/>
        <v>0.5625</v>
      </c>
      <c r="E15" s="44">
        <f t="shared" si="2"/>
        <v>0.21875</v>
      </c>
      <c r="F15" s="44">
        <f t="shared" si="3"/>
        <v>3.125E-2</v>
      </c>
    </row>
    <row r="16" spans="1:37" x14ac:dyDescent="0.3">
      <c r="A16" s="42">
        <f t="shared" si="5"/>
        <v>14</v>
      </c>
      <c r="B16" s="44">
        <f t="shared" si="4"/>
        <v>0.25</v>
      </c>
      <c r="C16" s="44">
        <f t="shared" si="0"/>
        <v>0.34375</v>
      </c>
      <c r="D16" s="44">
        <f t="shared" si="1"/>
        <v>0.53125</v>
      </c>
      <c r="E16" s="44">
        <f t="shared" si="2"/>
        <v>6.25E-2</v>
      </c>
      <c r="F16" s="44">
        <f t="shared" si="3"/>
        <v>6.25E-2</v>
      </c>
    </row>
    <row r="17" spans="1:6" x14ac:dyDescent="0.3">
      <c r="A17" s="42">
        <f t="shared" si="5"/>
        <v>15</v>
      </c>
      <c r="B17" s="44">
        <f t="shared" si="4"/>
        <v>0.40625</v>
      </c>
      <c r="C17" s="44">
        <f t="shared" si="0"/>
        <v>0.40625</v>
      </c>
      <c r="D17" s="44">
        <f t="shared" si="1"/>
        <v>0.65625</v>
      </c>
      <c r="E17" s="44">
        <f t="shared" si="2"/>
        <v>9.375E-2</v>
      </c>
      <c r="F17" s="44">
        <f t="shared" si="3"/>
        <v>3.125E-2</v>
      </c>
    </row>
    <row r="18" spans="1:6" x14ac:dyDescent="0.3">
      <c r="A18" s="42">
        <f t="shared" si="5"/>
        <v>16</v>
      </c>
      <c r="B18" s="44">
        <f t="shared" si="4"/>
        <v>0.59375</v>
      </c>
      <c r="C18" s="44">
        <f t="shared" si="0"/>
        <v>0.28125</v>
      </c>
      <c r="D18" s="44">
        <f t="shared" si="1"/>
        <v>0.6875</v>
      </c>
      <c r="E18" s="44">
        <f t="shared" si="2"/>
        <v>0.125</v>
      </c>
      <c r="F18" s="44">
        <f t="shared" si="3"/>
        <v>3.125E-2</v>
      </c>
    </row>
    <row r="19" spans="1:6" x14ac:dyDescent="0.3">
      <c r="A19" s="42">
        <f t="shared" si="5"/>
        <v>17</v>
      </c>
      <c r="B19" s="44">
        <f t="shared" si="4"/>
        <v>0.53125</v>
      </c>
      <c r="C19" s="44">
        <f t="shared" si="0"/>
        <v>0.53125</v>
      </c>
      <c r="D19" s="44">
        <f t="shared" si="1"/>
        <v>0.5625</v>
      </c>
      <c r="E19" s="44">
        <f t="shared" si="2"/>
        <v>6.25E-2</v>
      </c>
      <c r="F19" s="44">
        <f t="shared" si="3"/>
        <v>6.25E-2</v>
      </c>
    </row>
    <row r="20" spans="1:6" x14ac:dyDescent="0.3">
      <c r="A20" s="42">
        <f t="shared" si="5"/>
        <v>18</v>
      </c>
      <c r="B20" s="44">
        <f t="shared" si="4"/>
        <v>0.46875</v>
      </c>
      <c r="C20" s="44">
        <f t="shared" si="0"/>
        <v>0.4375</v>
      </c>
      <c r="D20" s="44">
        <f t="shared" si="1"/>
        <v>0.65625</v>
      </c>
      <c r="E20" s="44">
        <f t="shared" si="2"/>
        <v>6.25E-2</v>
      </c>
      <c r="F20" s="44">
        <f t="shared" si="3"/>
        <v>0</v>
      </c>
    </row>
    <row r="21" spans="1:6" x14ac:dyDescent="0.3">
      <c r="A21" s="42">
        <f t="shared" si="5"/>
        <v>19</v>
      </c>
      <c r="B21" s="44">
        <f t="shared" si="4"/>
        <v>0.71875</v>
      </c>
      <c r="C21" s="44">
        <f t="shared" si="0"/>
        <v>0.34375</v>
      </c>
      <c r="D21" s="44">
        <f t="shared" si="1"/>
        <v>0.625</v>
      </c>
      <c r="E21" s="44">
        <f t="shared" si="2"/>
        <v>0.28125</v>
      </c>
      <c r="F21" s="44">
        <f t="shared" si="3"/>
        <v>0</v>
      </c>
    </row>
    <row r="22" spans="1:6" x14ac:dyDescent="0.3">
      <c r="A22" s="42">
        <f t="shared" si="5"/>
        <v>20</v>
      </c>
      <c r="B22" s="44">
        <f t="shared" si="4"/>
        <v>0.40625</v>
      </c>
      <c r="C22" s="44">
        <f t="shared" si="0"/>
        <v>0.4375</v>
      </c>
      <c r="D22" s="44">
        <f t="shared" si="1"/>
        <v>0.53125</v>
      </c>
      <c r="E22" s="44">
        <f t="shared" si="2"/>
        <v>0.21875</v>
      </c>
      <c r="F22" s="44">
        <f t="shared" si="3"/>
        <v>9.375E-2</v>
      </c>
    </row>
    <row r="23" spans="1:6" x14ac:dyDescent="0.3">
      <c r="A23" s="42">
        <f t="shared" si="5"/>
        <v>21</v>
      </c>
      <c r="B23" s="44">
        <f t="shared" si="4"/>
        <v>0.40625</v>
      </c>
      <c r="C23" s="44">
        <f t="shared" si="0"/>
        <v>0.40625</v>
      </c>
      <c r="D23" s="44">
        <f t="shared" si="1"/>
        <v>0.5625</v>
      </c>
      <c r="E23" s="44">
        <f t="shared" si="2"/>
        <v>9.375E-2</v>
      </c>
      <c r="F23" s="44">
        <f t="shared" si="3"/>
        <v>3.125E-2</v>
      </c>
    </row>
    <row r="24" spans="1:6" x14ac:dyDescent="0.3">
      <c r="A24" s="42">
        <f t="shared" si="5"/>
        <v>22</v>
      </c>
      <c r="B24" s="44">
        <f t="shared" si="4"/>
        <v>0.375</v>
      </c>
      <c r="C24" s="44">
        <f t="shared" si="0"/>
        <v>0.5</v>
      </c>
      <c r="D24" s="44">
        <f t="shared" si="1"/>
        <v>0.375</v>
      </c>
      <c r="E24" s="44">
        <f t="shared" si="2"/>
        <v>0.375</v>
      </c>
      <c r="F24" s="44">
        <f t="shared" si="3"/>
        <v>6.25E-2</v>
      </c>
    </row>
    <row r="25" spans="1:6" x14ac:dyDescent="0.3">
      <c r="A25" s="42">
        <f t="shared" si="5"/>
        <v>23</v>
      </c>
      <c r="B25" s="44">
        <f t="shared" si="4"/>
        <v>0.3125</v>
      </c>
      <c r="C25" s="44">
        <f t="shared" si="0"/>
        <v>0.5</v>
      </c>
      <c r="D25" s="44">
        <f t="shared" si="1"/>
        <v>0.4375</v>
      </c>
      <c r="E25" s="44">
        <f t="shared" si="2"/>
        <v>0.125</v>
      </c>
      <c r="F25" s="44">
        <f t="shared" si="3"/>
        <v>3.125E-2</v>
      </c>
    </row>
    <row r="26" spans="1:6" x14ac:dyDescent="0.3">
      <c r="A26" s="42">
        <f t="shared" si="5"/>
        <v>24</v>
      </c>
      <c r="B26" s="44">
        <f t="shared" si="4"/>
        <v>0.40625</v>
      </c>
      <c r="C26" s="44">
        <f t="shared" si="0"/>
        <v>0.46875</v>
      </c>
      <c r="D26" s="44">
        <f t="shared" si="1"/>
        <v>0.5625</v>
      </c>
      <c r="E26" s="44">
        <f t="shared" si="2"/>
        <v>0.1875</v>
      </c>
      <c r="F26" s="44">
        <f t="shared" si="3"/>
        <v>6.25E-2</v>
      </c>
    </row>
    <row r="27" spans="1:6" x14ac:dyDescent="0.3">
      <c r="A27" s="42">
        <f t="shared" si="5"/>
        <v>25</v>
      </c>
      <c r="B27" s="44">
        <f t="shared" si="4"/>
        <v>0.53125</v>
      </c>
      <c r="C27" s="44">
        <f t="shared" si="0"/>
        <v>0.5</v>
      </c>
      <c r="D27" s="44">
        <f t="shared" si="1"/>
        <v>0.5625</v>
      </c>
      <c r="E27" s="44">
        <f t="shared" si="2"/>
        <v>0.125</v>
      </c>
      <c r="F27" s="44">
        <f t="shared" si="3"/>
        <v>0</v>
      </c>
    </row>
    <row r="28" spans="1:6" x14ac:dyDescent="0.3">
      <c r="A28" s="42">
        <f t="shared" si="5"/>
        <v>26</v>
      </c>
      <c r="B28" s="44">
        <f t="shared" si="4"/>
        <v>0.375</v>
      </c>
      <c r="C28" s="44">
        <f t="shared" si="0"/>
        <v>0.40625</v>
      </c>
      <c r="D28" s="44">
        <f t="shared" si="1"/>
        <v>0.625</v>
      </c>
      <c r="E28" s="44">
        <f t="shared" si="2"/>
        <v>0.1875</v>
      </c>
      <c r="F28" s="44">
        <f t="shared" si="3"/>
        <v>0</v>
      </c>
    </row>
    <row r="29" spans="1:6" x14ac:dyDescent="0.3">
      <c r="A29" s="42">
        <f t="shared" si="5"/>
        <v>27</v>
      </c>
      <c r="B29" s="44">
        <f t="shared" si="4"/>
        <v>0.4375</v>
      </c>
      <c r="C29" s="44">
        <f t="shared" si="0"/>
        <v>0.46875</v>
      </c>
      <c r="D29" s="44">
        <f t="shared" si="1"/>
        <v>0.46875</v>
      </c>
      <c r="E29" s="44">
        <f t="shared" si="2"/>
        <v>0.15625</v>
      </c>
      <c r="F29" s="44">
        <f t="shared" si="3"/>
        <v>0</v>
      </c>
    </row>
    <row r="30" spans="1:6" x14ac:dyDescent="0.3">
      <c r="A30" s="42">
        <f t="shared" si="5"/>
        <v>28</v>
      </c>
      <c r="B30" s="44">
        <f t="shared" si="4"/>
        <v>0.34375</v>
      </c>
      <c r="C30" s="44">
        <f t="shared" si="0"/>
        <v>0.40625</v>
      </c>
      <c r="D30" s="44">
        <f t="shared" si="1"/>
        <v>0.59375</v>
      </c>
      <c r="E30" s="44">
        <f t="shared" si="2"/>
        <v>9.375E-2</v>
      </c>
      <c r="F30" s="44">
        <f t="shared" si="3"/>
        <v>6.25E-2</v>
      </c>
    </row>
    <row r="31" spans="1:6" x14ac:dyDescent="0.3">
      <c r="A31" s="42">
        <f t="shared" si="5"/>
        <v>29</v>
      </c>
      <c r="B31" s="44">
        <f t="shared" si="4"/>
        <v>0.375</v>
      </c>
      <c r="C31" s="44">
        <f t="shared" si="0"/>
        <v>0.53125</v>
      </c>
      <c r="D31" s="44">
        <f t="shared" si="1"/>
        <v>0.5</v>
      </c>
      <c r="E31" s="44">
        <f t="shared" si="2"/>
        <v>6.25E-2</v>
      </c>
      <c r="F31" s="44">
        <f t="shared" si="3"/>
        <v>3.125E-2</v>
      </c>
    </row>
    <row r="32" spans="1:6" x14ac:dyDescent="0.3">
      <c r="A32" s="42">
        <f t="shared" si="5"/>
        <v>30</v>
      </c>
      <c r="B32" s="44">
        <f t="shared" si="4"/>
        <v>0.5625</v>
      </c>
      <c r="C32" s="44">
        <f t="shared" si="0"/>
        <v>0.5</v>
      </c>
      <c r="D32" s="44">
        <f t="shared" si="1"/>
        <v>0.65625</v>
      </c>
      <c r="E32" s="44">
        <f t="shared" si="2"/>
        <v>9.375E-2</v>
      </c>
      <c r="F32" s="44">
        <f t="shared" si="3"/>
        <v>3.125E-2</v>
      </c>
    </row>
    <row r="33" spans="1:6" x14ac:dyDescent="0.3">
      <c r="A33" s="42">
        <f t="shared" si="5"/>
        <v>31</v>
      </c>
      <c r="B33" s="44">
        <f t="shared" si="4"/>
        <v>0.625</v>
      </c>
      <c r="C33" s="44">
        <f t="shared" si="0"/>
        <v>0.53125</v>
      </c>
      <c r="D33" s="44">
        <f t="shared" si="1"/>
        <v>0.53125</v>
      </c>
      <c r="E33" s="44">
        <f t="shared" si="2"/>
        <v>0.1875</v>
      </c>
      <c r="F33" s="44">
        <f t="shared" si="3"/>
        <v>0</v>
      </c>
    </row>
    <row r="34" spans="1:6" x14ac:dyDescent="0.3">
      <c r="A34" s="42">
        <f t="shared" si="5"/>
        <v>32</v>
      </c>
      <c r="B34" s="44">
        <f t="shared" si="4"/>
        <v>0.59375</v>
      </c>
      <c r="C34" s="44">
        <f t="shared" si="0"/>
        <v>0.46875</v>
      </c>
      <c r="D34" s="44">
        <f t="shared" si="1"/>
        <v>0.5625</v>
      </c>
      <c r="E34" s="44">
        <f t="shared" si="2"/>
        <v>0.15625</v>
      </c>
      <c r="F34" s="44">
        <f t="shared" si="3"/>
        <v>3.125E-2</v>
      </c>
    </row>
    <row r="35" spans="1:6" x14ac:dyDescent="0.3">
      <c r="A35" s="42">
        <f t="shared" si="5"/>
        <v>33</v>
      </c>
      <c r="B35" s="44">
        <f t="shared" si="4"/>
        <v>0.1875</v>
      </c>
      <c r="C35" s="44">
        <f t="shared" ref="C35:C66" si="6" xml:space="preserve"> $B195</f>
        <v>0.375</v>
      </c>
      <c r="D35" s="44">
        <f t="shared" ref="D35:D66" si="7" xml:space="preserve"> $B275</f>
        <v>0.4375</v>
      </c>
      <c r="E35" s="44">
        <f t="shared" ref="E35:E66" si="8" xml:space="preserve"> $B355</f>
        <v>0.125</v>
      </c>
      <c r="F35" s="44">
        <f t="shared" ref="F35:F66" si="9" xml:space="preserve"> $B435</f>
        <v>3.125E-2</v>
      </c>
    </row>
    <row r="36" spans="1:6" x14ac:dyDescent="0.3">
      <c r="A36" s="42">
        <f t="shared" si="5"/>
        <v>34</v>
      </c>
      <c r="B36" s="44">
        <f t="shared" si="4"/>
        <v>0.5</v>
      </c>
      <c r="C36" s="44">
        <f t="shared" si="6"/>
        <v>0.5625</v>
      </c>
      <c r="D36" s="44">
        <f t="shared" si="7"/>
        <v>0.59375</v>
      </c>
      <c r="E36" s="44">
        <f t="shared" si="8"/>
        <v>0.15625</v>
      </c>
      <c r="F36" s="44">
        <f t="shared" si="9"/>
        <v>0</v>
      </c>
    </row>
    <row r="37" spans="1:6" x14ac:dyDescent="0.3">
      <c r="A37" s="42">
        <f t="shared" si="5"/>
        <v>35</v>
      </c>
      <c r="B37" s="44">
        <f t="shared" si="4"/>
        <v>0.4375</v>
      </c>
      <c r="C37" s="44">
        <f t="shared" si="6"/>
        <v>0.5625</v>
      </c>
      <c r="D37" s="44">
        <f t="shared" si="7"/>
        <v>0.53125</v>
      </c>
      <c r="E37" s="44">
        <f t="shared" si="8"/>
        <v>6.25E-2</v>
      </c>
      <c r="F37" s="44">
        <f t="shared" si="9"/>
        <v>0</v>
      </c>
    </row>
    <row r="38" spans="1:6" x14ac:dyDescent="0.3">
      <c r="A38" s="42">
        <f t="shared" si="5"/>
        <v>36</v>
      </c>
      <c r="B38" s="44">
        <f t="shared" si="4"/>
        <v>0.375</v>
      </c>
      <c r="C38" s="44">
        <f t="shared" si="6"/>
        <v>0.4375</v>
      </c>
      <c r="D38" s="44">
        <f t="shared" si="7"/>
        <v>0.5</v>
      </c>
      <c r="E38" s="44">
        <f t="shared" si="8"/>
        <v>0.15625</v>
      </c>
      <c r="F38" s="44">
        <f t="shared" si="9"/>
        <v>3.125E-2</v>
      </c>
    </row>
    <row r="39" spans="1:6" x14ac:dyDescent="0.3">
      <c r="A39" s="42">
        <f t="shared" si="5"/>
        <v>37</v>
      </c>
      <c r="B39" s="44">
        <f t="shared" si="4"/>
        <v>0.375</v>
      </c>
      <c r="C39" s="44">
        <f t="shared" si="6"/>
        <v>0.375</v>
      </c>
      <c r="D39" s="44">
        <f t="shared" si="7"/>
        <v>0.5625</v>
      </c>
      <c r="E39" s="44">
        <f t="shared" si="8"/>
        <v>0.1875</v>
      </c>
      <c r="F39" s="44">
        <f t="shared" si="9"/>
        <v>3.125E-2</v>
      </c>
    </row>
    <row r="40" spans="1:6" x14ac:dyDescent="0.3">
      <c r="A40" s="42">
        <f t="shared" si="5"/>
        <v>38</v>
      </c>
      <c r="B40" s="44">
        <f t="shared" si="4"/>
        <v>0.28125</v>
      </c>
      <c r="C40" s="44">
        <f t="shared" si="6"/>
        <v>0.46875</v>
      </c>
      <c r="D40" s="44">
        <f t="shared" si="7"/>
        <v>0.59375</v>
      </c>
      <c r="E40" s="44">
        <f t="shared" si="8"/>
        <v>0</v>
      </c>
      <c r="F40" s="44">
        <f t="shared" si="9"/>
        <v>6.25E-2</v>
      </c>
    </row>
    <row r="41" spans="1:6" x14ac:dyDescent="0.3">
      <c r="A41" s="42">
        <f t="shared" si="5"/>
        <v>39</v>
      </c>
      <c r="B41" s="44">
        <f t="shared" si="4"/>
        <v>0.28125</v>
      </c>
      <c r="C41" s="44">
        <f t="shared" si="6"/>
        <v>0.4375</v>
      </c>
      <c r="D41" s="44">
        <f t="shared" si="7"/>
        <v>0.53125</v>
      </c>
      <c r="E41" s="44">
        <f t="shared" si="8"/>
        <v>9.375E-2</v>
      </c>
      <c r="F41" s="44">
        <f t="shared" si="9"/>
        <v>3.125E-2</v>
      </c>
    </row>
    <row r="42" spans="1:6" x14ac:dyDescent="0.3">
      <c r="A42" s="42">
        <f t="shared" si="5"/>
        <v>40</v>
      </c>
      <c r="B42" s="44">
        <f t="shared" si="4"/>
        <v>0.71875</v>
      </c>
      <c r="C42" s="44">
        <f t="shared" si="6"/>
        <v>0.59375</v>
      </c>
      <c r="D42" s="44">
        <f t="shared" si="7"/>
        <v>0.6875</v>
      </c>
      <c r="E42" s="44">
        <f t="shared" si="8"/>
        <v>6.25E-2</v>
      </c>
      <c r="F42" s="44">
        <f t="shared" si="9"/>
        <v>0</v>
      </c>
    </row>
    <row r="43" spans="1:6" x14ac:dyDescent="0.3">
      <c r="A43" s="42">
        <f t="shared" si="5"/>
        <v>41</v>
      </c>
      <c r="B43" s="44">
        <f t="shared" si="4"/>
        <v>0.4375</v>
      </c>
      <c r="C43" s="44">
        <f t="shared" si="6"/>
        <v>0.5</v>
      </c>
      <c r="D43" s="44">
        <f t="shared" si="7"/>
        <v>0.5625</v>
      </c>
      <c r="E43" s="44">
        <f t="shared" si="8"/>
        <v>3.125E-2</v>
      </c>
      <c r="F43" s="44">
        <f t="shared" si="9"/>
        <v>3.125E-2</v>
      </c>
    </row>
    <row r="44" spans="1:6" x14ac:dyDescent="0.3">
      <c r="A44" s="42">
        <f t="shared" si="5"/>
        <v>42</v>
      </c>
      <c r="B44" s="44">
        <f t="shared" si="4"/>
        <v>0.3125</v>
      </c>
      <c r="C44" s="44">
        <f t="shared" si="6"/>
        <v>0.40625</v>
      </c>
      <c r="D44" s="44">
        <f t="shared" si="7"/>
        <v>0.5625</v>
      </c>
      <c r="E44" s="44">
        <f t="shared" si="8"/>
        <v>9.375E-2</v>
      </c>
      <c r="F44" s="44">
        <f t="shared" si="9"/>
        <v>6.25E-2</v>
      </c>
    </row>
    <row r="45" spans="1:6" x14ac:dyDescent="0.3">
      <c r="A45" s="42">
        <f t="shared" si="5"/>
        <v>43</v>
      </c>
      <c r="B45" s="44">
        <f t="shared" si="4"/>
        <v>0.28125</v>
      </c>
      <c r="C45" s="44">
        <f t="shared" si="6"/>
        <v>0.34375</v>
      </c>
      <c r="D45" s="44">
        <f t="shared" si="7"/>
        <v>0.59375</v>
      </c>
      <c r="E45" s="44">
        <f t="shared" si="8"/>
        <v>3.125E-2</v>
      </c>
      <c r="F45" s="44">
        <f t="shared" si="9"/>
        <v>6.25E-2</v>
      </c>
    </row>
    <row r="46" spans="1:6" x14ac:dyDescent="0.3">
      <c r="A46" s="42">
        <f t="shared" si="5"/>
        <v>44</v>
      </c>
      <c r="B46" s="44">
        <f t="shared" si="4"/>
        <v>0.40625</v>
      </c>
      <c r="C46" s="44">
        <f t="shared" si="6"/>
        <v>0.34375</v>
      </c>
      <c r="D46" s="44">
        <f t="shared" si="7"/>
        <v>0.59375</v>
      </c>
      <c r="E46" s="44">
        <f t="shared" si="8"/>
        <v>9.375E-2</v>
      </c>
      <c r="F46" s="44">
        <f t="shared" si="9"/>
        <v>6.25E-2</v>
      </c>
    </row>
    <row r="47" spans="1:6" x14ac:dyDescent="0.3">
      <c r="A47" s="42">
        <f t="shared" si="5"/>
        <v>45</v>
      </c>
      <c r="B47" s="44">
        <f t="shared" si="4"/>
        <v>0.46875</v>
      </c>
      <c r="C47" s="44">
        <f t="shared" si="6"/>
        <v>0.4375</v>
      </c>
      <c r="D47" s="44">
        <f t="shared" si="7"/>
        <v>0.59375</v>
      </c>
      <c r="E47" s="44">
        <f t="shared" si="8"/>
        <v>3.125E-2</v>
      </c>
      <c r="F47" s="44">
        <f t="shared" si="9"/>
        <v>6.25E-2</v>
      </c>
    </row>
    <row r="48" spans="1:6" x14ac:dyDescent="0.3">
      <c r="A48" s="42">
        <f t="shared" si="5"/>
        <v>46</v>
      </c>
      <c r="B48" s="44">
        <f t="shared" si="4"/>
        <v>0.46875</v>
      </c>
      <c r="C48" s="44">
        <f t="shared" si="6"/>
        <v>0.34375</v>
      </c>
      <c r="D48" s="44">
        <f t="shared" si="7"/>
        <v>0.75</v>
      </c>
      <c r="E48" s="44">
        <f t="shared" si="8"/>
        <v>3.125E-2</v>
      </c>
      <c r="F48" s="44">
        <f t="shared" si="9"/>
        <v>3.125E-2</v>
      </c>
    </row>
    <row r="49" spans="1:6" x14ac:dyDescent="0.3">
      <c r="A49" s="42">
        <f t="shared" si="5"/>
        <v>47</v>
      </c>
      <c r="B49" s="44">
        <f t="shared" si="4"/>
        <v>0.375</v>
      </c>
      <c r="C49" s="44">
        <f t="shared" si="6"/>
        <v>0.40625</v>
      </c>
      <c r="D49" s="44">
        <f t="shared" si="7"/>
        <v>0.5625</v>
      </c>
      <c r="E49" s="44">
        <f t="shared" si="8"/>
        <v>0.15625</v>
      </c>
      <c r="F49" s="44">
        <f t="shared" si="9"/>
        <v>3.125E-2</v>
      </c>
    </row>
    <row r="50" spans="1:6" x14ac:dyDescent="0.3">
      <c r="A50" s="42">
        <f t="shared" si="5"/>
        <v>48</v>
      </c>
      <c r="B50" s="44">
        <f t="shared" si="4"/>
        <v>0.25</v>
      </c>
      <c r="C50" s="44">
        <f t="shared" si="6"/>
        <v>0.40625</v>
      </c>
      <c r="D50" s="44">
        <f t="shared" si="7"/>
        <v>0.625</v>
      </c>
      <c r="E50" s="44">
        <f t="shared" si="8"/>
        <v>0.15625</v>
      </c>
      <c r="F50" s="44">
        <f t="shared" si="9"/>
        <v>3.125E-2</v>
      </c>
    </row>
    <row r="51" spans="1:6" x14ac:dyDescent="0.3">
      <c r="A51" s="42">
        <f t="shared" si="5"/>
        <v>49</v>
      </c>
      <c r="B51" s="44">
        <f t="shared" si="4"/>
        <v>0.34375</v>
      </c>
      <c r="C51" s="44">
        <f t="shared" si="6"/>
        <v>0.46875</v>
      </c>
      <c r="D51" s="44">
        <f t="shared" si="7"/>
        <v>0.59375</v>
      </c>
      <c r="E51" s="44">
        <f t="shared" si="8"/>
        <v>9.375E-2</v>
      </c>
      <c r="F51" s="44">
        <f t="shared" si="9"/>
        <v>0</v>
      </c>
    </row>
    <row r="52" spans="1:6" x14ac:dyDescent="0.3">
      <c r="A52" s="42">
        <f t="shared" si="5"/>
        <v>50</v>
      </c>
      <c r="B52" s="44">
        <f t="shared" si="4"/>
        <v>0.3125</v>
      </c>
      <c r="C52" s="44">
        <f t="shared" si="6"/>
        <v>0.59375</v>
      </c>
      <c r="D52" s="44">
        <f t="shared" si="7"/>
        <v>0.5625</v>
      </c>
      <c r="E52" s="44">
        <f t="shared" si="8"/>
        <v>0.1875</v>
      </c>
      <c r="F52" s="44">
        <f t="shared" si="9"/>
        <v>0</v>
      </c>
    </row>
    <row r="53" spans="1:6" x14ac:dyDescent="0.3">
      <c r="A53" s="42">
        <f t="shared" si="5"/>
        <v>51</v>
      </c>
      <c r="B53" s="44">
        <f t="shared" si="4"/>
        <v>0.1875</v>
      </c>
      <c r="C53" s="44">
        <f t="shared" si="6"/>
        <v>0.46875</v>
      </c>
      <c r="D53" s="44">
        <f t="shared" si="7"/>
        <v>0.46875</v>
      </c>
      <c r="E53" s="44">
        <f t="shared" si="8"/>
        <v>0.15625</v>
      </c>
      <c r="F53" s="44">
        <f t="shared" si="9"/>
        <v>0</v>
      </c>
    </row>
    <row r="54" spans="1:6" x14ac:dyDescent="0.3">
      <c r="A54" s="42">
        <f t="shared" si="5"/>
        <v>52</v>
      </c>
      <c r="B54" s="44">
        <f t="shared" si="4"/>
        <v>0.65625</v>
      </c>
      <c r="C54" s="44">
        <f t="shared" si="6"/>
        <v>0.5</v>
      </c>
      <c r="D54" s="44">
        <f t="shared" si="7"/>
        <v>0.625</v>
      </c>
      <c r="E54" s="44">
        <f t="shared" si="8"/>
        <v>0.15625</v>
      </c>
      <c r="F54" s="44">
        <f t="shared" si="9"/>
        <v>0</v>
      </c>
    </row>
    <row r="55" spans="1:6" x14ac:dyDescent="0.3">
      <c r="A55" s="42">
        <f t="shared" si="5"/>
        <v>53</v>
      </c>
      <c r="B55" s="44">
        <f t="shared" si="4"/>
        <v>0.375</v>
      </c>
      <c r="C55" s="44">
        <f t="shared" si="6"/>
        <v>0.40625</v>
      </c>
      <c r="D55" s="44">
        <f t="shared" si="7"/>
        <v>0.65625</v>
      </c>
      <c r="E55" s="44">
        <f t="shared" si="8"/>
        <v>3.125E-2</v>
      </c>
      <c r="F55" s="44">
        <f t="shared" si="9"/>
        <v>3.125E-2</v>
      </c>
    </row>
    <row r="56" spans="1:6" x14ac:dyDescent="0.3">
      <c r="A56" s="42">
        <f t="shared" si="5"/>
        <v>54</v>
      </c>
      <c r="B56" s="44">
        <f t="shared" si="4"/>
        <v>0.28125</v>
      </c>
      <c r="C56" s="44">
        <f t="shared" si="6"/>
        <v>0.59375</v>
      </c>
      <c r="D56" s="44">
        <f t="shared" si="7"/>
        <v>0.40625</v>
      </c>
      <c r="E56" s="44">
        <f t="shared" si="8"/>
        <v>0.1875</v>
      </c>
      <c r="F56" s="44">
        <f t="shared" si="9"/>
        <v>3.125E-2</v>
      </c>
    </row>
    <row r="57" spans="1:6" x14ac:dyDescent="0.3">
      <c r="A57" s="42">
        <f t="shared" si="5"/>
        <v>55</v>
      </c>
      <c r="B57" s="44">
        <f t="shared" si="4"/>
        <v>0.5625</v>
      </c>
      <c r="C57" s="44">
        <f t="shared" si="6"/>
        <v>0.59375</v>
      </c>
      <c r="D57" s="44">
        <f t="shared" si="7"/>
        <v>0.625</v>
      </c>
      <c r="E57" s="44">
        <f t="shared" si="8"/>
        <v>0.125</v>
      </c>
      <c r="F57" s="44">
        <f t="shared" si="9"/>
        <v>0</v>
      </c>
    </row>
    <row r="58" spans="1:6" x14ac:dyDescent="0.3">
      <c r="A58" s="42">
        <f t="shared" si="5"/>
        <v>56</v>
      </c>
      <c r="B58" s="44">
        <f t="shared" si="4"/>
        <v>0.34375</v>
      </c>
      <c r="C58" s="44">
        <f t="shared" si="6"/>
        <v>0.40625</v>
      </c>
      <c r="D58" s="44">
        <f t="shared" si="7"/>
        <v>0.59375</v>
      </c>
      <c r="E58" s="44">
        <f t="shared" si="8"/>
        <v>0.15625</v>
      </c>
      <c r="F58" s="44">
        <f t="shared" si="9"/>
        <v>0</v>
      </c>
    </row>
    <row r="59" spans="1:6" x14ac:dyDescent="0.3">
      <c r="A59" s="42">
        <f t="shared" si="5"/>
        <v>57</v>
      </c>
      <c r="B59" s="44">
        <f t="shared" si="4"/>
        <v>0.46875</v>
      </c>
      <c r="C59" s="44">
        <f t="shared" si="6"/>
        <v>0.53125</v>
      </c>
      <c r="D59" s="44">
        <f t="shared" si="7"/>
        <v>0.65625</v>
      </c>
      <c r="E59" s="44">
        <f t="shared" si="8"/>
        <v>0.125</v>
      </c>
      <c r="F59" s="44">
        <f t="shared" si="9"/>
        <v>0</v>
      </c>
    </row>
    <row r="60" spans="1:6" x14ac:dyDescent="0.3">
      <c r="A60" s="42">
        <f t="shared" si="5"/>
        <v>58</v>
      </c>
      <c r="B60" s="44">
        <f t="shared" si="4"/>
        <v>0.5</v>
      </c>
      <c r="C60" s="44">
        <f t="shared" si="6"/>
        <v>0.5</v>
      </c>
      <c r="D60" s="44">
        <f t="shared" si="7"/>
        <v>0.58064516129032262</v>
      </c>
      <c r="E60" s="44">
        <f t="shared" si="8"/>
        <v>9.375E-2</v>
      </c>
      <c r="F60" s="44">
        <f t="shared" si="9"/>
        <v>0</v>
      </c>
    </row>
    <row r="61" spans="1:6" x14ac:dyDescent="0.3">
      <c r="A61" s="42">
        <f t="shared" si="5"/>
        <v>59</v>
      </c>
      <c r="B61" s="44">
        <f t="shared" si="4"/>
        <v>0.34375</v>
      </c>
      <c r="C61" s="44">
        <f t="shared" si="6"/>
        <v>0.5</v>
      </c>
      <c r="D61" s="44">
        <f t="shared" si="7"/>
        <v>0.64516129032258063</v>
      </c>
      <c r="E61" s="44">
        <f t="shared" si="8"/>
        <v>0.125</v>
      </c>
      <c r="F61" s="44">
        <f t="shared" si="9"/>
        <v>0</v>
      </c>
    </row>
    <row r="62" spans="1:6" x14ac:dyDescent="0.3">
      <c r="A62" s="42">
        <f t="shared" si="5"/>
        <v>60</v>
      </c>
      <c r="B62" s="44">
        <f t="shared" si="4"/>
        <v>0.40625</v>
      </c>
      <c r="C62" s="44">
        <f t="shared" si="6"/>
        <v>0.5</v>
      </c>
      <c r="D62" s="44">
        <f t="shared" si="7"/>
        <v>0.67741935483870963</v>
      </c>
      <c r="E62" s="44">
        <f t="shared" si="8"/>
        <v>6.25E-2</v>
      </c>
      <c r="F62" s="44">
        <f t="shared" si="9"/>
        <v>0</v>
      </c>
    </row>
    <row r="63" spans="1:6" x14ac:dyDescent="0.3">
      <c r="A63" s="42">
        <f t="shared" si="5"/>
        <v>61</v>
      </c>
      <c r="B63" s="44">
        <f t="shared" si="4"/>
        <v>0.28125</v>
      </c>
      <c r="C63" s="44">
        <f t="shared" si="6"/>
        <v>0.375</v>
      </c>
      <c r="D63" s="44">
        <f t="shared" si="7"/>
        <v>0.54838709677419351</v>
      </c>
      <c r="E63" s="44">
        <f t="shared" si="8"/>
        <v>0.1875</v>
      </c>
      <c r="F63" s="44">
        <f t="shared" si="9"/>
        <v>0</v>
      </c>
    </row>
    <row r="64" spans="1:6" x14ac:dyDescent="0.3">
      <c r="A64" s="42">
        <f t="shared" si="5"/>
        <v>62</v>
      </c>
      <c r="B64" s="44">
        <f t="shared" si="4"/>
        <v>0.5625</v>
      </c>
      <c r="C64" s="44">
        <f t="shared" si="6"/>
        <v>0.53125</v>
      </c>
      <c r="D64" s="44">
        <f t="shared" si="7"/>
        <v>0.54838709677419351</v>
      </c>
      <c r="E64" s="44">
        <f t="shared" si="8"/>
        <v>0.125</v>
      </c>
      <c r="F64" s="44">
        <f t="shared" si="9"/>
        <v>3.125E-2</v>
      </c>
    </row>
    <row r="65" spans="1:6" x14ac:dyDescent="0.3">
      <c r="A65" s="42">
        <f t="shared" si="5"/>
        <v>63</v>
      </c>
      <c r="B65" s="44">
        <f t="shared" si="4"/>
        <v>0.4375</v>
      </c>
      <c r="C65" s="44">
        <f t="shared" si="6"/>
        <v>0.53125</v>
      </c>
      <c r="D65" s="44">
        <f t="shared" si="7"/>
        <v>0.70967741935483875</v>
      </c>
      <c r="E65" s="44">
        <f t="shared" si="8"/>
        <v>0</v>
      </c>
      <c r="F65" s="44">
        <f t="shared" si="9"/>
        <v>0</v>
      </c>
    </row>
    <row r="66" spans="1:6" x14ac:dyDescent="0.3">
      <c r="A66" s="42">
        <f t="shared" si="5"/>
        <v>64</v>
      </c>
      <c r="B66" s="44">
        <f t="shared" si="4"/>
        <v>0.21875</v>
      </c>
      <c r="C66" s="44">
        <f t="shared" si="6"/>
        <v>0.34375</v>
      </c>
      <c r="D66" s="44">
        <f t="shared" si="7"/>
        <v>0.54838709677419351</v>
      </c>
      <c r="E66" s="44">
        <f t="shared" si="8"/>
        <v>9.375E-2</v>
      </c>
      <c r="F66" s="44">
        <f t="shared" si="9"/>
        <v>3.125E-2</v>
      </c>
    </row>
    <row r="67" spans="1:6" x14ac:dyDescent="0.3">
      <c r="A67" s="42">
        <f t="shared" si="5"/>
        <v>65</v>
      </c>
      <c r="B67" s="44">
        <f t="shared" si="4"/>
        <v>0.28125</v>
      </c>
      <c r="C67" s="44">
        <f t="shared" ref="C67:C98" si="10" xml:space="preserve"> $B227</f>
        <v>0.4375</v>
      </c>
      <c r="D67" s="44">
        <f t="shared" ref="D67:D98" si="11" xml:space="preserve"> $B307</f>
        <v>0.54838709677419351</v>
      </c>
      <c r="E67" s="44">
        <f t="shared" ref="E67:E98" si="12" xml:space="preserve"> $B387</f>
        <v>6.25E-2</v>
      </c>
      <c r="F67" s="44">
        <f t="shared" ref="F67:F98" si="13" xml:space="preserve"> $B467</f>
        <v>0</v>
      </c>
    </row>
    <row r="68" spans="1:6" x14ac:dyDescent="0.3">
      <c r="A68" s="42">
        <f t="shared" si="5"/>
        <v>66</v>
      </c>
      <c r="B68" s="44">
        <f t="shared" ref="B68:B74" si="14" xml:space="preserve"> $B148</f>
        <v>0.71875</v>
      </c>
      <c r="C68" s="44">
        <f t="shared" si="10"/>
        <v>0.53125</v>
      </c>
      <c r="D68" s="44">
        <f t="shared" si="11"/>
        <v>0.54838709677419351</v>
      </c>
      <c r="E68" s="44">
        <f t="shared" si="12"/>
        <v>9.375E-2</v>
      </c>
      <c r="F68" s="44">
        <f t="shared" si="13"/>
        <v>3.125E-2</v>
      </c>
    </row>
    <row r="69" spans="1:6" x14ac:dyDescent="0.3">
      <c r="A69" s="42">
        <f t="shared" ref="A69:A74" si="15" xml:space="preserve"> A68 + 1</f>
        <v>67</v>
      </c>
      <c r="B69" s="44">
        <f t="shared" si="14"/>
        <v>0.625</v>
      </c>
      <c r="C69" s="44">
        <f t="shared" si="10"/>
        <v>0.5625</v>
      </c>
      <c r="D69" s="44">
        <f t="shared" si="11"/>
        <v>0.67741935483870963</v>
      </c>
      <c r="E69" s="44">
        <f t="shared" si="12"/>
        <v>3.125E-2</v>
      </c>
      <c r="F69" s="44">
        <f t="shared" si="13"/>
        <v>0</v>
      </c>
    </row>
    <row r="70" spans="1:6" x14ac:dyDescent="0.3">
      <c r="A70" s="42">
        <f t="shared" si="15"/>
        <v>68</v>
      </c>
      <c r="B70" s="44">
        <f t="shared" si="14"/>
        <v>0.5625</v>
      </c>
      <c r="C70" s="44">
        <f t="shared" si="10"/>
        <v>0.375</v>
      </c>
      <c r="D70" s="44">
        <f t="shared" si="11"/>
        <v>0.64516129032258063</v>
      </c>
      <c r="E70" s="44">
        <f t="shared" si="12"/>
        <v>0.15625</v>
      </c>
      <c r="F70" s="44">
        <f t="shared" si="13"/>
        <v>0</v>
      </c>
    </row>
    <row r="71" spans="1:6" x14ac:dyDescent="0.3">
      <c r="A71" s="42">
        <f t="shared" si="15"/>
        <v>69</v>
      </c>
      <c r="B71" s="44">
        <f t="shared" si="14"/>
        <v>0.5</v>
      </c>
      <c r="C71" s="44">
        <f t="shared" si="10"/>
        <v>0.375</v>
      </c>
      <c r="D71" s="44">
        <f t="shared" si="11"/>
        <v>0.67741935483870963</v>
      </c>
      <c r="E71" s="44">
        <f t="shared" si="12"/>
        <v>0.125</v>
      </c>
      <c r="F71" s="44">
        <f t="shared" si="13"/>
        <v>0</v>
      </c>
    </row>
    <row r="72" spans="1:6" x14ac:dyDescent="0.3">
      <c r="A72" s="42">
        <f t="shared" si="15"/>
        <v>70</v>
      </c>
      <c r="B72" s="44">
        <f t="shared" si="14"/>
        <v>0.65625</v>
      </c>
      <c r="C72" s="44">
        <f t="shared" si="10"/>
        <v>0.46875</v>
      </c>
      <c r="D72" s="44">
        <f t="shared" si="11"/>
        <v>0.70967741935483875</v>
      </c>
      <c r="E72" s="44">
        <f t="shared" si="12"/>
        <v>0.15625</v>
      </c>
      <c r="F72" s="44">
        <f t="shared" si="13"/>
        <v>0</v>
      </c>
    </row>
    <row r="73" spans="1:6" x14ac:dyDescent="0.3">
      <c r="A73" s="42">
        <f t="shared" si="15"/>
        <v>71</v>
      </c>
      <c r="B73" s="44">
        <f t="shared" si="14"/>
        <v>0.40625</v>
      </c>
      <c r="C73" s="44">
        <f t="shared" si="10"/>
        <v>0.3125</v>
      </c>
      <c r="D73" s="44">
        <f t="shared" si="11"/>
        <v>0.70967741935483875</v>
      </c>
      <c r="E73" s="44">
        <f t="shared" si="12"/>
        <v>0.125</v>
      </c>
      <c r="F73" s="44">
        <f t="shared" si="13"/>
        <v>0</v>
      </c>
    </row>
    <row r="74" spans="1:6" x14ac:dyDescent="0.3">
      <c r="A74" s="42">
        <f t="shared" si="15"/>
        <v>72</v>
      </c>
      <c r="B74" s="44">
        <f t="shared" si="14"/>
        <v>0.5625</v>
      </c>
      <c r="C74" s="44">
        <f t="shared" si="10"/>
        <v>0.5</v>
      </c>
      <c r="D74" s="44">
        <f t="shared" si="11"/>
        <v>0.61290322580645162</v>
      </c>
      <c r="E74" s="44">
        <f t="shared" si="12"/>
        <v>0.1875</v>
      </c>
      <c r="F74" s="44">
        <f t="shared" si="13"/>
        <v>6.25E-2</v>
      </c>
    </row>
    <row r="81" spans="1:34" x14ac:dyDescent="0.3">
      <c r="A81" s="45"/>
      <c r="B81" s="71" t="s">
        <v>174</v>
      </c>
      <c r="C81" s="71"/>
      <c r="D81" s="48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</row>
    <row r="82" spans="1:34" s="49" customFormat="1" x14ac:dyDescent="0.3">
      <c r="A82" s="49" t="s">
        <v>141</v>
      </c>
      <c r="B82" s="52" t="s">
        <v>116</v>
      </c>
      <c r="C82" s="49" t="s">
        <v>142</v>
      </c>
      <c r="D82" s="49" t="s">
        <v>143</v>
      </c>
      <c r="E82" s="49" t="s">
        <v>144</v>
      </c>
      <c r="F82" s="49" t="s">
        <v>145</v>
      </c>
      <c r="G82" s="49" t="s">
        <v>146</v>
      </c>
      <c r="H82" s="49" t="s">
        <v>147</v>
      </c>
      <c r="I82" s="49" t="s">
        <v>148</v>
      </c>
      <c r="J82" s="49" t="s">
        <v>149</v>
      </c>
      <c r="K82" s="49" t="s">
        <v>150</v>
      </c>
      <c r="L82" s="49" t="s">
        <v>151</v>
      </c>
      <c r="M82" s="49" t="s">
        <v>152</v>
      </c>
      <c r="N82" s="49" t="s">
        <v>153</v>
      </c>
      <c r="O82" s="49" t="s">
        <v>154</v>
      </c>
      <c r="P82" s="49" t="s">
        <v>155</v>
      </c>
      <c r="Q82" s="49" t="s">
        <v>156</v>
      </c>
      <c r="R82" s="49" t="s">
        <v>157</v>
      </c>
      <c r="S82" s="49" t="s">
        <v>158</v>
      </c>
      <c r="T82" s="49" t="s">
        <v>159</v>
      </c>
      <c r="U82" s="49" t="s">
        <v>160</v>
      </c>
      <c r="V82" s="49" t="s">
        <v>161</v>
      </c>
      <c r="W82" s="49" t="s">
        <v>162</v>
      </c>
      <c r="X82" s="49" t="s">
        <v>163</v>
      </c>
      <c r="Y82" s="49" t="s">
        <v>164</v>
      </c>
      <c r="Z82" s="49" t="s">
        <v>165</v>
      </c>
      <c r="AA82" s="49" t="s">
        <v>166</v>
      </c>
      <c r="AB82" s="49" t="s">
        <v>167</v>
      </c>
      <c r="AC82" s="49" t="s">
        <v>168</v>
      </c>
      <c r="AD82" s="49" t="s">
        <v>173</v>
      </c>
      <c r="AE82" s="49" t="s">
        <v>169</v>
      </c>
      <c r="AF82" s="49" t="s">
        <v>170</v>
      </c>
      <c r="AG82" s="49" t="s">
        <v>171</v>
      </c>
      <c r="AH82" s="49" t="s">
        <v>172</v>
      </c>
    </row>
    <row r="83" spans="1:34" x14ac:dyDescent="0.3">
      <c r="A83" s="42">
        <v>1</v>
      </c>
      <c r="B83" s="44">
        <f xml:space="preserve"> AVERAGE($C83:$AH83)</f>
        <v>0.28125</v>
      </c>
      <c r="C83">
        <v>0</v>
      </c>
      <c r="D83">
        <v>0</v>
      </c>
      <c r="E83">
        <v>1</v>
      </c>
      <c r="F83">
        <v>0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1</v>
      </c>
      <c r="AH83">
        <v>1</v>
      </c>
    </row>
    <row r="84" spans="1:34" x14ac:dyDescent="0.3">
      <c r="A84" s="42">
        <f xml:space="preserve"> A83 + 1</f>
        <v>2</v>
      </c>
      <c r="B84" s="44">
        <f t="shared" ref="B84:B147" si="16" xml:space="preserve"> AVERAGE($C84:$AH84)</f>
        <v>0.28125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I84">
        <v>1</v>
      </c>
      <c r="J84">
        <v>1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1</v>
      </c>
      <c r="X84">
        <v>0</v>
      </c>
      <c r="Y84">
        <v>1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3">
      <c r="A85" s="42">
        <f t="shared" ref="A85:A148" si="17" xml:space="preserve"> A84 + 1</f>
        <v>3</v>
      </c>
      <c r="B85" s="44">
        <f t="shared" si="16"/>
        <v>0.21875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1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x14ac:dyDescent="0.3">
      <c r="A86" s="42">
        <f t="shared" si="17"/>
        <v>4</v>
      </c>
      <c r="B86" s="44">
        <f t="shared" si="16"/>
        <v>0.59375</v>
      </c>
      <c r="C86">
        <v>1</v>
      </c>
      <c r="D86">
        <v>0</v>
      </c>
      <c r="E86">
        <v>1</v>
      </c>
      <c r="F86">
        <v>1</v>
      </c>
      <c r="G86">
        <v>0</v>
      </c>
      <c r="H86">
        <v>1</v>
      </c>
      <c r="I86">
        <v>1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1</v>
      </c>
      <c r="T86">
        <v>0</v>
      </c>
      <c r="U86">
        <v>0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1</v>
      </c>
      <c r="AH86">
        <v>1</v>
      </c>
    </row>
    <row r="87" spans="1:34" x14ac:dyDescent="0.3">
      <c r="A87" s="42">
        <f t="shared" si="17"/>
        <v>5</v>
      </c>
      <c r="B87" s="44">
        <f t="shared" si="16"/>
        <v>0.53125</v>
      </c>
      <c r="C87">
        <v>1</v>
      </c>
      <c r="D87">
        <v>1</v>
      </c>
      <c r="E87">
        <v>1</v>
      </c>
      <c r="F87">
        <v>0</v>
      </c>
      <c r="G87">
        <v>0</v>
      </c>
      <c r="H87">
        <v>1</v>
      </c>
      <c r="I87">
        <v>1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1</v>
      </c>
      <c r="T87">
        <v>0</v>
      </c>
      <c r="U87">
        <v>0</v>
      </c>
      <c r="V87">
        <v>1</v>
      </c>
      <c r="W87">
        <v>1</v>
      </c>
      <c r="X87">
        <v>1</v>
      </c>
      <c r="Y87">
        <v>1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1</v>
      </c>
      <c r="AG87">
        <v>1</v>
      </c>
      <c r="AH87">
        <v>1</v>
      </c>
    </row>
    <row r="88" spans="1:34" x14ac:dyDescent="0.3">
      <c r="A88" s="42">
        <f t="shared" si="17"/>
        <v>6</v>
      </c>
      <c r="B88" s="44">
        <f t="shared" si="16"/>
        <v>0.40625</v>
      </c>
      <c r="C88">
        <v>1</v>
      </c>
      <c r="D88">
        <v>0</v>
      </c>
      <c r="E88">
        <v>1</v>
      </c>
      <c r="F88">
        <v>0</v>
      </c>
      <c r="G88">
        <v>1</v>
      </c>
      <c r="H88">
        <v>0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1</v>
      </c>
      <c r="R88">
        <v>0</v>
      </c>
      <c r="S88">
        <v>1</v>
      </c>
      <c r="T88">
        <v>0</v>
      </c>
      <c r="U88">
        <v>0</v>
      </c>
      <c r="V88">
        <v>1</v>
      </c>
      <c r="W88">
        <v>1</v>
      </c>
      <c r="X88">
        <v>0</v>
      </c>
      <c r="Y88">
        <v>1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0</v>
      </c>
      <c r="AH88">
        <v>0</v>
      </c>
    </row>
    <row r="89" spans="1:34" x14ac:dyDescent="0.3">
      <c r="A89" s="42">
        <f t="shared" si="17"/>
        <v>7</v>
      </c>
      <c r="B89" s="44">
        <f t="shared" si="16"/>
        <v>0.4375</v>
      </c>
      <c r="C89">
        <v>1</v>
      </c>
      <c r="D89">
        <v>0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0</v>
      </c>
      <c r="L89">
        <v>1</v>
      </c>
      <c r="M89">
        <v>0</v>
      </c>
      <c r="N89">
        <v>0</v>
      </c>
      <c r="O89">
        <v>0</v>
      </c>
      <c r="P89">
        <v>1</v>
      </c>
      <c r="Q89">
        <v>1</v>
      </c>
      <c r="R89">
        <v>0</v>
      </c>
      <c r="S89">
        <v>1</v>
      </c>
      <c r="T89">
        <v>0</v>
      </c>
      <c r="U89">
        <v>0</v>
      </c>
      <c r="V89">
        <v>0</v>
      </c>
      <c r="W89">
        <v>1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</row>
    <row r="90" spans="1:34" x14ac:dyDescent="0.3">
      <c r="A90" s="42">
        <f t="shared" si="17"/>
        <v>8</v>
      </c>
      <c r="B90" s="44">
        <f t="shared" si="16"/>
        <v>0.53125</v>
      </c>
      <c r="C90">
        <v>0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0</v>
      </c>
      <c r="M90">
        <v>1</v>
      </c>
      <c r="N90">
        <v>0</v>
      </c>
      <c r="O90">
        <v>0</v>
      </c>
      <c r="P90">
        <v>1</v>
      </c>
      <c r="Q90">
        <v>1</v>
      </c>
      <c r="R90">
        <v>0</v>
      </c>
      <c r="S90">
        <v>1</v>
      </c>
      <c r="T90">
        <v>0</v>
      </c>
      <c r="U90">
        <v>0</v>
      </c>
      <c r="V90">
        <v>0</v>
      </c>
      <c r="W90">
        <v>1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1</v>
      </c>
      <c r="AH90">
        <v>1</v>
      </c>
    </row>
    <row r="91" spans="1:34" x14ac:dyDescent="0.3">
      <c r="A91" s="42">
        <f t="shared" si="17"/>
        <v>9</v>
      </c>
      <c r="B91" s="44">
        <f t="shared" si="16"/>
        <v>0.46875</v>
      </c>
      <c r="C91">
        <v>0</v>
      </c>
      <c r="D91">
        <v>1</v>
      </c>
      <c r="E91">
        <v>1</v>
      </c>
      <c r="F91">
        <v>1</v>
      </c>
      <c r="G91">
        <v>1</v>
      </c>
      <c r="H91">
        <v>0</v>
      </c>
      <c r="I91">
        <v>1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1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1</v>
      </c>
      <c r="AB91">
        <v>1</v>
      </c>
      <c r="AC91">
        <v>0</v>
      </c>
      <c r="AD91">
        <v>1</v>
      </c>
      <c r="AE91">
        <v>0</v>
      </c>
      <c r="AF91">
        <v>1</v>
      </c>
      <c r="AG91">
        <v>0</v>
      </c>
      <c r="AH91">
        <v>0</v>
      </c>
    </row>
    <row r="92" spans="1:34" x14ac:dyDescent="0.3">
      <c r="A92" s="42">
        <f t="shared" si="17"/>
        <v>10</v>
      </c>
      <c r="B92" s="44">
        <f t="shared" si="16"/>
        <v>0.5</v>
      </c>
      <c r="C92">
        <v>1</v>
      </c>
      <c r="D92">
        <v>0</v>
      </c>
      <c r="E92">
        <v>1</v>
      </c>
      <c r="F92">
        <v>1</v>
      </c>
      <c r="G92">
        <v>1</v>
      </c>
      <c r="H92">
        <v>0</v>
      </c>
      <c r="I92">
        <v>1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1</v>
      </c>
      <c r="Q92">
        <v>1</v>
      </c>
      <c r="R92">
        <v>0</v>
      </c>
      <c r="S92">
        <v>0</v>
      </c>
      <c r="T92">
        <v>0</v>
      </c>
      <c r="U92">
        <v>1</v>
      </c>
      <c r="V92">
        <v>0</v>
      </c>
      <c r="W92">
        <v>1</v>
      </c>
      <c r="X92">
        <v>0</v>
      </c>
      <c r="Y92">
        <v>1</v>
      </c>
      <c r="Z92">
        <v>0</v>
      </c>
      <c r="AA92">
        <v>1</v>
      </c>
      <c r="AB92">
        <v>1</v>
      </c>
      <c r="AC92">
        <v>1</v>
      </c>
      <c r="AD92">
        <v>0</v>
      </c>
      <c r="AE92">
        <v>0</v>
      </c>
      <c r="AF92">
        <v>1</v>
      </c>
      <c r="AG92">
        <v>1</v>
      </c>
      <c r="AH92">
        <v>0</v>
      </c>
    </row>
    <row r="93" spans="1:34" x14ac:dyDescent="0.3">
      <c r="A93" s="42">
        <f t="shared" si="17"/>
        <v>11</v>
      </c>
      <c r="B93" s="44">
        <f t="shared" si="16"/>
        <v>0.5625</v>
      </c>
      <c r="C93">
        <v>1</v>
      </c>
      <c r="D93">
        <v>1</v>
      </c>
      <c r="E93">
        <v>0</v>
      </c>
      <c r="F93">
        <v>1</v>
      </c>
      <c r="G93">
        <v>0</v>
      </c>
      <c r="H93">
        <v>1</v>
      </c>
      <c r="I93">
        <v>0</v>
      </c>
      <c r="J93">
        <v>1</v>
      </c>
      <c r="K93">
        <v>1</v>
      </c>
      <c r="L93">
        <v>1</v>
      </c>
      <c r="M93">
        <v>1</v>
      </c>
      <c r="N93">
        <v>0</v>
      </c>
      <c r="O93">
        <v>0</v>
      </c>
      <c r="P93">
        <v>1</v>
      </c>
      <c r="Q93">
        <v>1</v>
      </c>
      <c r="R93">
        <v>0</v>
      </c>
      <c r="S93">
        <v>1</v>
      </c>
      <c r="T93">
        <v>0</v>
      </c>
      <c r="U93">
        <v>0</v>
      </c>
      <c r="V93">
        <v>1</v>
      </c>
      <c r="W93">
        <v>1</v>
      </c>
      <c r="X93">
        <v>0</v>
      </c>
      <c r="Y93">
        <v>1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1</v>
      </c>
      <c r="AG93">
        <v>1</v>
      </c>
      <c r="AH93">
        <v>1</v>
      </c>
    </row>
    <row r="94" spans="1:34" x14ac:dyDescent="0.3">
      <c r="A94" s="42">
        <f t="shared" si="17"/>
        <v>12</v>
      </c>
      <c r="B94" s="44">
        <f t="shared" si="16"/>
        <v>0.625</v>
      </c>
      <c r="C94">
        <v>1</v>
      </c>
      <c r="D94">
        <v>0</v>
      </c>
      <c r="E94">
        <v>1</v>
      </c>
      <c r="F94">
        <v>1</v>
      </c>
      <c r="G94">
        <v>0</v>
      </c>
      <c r="H94">
        <v>1</v>
      </c>
      <c r="I94">
        <v>1</v>
      </c>
      <c r="J94">
        <v>1</v>
      </c>
      <c r="K94">
        <v>1</v>
      </c>
      <c r="L94">
        <v>1</v>
      </c>
      <c r="M94">
        <v>0</v>
      </c>
      <c r="N94">
        <v>0</v>
      </c>
      <c r="O94">
        <v>0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1</v>
      </c>
      <c r="W94">
        <v>1</v>
      </c>
      <c r="X94">
        <v>0</v>
      </c>
      <c r="Y94">
        <v>1</v>
      </c>
      <c r="Z94">
        <v>0</v>
      </c>
      <c r="AA94">
        <v>0</v>
      </c>
      <c r="AB94">
        <v>1</v>
      </c>
      <c r="AC94">
        <v>1</v>
      </c>
      <c r="AD94">
        <v>0</v>
      </c>
      <c r="AE94">
        <v>0</v>
      </c>
      <c r="AF94">
        <v>1</v>
      </c>
      <c r="AG94">
        <v>1</v>
      </c>
      <c r="AH94">
        <v>1</v>
      </c>
    </row>
    <row r="95" spans="1:34" x14ac:dyDescent="0.3">
      <c r="A95" s="42">
        <f t="shared" si="17"/>
        <v>13</v>
      </c>
      <c r="B95" s="44">
        <f t="shared" si="16"/>
        <v>0.46875</v>
      </c>
      <c r="C95">
        <v>1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1</v>
      </c>
      <c r="R95">
        <v>1</v>
      </c>
      <c r="S95">
        <v>1</v>
      </c>
      <c r="T95">
        <v>0</v>
      </c>
      <c r="U95">
        <v>0</v>
      </c>
      <c r="V95">
        <v>0</v>
      </c>
      <c r="W95">
        <v>1</v>
      </c>
      <c r="X95">
        <v>0</v>
      </c>
      <c r="Y95">
        <v>1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1</v>
      </c>
    </row>
    <row r="96" spans="1:34" x14ac:dyDescent="0.3">
      <c r="A96" s="42">
        <f t="shared" si="17"/>
        <v>14</v>
      </c>
      <c r="B96" s="44">
        <f t="shared" si="16"/>
        <v>0.25</v>
      </c>
      <c r="C96">
        <v>0</v>
      </c>
      <c r="D96">
        <v>1</v>
      </c>
      <c r="E96">
        <v>1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1</v>
      </c>
      <c r="AH96">
        <v>1</v>
      </c>
    </row>
    <row r="97" spans="1:34" x14ac:dyDescent="0.3">
      <c r="A97" s="42">
        <f t="shared" si="17"/>
        <v>15</v>
      </c>
      <c r="B97" s="44">
        <f t="shared" si="16"/>
        <v>0.40625</v>
      </c>
      <c r="C97">
        <v>1</v>
      </c>
      <c r="D97">
        <v>0</v>
      </c>
      <c r="E97">
        <v>1</v>
      </c>
      <c r="F97">
        <v>0</v>
      </c>
      <c r="G97">
        <v>0</v>
      </c>
      <c r="H97">
        <v>1</v>
      </c>
      <c r="I97">
        <v>1</v>
      </c>
      <c r="J97">
        <v>1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  <c r="W97">
        <v>1</v>
      </c>
      <c r="X97">
        <v>0</v>
      </c>
      <c r="Y97">
        <v>1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1</v>
      </c>
      <c r="AG97">
        <v>0</v>
      </c>
      <c r="AH97">
        <v>1</v>
      </c>
    </row>
    <row r="98" spans="1:34" x14ac:dyDescent="0.3">
      <c r="A98" s="42">
        <f t="shared" si="17"/>
        <v>16</v>
      </c>
      <c r="B98" s="44">
        <f t="shared" si="16"/>
        <v>0.59375</v>
      </c>
      <c r="C98">
        <v>1</v>
      </c>
      <c r="D98">
        <v>0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0</v>
      </c>
      <c r="S98">
        <v>1</v>
      </c>
      <c r="T98">
        <v>0</v>
      </c>
      <c r="U98">
        <v>1</v>
      </c>
      <c r="V98">
        <v>1</v>
      </c>
      <c r="W98">
        <v>1</v>
      </c>
      <c r="X98">
        <v>0</v>
      </c>
      <c r="Y98">
        <v>1</v>
      </c>
      <c r="Z98">
        <v>0</v>
      </c>
      <c r="AA98">
        <v>1</v>
      </c>
      <c r="AB98">
        <v>1</v>
      </c>
      <c r="AC98">
        <v>0</v>
      </c>
      <c r="AD98">
        <v>0</v>
      </c>
      <c r="AE98">
        <v>1</v>
      </c>
      <c r="AF98">
        <v>1</v>
      </c>
      <c r="AG98">
        <v>1</v>
      </c>
      <c r="AH98">
        <v>0</v>
      </c>
    </row>
    <row r="99" spans="1:34" x14ac:dyDescent="0.3">
      <c r="A99" s="42">
        <f t="shared" si="17"/>
        <v>17</v>
      </c>
      <c r="B99" s="44">
        <f t="shared" si="16"/>
        <v>0.53125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1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1</v>
      </c>
      <c r="R99">
        <v>0</v>
      </c>
      <c r="S99">
        <v>1</v>
      </c>
      <c r="T99">
        <v>0</v>
      </c>
      <c r="U99">
        <v>0</v>
      </c>
      <c r="V99">
        <v>1</v>
      </c>
      <c r="W99">
        <v>1</v>
      </c>
      <c r="X99">
        <v>0</v>
      </c>
      <c r="Y99">
        <v>1</v>
      </c>
      <c r="Z99">
        <v>0</v>
      </c>
      <c r="AA99">
        <v>0</v>
      </c>
      <c r="AB99">
        <v>0</v>
      </c>
      <c r="AC99">
        <v>1</v>
      </c>
      <c r="AD99">
        <v>0</v>
      </c>
      <c r="AE99">
        <v>0</v>
      </c>
      <c r="AF99">
        <v>1</v>
      </c>
      <c r="AG99">
        <v>1</v>
      </c>
      <c r="AH99">
        <v>1</v>
      </c>
    </row>
    <row r="100" spans="1:34" x14ac:dyDescent="0.3">
      <c r="A100" s="42">
        <f t="shared" si="17"/>
        <v>18</v>
      </c>
      <c r="B100" s="44">
        <f t="shared" si="16"/>
        <v>0.46875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1</v>
      </c>
      <c r="AD100">
        <v>0</v>
      </c>
      <c r="AE100">
        <v>0</v>
      </c>
      <c r="AF100">
        <v>1</v>
      </c>
      <c r="AG100">
        <v>1</v>
      </c>
      <c r="AH100">
        <v>1</v>
      </c>
    </row>
    <row r="101" spans="1:34" x14ac:dyDescent="0.3">
      <c r="A101" s="42">
        <f t="shared" si="17"/>
        <v>19</v>
      </c>
      <c r="B101" s="44">
        <f t="shared" si="16"/>
        <v>0.71875</v>
      </c>
      <c r="C101">
        <v>1</v>
      </c>
      <c r="D101">
        <v>1</v>
      </c>
      <c r="E101">
        <v>1</v>
      </c>
      <c r="F101">
        <v>1</v>
      </c>
      <c r="G101">
        <v>0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0</v>
      </c>
      <c r="O101">
        <v>0</v>
      </c>
      <c r="P101">
        <v>1</v>
      </c>
      <c r="Q101">
        <v>1</v>
      </c>
      <c r="R101">
        <v>0</v>
      </c>
      <c r="S101">
        <v>1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1</v>
      </c>
      <c r="AF101">
        <v>1</v>
      </c>
      <c r="AG101">
        <v>1</v>
      </c>
      <c r="AH101">
        <v>1</v>
      </c>
    </row>
    <row r="102" spans="1:34" x14ac:dyDescent="0.3">
      <c r="A102" s="42">
        <f t="shared" si="17"/>
        <v>20</v>
      </c>
      <c r="B102" s="44">
        <f t="shared" si="16"/>
        <v>0.40625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1</v>
      </c>
      <c r="W102">
        <v>1</v>
      </c>
      <c r="X102">
        <v>0</v>
      </c>
      <c r="Y102">
        <v>1</v>
      </c>
      <c r="Z102">
        <v>0</v>
      </c>
      <c r="AA102">
        <v>1</v>
      </c>
      <c r="AB102">
        <v>0</v>
      </c>
      <c r="AC102">
        <v>0</v>
      </c>
      <c r="AD102">
        <v>1</v>
      </c>
      <c r="AE102">
        <v>0</v>
      </c>
      <c r="AF102">
        <v>1</v>
      </c>
      <c r="AG102">
        <v>0</v>
      </c>
      <c r="AH102">
        <v>1</v>
      </c>
    </row>
    <row r="103" spans="1:34" x14ac:dyDescent="0.3">
      <c r="A103" s="42">
        <f t="shared" si="17"/>
        <v>21</v>
      </c>
      <c r="B103" s="44">
        <f t="shared" si="16"/>
        <v>0.40625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1</v>
      </c>
      <c r="X103">
        <v>1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1</v>
      </c>
    </row>
    <row r="104" spans="1:34" x14ac:dyDescent="0.3">
      <c r="A104" s="42">
        <f t="shared" si="17"/>
        <v>22</v>
      </c>
      <c r="B104" s="44">
        <f t="shared" si="16"/>
        <v>0.375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1</v>
      </c>
      <c r="AG104">
        <v>0</v>
      </c>
      <c r="AH104">
        <v>1</v>
      </c>
    </row>
    <row r="105" spans="1:34" x14ac:dyDescent="0.3">
      <c r="A105" s="42">
        <f t="shared" si="17"/>
        <v>23</v>
      </c>
      <c r="B105" s="44">
        <f t="shared" si="16"/>
        <v>0.3125</v>
      </c>
      <c r="C105">
        <v>1</v>
      </c>
      <c r="D105">
        <v>0</v>
      </c>
      <c r="E105">
        <v>1</v>
      </c>
      <c r="F105">
        <v>0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>
        <v>0</v>
      </c>
      <c r="V105">
        <v>1</v>
      </c>
      <c r="W105">
        <v>1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</row>
    <row r="106" spans="1:34" x14ac:dyDescent="0.3">
      <c r="A106" s="42">
        <f t="shared" si="17"/>
        <v>24</v>
      </c>
      <c r="B106" s="44">
        <f t="shared" si="16"/>
        <v>0.40625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1</v>
      </c>
      <c r="I106">
        <v>1</v>
      </c>
      <c r="J106">
        <v>0</v>
      </c>
      <c r="K106">
        <v>1</v>
      </c>
      <c r="L106">
        <v>0</v>
      </c>
      <c r="M106">
        <v>1</v>
      </c>
      <c r="N106">
        <v>0</v>
      </c>
      <c r="O106">
        <v>0</v>
      </c>
      <c r="P106">
        <v>1</v>
      </c>
      <c r="Q106">
        <v>1</v>
      </c>
      <c r="R106">
        <v>0</v>
      </c>
      <c r="S106">
        <v>1</v>
      </c>
      <c r="T106">
        <v>0</v>
      </c>
      <c r="U106">
        <v>0</v>
      </c>
      <c r="V106">
        <v>1</v>
      </c>
      <c r="W106">
        <v>1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0</v>
      </c>
      <c r="AH106">
        <v>1</v>
      </c>
    </row>
    <row r="107" spans="1:34" x14ac:dyDescent="0.3">
      <c r="A107" s="42">
        <f t="shared" si="17"/>
        <v>25</v>
      </c>
      <c r="B107" s="44">
        <f t="shared" si="16"/>
        <v>0.53125</v>
      </c>
      <c r="C107">
        <v>1</v>
      </c>
      <c r="D107">
        <v>0</v>
      </c>
      <c r="E107">
        <v>1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1</v>
      </c>
      <c r="T107">
        <v>0</v>
      </c>
      <c r="U107">
        <v>0</v>
      </c>
      <c r="V107">
        <v>1</v>
      </c>
      <c r="W107">
        <v>1</v>
      </c>
      <c r="X107">
        <v>0</v>
      </c>
      <c r="Y107">
        <v>1</v>
      </c>
      <c r="Z107">
        <v>0</v>
      </c>
      <c r="AA107">
        <v>0</v>
      </c>
      <c r="AB107">
        <v>1</v>
      </c>
      <c r="AC107">
        <v>1</v>
      </c>
      <c r="AD107">
        <v>0</v>
      </c>
      <c r="AE107">
        <v>0</v>
      </c>
      <c r="AF107">
        <v>1</v>
      </c>
      <c r="AG107">
        <v>1</v>
      </c>
      <c r="AH107">
        <v>1</v>
      </c>
    </row>
    <row r="108" spans="1:34" x14ac:dyDescent="0.3">
      <c r="A108" s="42">
        <f t="shared" si="17"/>
        <v>26</v>
      </c>
      <c r="B108" s="44">
        <f t="shared" si="16"/>
        <v>0.375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1</v>
      </c>
      <c r="W108">
        <v>1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1</v>
      </c>
      <c r="AG108">
        <v>0</v>
      </c>
      <c r="AH108">
        <v>1</v>
      </c>
    </row>
    <row r="109" spans="1:34" x14ac:dyDescent="0.3">
      <c r="A109" s="42">
        <f t="shared" si="17"/>
        <v>27</v>
      </c>
      <c r="B109" s="44">
        <f t="shared" si="16"/>
        <v>0.4375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1</v>
      </c>
    </row>
    <row r="110" spans="1:34" x14ac:dyDescent="0.3">
      <c r="A110" s="42">
        <f t="shared" si="17"/>
        <v>28</v>
      </c>
      <c r="B110" s="44">
        <f t="shared" si="16"/>
        <v>0.34375</v>
      </c>
      <c r="C110">
        <v>1</v>
      </c>
      <c r="D110">
        <v>0</v>
      </c>
      <c r="E110">
        <v>1</v>
      </c>
      <c r="F110">
        <v>1</v>
      </c>
      <c r="G110">
        <v>1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1</v>
      </c>
      <c r="S110">
        <v>1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</v>
      </c>
      <c r="AG110">
        <v>0</v>
      </c>
      <c r="AH110">
        <v>0</v>
      </c>
    </row>
    <row r="111" spans="1:34" x14ac:dyDescent="0.3">
      <c r="A111" s="42">
        <f t="shared" si="17"/>
        <v>29</v>
      </c>
      <c r="B111" s="44">
        <f t="shared" si="16"/>
        <v>0.375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0</v>
      </c>
      <c r="U111">
        <v>0</v>
      </c>
      <c r="V111">
        <v>1</v>
      </c>
      <c r="W111">
        <v>1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0</v>
      </c>
      <c r="AH111">
        <v>1</v>
      </c>
    </row>
    <row r="112" spans="1:34" x14ac:dyDescent="0.3">
      <c r="A112" s="42">
        <f t="shared" si="17"/>
        <v>30</v>
      </c>
      <c r="B112" s="44">
        <f t="shared" si="16"/>
        <v>0.5625</v>
      </c>
      <c r="C112">
        <v>1</v>
      </c>
      <c r="D112">
        <v>0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1</v>
      </c>
      <c r="S112">
        <v>1</v>
      </c>
      <c r="T112">
        <v>0</v>
      </c>
      <c r="U112">
        <v>0</v>
      </c>
      <c r="V112">
        <v>1</v>
      </c>
      <c r="W112">
        <v>1</v>
      </c>
      <c r="X112">
        <v>0</v>
      </c>
      <c r="Y112">
        <v>1</v>
      </c>
      <c r="Z112">
        <v>0</v>
      </c>
      <c r="AA112">
        <v>0</v>
      </c>
      <c r="AB112">
        <v>1</v>
      </c>
      <c r="AC112">
        <v>0</v>
      </c>
      <c r="AD112">
        <v>1</v>
      </c>
      <c r="AE112">
        <v>0</v>
      </c>
      <c r="AF112">
        <v>1</v>
      </c>
      <c r="AG112">
        <v>1</v>
      </c>
      <c r="AH112">
        <v>1</v>
      </c>
    </row>
    <row r="113" spans="1:34" x14ac:dyDescent="0.3">
      <c r="A113" s="42">
        <f t="shared" si="17"/>
        <v>31</v>
      </c>
      <c r="B113" s="44">
        <f t="shared" si="16"/>
        <v>0.625</v>
      </c>
      <c r="C113">
        <v>0</v>
      </c>
      <c r="D113">
        <v>1</v>
      </c>
      <c r="E113">
        <v>1</v>
      </c>
      <c r="F113">
        <v>0</v>
      </c>
      <c r="G113">
        <v>1</v>
      </c>
      <c r="H113">
        <v>1</v>
      </c>
      <c r="I113">
        <v>1</v>
      </c>
      <c r="J113">
        <v>1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1</v>
      </c>
      <c r="Q113">
        <v>1</v>
      </c>
      <c r="R113">
        <v>0</v>
      </c>
      <c r="S113">
        <v>1</v>
      </c>
      <c r="T113">
        <v>0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0</v>
      </c>
      <c r="AB113">
        <v>0</v>
      </c>
      <c r="AC113">
        <v>1</v>
      </c>
      <c r="AD113">
        <v>0</v>
      </c>
      <c r="AE113">
        <v>0</v>
      </c>
      <c r="AF113">
        <v>1</v>
      </c>
      <c r="AG113">
        <v>1</v>
      </c>
      <c r="AH113">
        <v>1</v>
      </c>
    </row>
    <row r="114" spans="1:34" x14ac:dyDescent="0.3">
      <c r="A114" s="42">
        <f t="shared" si="17"/>
        <v>32</v>
      </c>
      <c r="B114" s="44">
        <f t="shared" si="16"/>
        <v>0.59375</v>
      </c>
      <c r="C114">
        <v>1</v>
      </c>
      <c r="D114">
        <v>0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1</v>
      </c>
      <c r="S114">
        <v>1</v>
      </c>
      <c r="T114">
        <v>0</v>
      </c>
      <c r="U114">
        <v>0</v>
      </c>
      <c r="V114">
        <v>1</v>
      </c>
      <c r="W114">
        <v>1</v>
      </c>
      <c r="X114">
        <v>0</v>
      </c>
      <c r="Y114">
        <v>1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1</v>
      </c>
    </row>
    <row r="115" spans="1:34" x14ac:dyDescent="0.3">
      <c r="A115" s="42">
        <f t="shared" si="17"/>
        <v>33</v>
      </c>
      <c r="B115" s="44">
        <f t="shared" si="16"/>
        <v>0.1875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</v>
      </c>
      <c r="AG115">
        <v>0</v>
      </c>
      <c r="AH115">
        <v>1</v>
      </c>
    </row>
    <row r="116" spans="1:34" x14ac:dyDescent="0.3">
      <c r="A116" s="42">
        <f t="shared" si="17"/>
        <v>34</v>
      </c>
      <c r="B116" s="44">
        <f t="shared" si="16"/>
        <v>0.5</v>
      </c>
      <c r="C116">
        <v>1</v>
      </c>
      <c r="D116">
        <v>1</v>
      </c>
      <c r="E116">
        <v>1</v>
      </c>
      <c r="F116">
        <v>0</v>
      </c>
      <c r="G116">
        <v>1</v>
      </c>
      <c r="H116">
        <v>1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0</v>
      </c>
      <c r="U116">
        <v>0</v>
      </c>
      <c r="V116">
        <v>1</v>
      </c>
      <c r="W116">
        <v>1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0</v>
      </c>
      <c r="AH116">
        <v>1</v>
      </c>
    </row>
    <row r="117" spans="1:34" x14ac:dyDescent="0.3">
      <c r="A117" s="42">
        <f t="shared" si="17"/>
        <v>35</v>
      </c>
      <c r="B117" s="44">
        <f t="shared" si="16"/>
        <v>0.4375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1</v>
      </c>
      <c r="I117">
        <v>0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1</v>
      </c>
      <c r="T117">
        <v>0</v>
      </c>
      <c r="U117">
        <v>0</v>
      </c>
      <c r="V117">
        <v>1</v>
      </c>
      <c r="W117">
        <v>1</v>
      </c>
      <c r="X117">
        <v>0</v>
      </c>
      <c r="Y117">
        <v>1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</row>
    <row r="118" spans="1:34" x14ac:dyDescent="0.3">
      <c r="A118" s="42">
        <f t="shared" si="17"/>
        <v>36</v>
      </c>
      <c r="B118" s="44">
        <f t="shared" si="16"/>
        <v>0.375</v>
      </c>
      <c r="C118">
        <v>1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1</v>
      </c>
      <c r="Q118">
        <v>1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1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</row>
    <row r="119" spans="1:34" x14ac:dyDescent="0.3">
      <c r="A119" s="42">
        <f t="shared" si="17"/>
        <v>37</v>
      </c>
      <c r="B119" s="44">
        <f t="shared" si="16"/>
        <v>0.375</v>
      </c>
      <c r="C119">
        <v>1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1</v>
      </c>
      <c r="X119">
        <v>0</v>
      </c>
      <c r="Y119">
        <v>1</v>
      </c>
      <c r="Z119">
        <v>0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1</v>
      </c>
      <c r="AH119">
        <v>1</v>
      </c>
    </row>
    <row r="120" spans="1:34" x14ac:dyDescent="0.3">
      <c r="A120" s="42">
        <f t="shared" si="17"/>
        <v>38</v>
      </c>
      <c r="B120" s="44">
        <f t="shared" si="16"/>
        <v>0.28125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v>1</v>
      </c>
    </row>
    <row r="121" spans="1:34" x14ac:dyDescent="0.3">
      <c r="A121" s="42">
        <f t="shared" si="17"/>
        <v>39</v>
      </c>
      <c r="B121" s="44">
        <f t="shared" si="16"/>
        <v>0.28125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1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0</v>
      </c>
      <c r="AH121">
        <v>1</v>
      </c>
    </row>
    <row r="122" spans="1:34" x14ac:dyDescent="0.3">
      <c r="A122" s="42">
        <f t="shared" si="17"/>
        <v>40</v>
      </c>
      <c r="B122" s="44">
        <f t="shared" si="16"/>
        <v>0.71875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0</v>
      </c>
      <c r="AF122">
        <v>1</v>
      </c>
      <c r="AG122">
        <v>1</v>
      </c>
      <c r="AH122">
        <v>1</v>
      </c>
    </row>
    <row r="123" spans="1:34" x14ac:dyDescent="0.3">
      <c r="A123" s="42">
        <f t="shared" si="17"/>
        <v>41</v>
      </c>
      <c r="B123" s="44">
        <f t="shared" si="16"/>
        <v>0.4375</v>
      </c>
      <c r="C123">
        <v>1</v>
      </c>
      <c r="D123">
        <v>0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1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1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1</v>
      </c>
      <c r="AF123">
        <v>1</v>
      </c>
      <c r="AG123">
        <v>0</v>
      </c>
      <c r="AH123">
        <v>1</v>
      </c>
    </row>
    <row r="124" spans="1:34" x14ac:dyDescent="0.3">
      <c r="A124" s="42">
        <f t="shared" si="17"/>
        <v>42</v>
      </c>
      <c r="B124" s="44">
        <f t="shared" si="16"/>
        <v>0.3125</v>
      </c>
      <c r="C124">
        <v>1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1</v>
      </c>
    </row>
    <row r="125" spans="1:34" x14ac:dyDescent="0.3">
      <c r="A125" s="42">
        <f t="shared" si="17"/>
        <v>43</v>
      </c>
      <c r="B125" s="44">
        <f t="shared" si="16"/>
        <v>0.28125</v>
      </c>
      <c r="C125">
        <v>1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</row>
    <row r="126" spans="1:34" x14ac:dyDescent="0.3">
      <c r="A126" s="42">
        <f t="shared" si="17"/>
        <v>44</v>
      </c>
      <c r="B126" s="44">
        <f t="shared" si="16"/>
        <v>0.40625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1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1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0</v>
      </c>
    </row>
    <row r="127" spans="1:34" x14ac:dyDescent="0.3">
      <c r="A127" s="42">
        <f t="shared" si="17"/>
        <v>45</v>
      </c>
      <c r="B127" s="44">
        <f t="shared" si="16"/>
        <v>0.46875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1</v>
      </c>
      <c r="R127">
        <v>1</v>
      </c>
      <c r="S127">
        <v>0</v>
      </c>
      <c r="T127">
        <v>0</v>
      </c>
      <c r="U127">
        <v>0</v>
      </c>
      <c r="V127">
        <v>1</v>
      </c>
      <c r="W127">
        <v>1</v>
      </c>
      <c r="X127">
        <v>0</v>
      </c>
      <c r="Y127">
        <v>1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1</v>
      </c>
      <c r="AF127">
        <v>1</v>
      </c>
      <c r="AG127">
        <v>1</v>
      </c>
      <c r="AH127">
        <v>0</v>
      </c>
    </row>
    <row r="128" spans="1:34" x14ac:dyDescent="0.3">
      <c r="A128" s="42">
        <f t="shared" si="17"/>
        <v>46</v>
      </c>
      <c r="B128" s="44">
        <f t="shared" si="16"/>
        <v>0.46875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1</v>
      </c>
      <c r="J128">
        <v>1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1</v>
      </c>
      <c r="AH128">
        <v>0</v>
      </c>
    </row>
    <row r="129" spans="1:34" x14ac:dyDescent="0.3">
      <c r="A129" s="42">
        <f t="shared" si="17"/>
        <v>47</v>
      </c>
      <c r="B129" s="44">
        <f t="shared" si="16"/>
        <v>0.375</v>
      </c>
      <c r="C129">
        <v>1</v>
      </c>
      <c r="D129">
        <v>0</v>
      </c>
      <c r="E129">
        <v>1</v>
      </c>
      <c r="F129">
        <v>1</v>
      </c>
      <c r="G129">
        <v>0</v>
      </c>
      <c r="H129">
        <v>1</v>
      </c>
      <c r="I129">
        <v>1</v>
      </c>
      <c r="J129">
        <v>1</v>
      </c>
      <c r="K129">
        <v>1</v>
      </c>
      <c r="L129">
        <v>0</v>
      </c>
      <c r="M129">
        <v>1</v>
      </c>
      <c r="N129">
        <v>0</v>
      </c>
      <c r="O129">
        <v>0</v>
      </c>
      <c r="P129">
        <v>1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0</v>
      </c>
      <c r="AH129">
        <v>0</v>
      </c>
    </row>
    <row r="130" spans="1:34" x14ac:dyDescent="0.3">
      <c r="A130" s="42">
        <f t="shared" si="17"/>
        <v>48</v>
      </c>
      <c r="B130" s="44">
        <f t="shared" si="16"/>
        <v>0.25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1</v>
      </c>
    </row>
    <row r="131" spans="1:34" x14ac:dyDescent="0.3">
      <c r="A131" s="42">
        <f t="shared" si="17"/>
        <v>49</v>
      </c>
      <c r="B131" s="44">
        <f t="shared" si="16"/>
        <v>0.34375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1</v>
      </c>
      <c r="S131">
        <v>0</v>
      </c>
      <c r="T131">
        <v>0</v>
      </c>
      <c r="U131">
        <v>0</v>
      </c>
      <c r="V131">
        <v>1</v>
      </c>
      <c r="W131">
        <v>1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</row>
    <row r="132" spans="1:34" x14ac:dyDescent="0.3">
      <c r="A132" s="42">
        <f t="shared" si="17"/>
        <v>50</v>
      </c>
      <c r="B132" s="44">
        <f t="shared" si="16"/>
        <v>0.3125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1</v>
      </c>
      <c r="R132">
        <v>0</v>
      </c>
      <c r="S132">
        <v>1</v>
      </c>
      <c r="T132">
        <v>0</v>
      </c>
      <c r="U132">
        <v>0</v>
      </c>
      <c r="V132">
        <v>1</v>
      </c>
      <c r="W132">
        <v>1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0</v>
      </c>
      <c r="AH132">
        <v>0</v>
      </c>
    </row>
    <row r="133" spans="1:34" x14ac:dyDescent="0.3">
      <c r="A133" s="42">
        <f t="shared" si="17"/>
        <v>51</v>
      </c>
      <c r="B133" s="44">
        <f t="shared" si="16"/>
        <v>0.1875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</row>
    <row r="134" spans="1:34" x14ac:dyDescent="0.3">
      <c r="A134" s="42">
        <f t="shared" si="17"/>
        <v>52</v>
      </c>
      <c r="B134" s="44">
        <f t="shared" si="16"/>
        <v>0.65625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0</v>
      </c>
      <c r="M134">
        <v>1</v>
      </c>
      <c r="N134">
        <v>0</v>
      </c>
      <c r="O134">
        <v>0</v>
      </c>
      <c r="P134">
        <v>1</v>
      </c>
      <c r="Q134">
        <v>1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1</v>
      </c>
      <c r="X134">
        <v>0</v>
      </c>
      <c r="Y134">
        <v>1</v>
      </c>
      <c r="Z134">
        <v>0</v>
      </c>
      <c r="AA134">
        <v>1</v>
      </c>
      <c r="AB134">
        <v>1</v>
      </c>
      <c r="AC134">
        <v>1</v>
      </c>
      <c r="AD134">
        <v>0</v>
      </c>
      <c r="AE134">
        <v>0</v>
      </c>
      <c r="AF134">
        <v>1</v>
      </c>
      <c r="AG134">
        <v>0</v>
      </c>
      <c r="AH134">
        <v>1</v>
      </c>
    </row>
    <row r="135" spans="1:34" x14ac:dyDescent="0.3">
      <c r="A135" s="42">
        <f t="shared" si="17"/>
        <v>53</v>
      </c>
      <c r="B135" s="44">
        <f t="shared" si="16"/>
        <v>0.375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1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1</v>
      </c>
      <c r="X135">
        <v>0</v>
      </c>
      <c r="Y135">
        <v>1</v>
      </c>
      <c r="Z135">
        <v>0</v>
      </c>
      <c r="AA135">
        <v>0</v>
      </c>
      <c r="AB135">
        <v>1</v>
      </c>
      <c r="AC135">
        <v>1</v>
      </c>
      <c r="AD135">
        <v>0</v>
      </c>
      <c r="AE135">
        <v>0</v>
      </c>
      <c r="AF135">
        <v>1</v>
      </c>
      <c r="AG135">
        <v>0</v>
      </c>
      <c r="AH135">
        <v>1</v>
      </c>
    </row>
    <row r="136" spans="1:34" x14ac:dyDescent="0.3">
      <c r="A136" s="42">
        <f t="shared" si="17"/>
        <v>54</v>
      </c>
      <c r="B136" s="44">
        <f t="shared" si="16"/>
        <v>0.28125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0</v>
      </c>
    </row>
    <row r="137" spans="1:34" x14ac:dyDescent="0.3">
      <c r="A137" s="42">
        <f t="shared" si="17"/>
        <v>55</v>
      </c>
      <c r="B137" s="44">
        <f t="shared" si="16"/>
        <v>0.5625</v>
      </c>
      <c r="C137">
        <v>1</v>
      </c>
      <c r="D137">
        <v>0</v>
      </c>
      <c r="E137">
        <v>1</v>
      </c>
      <c r="F137">
        <v>1</v>
      </c>
      <c r="G137">
        <v>0</v>
      </c>
      <c r="H137">
        <v>1</v>
      </c>
      <c r="I137">
        <v>1</v>
      </c>
      <c r="J137">
        <v>0</v>
      </c>
      <c r="K137">
        <v>0</v>
      </c>
      <c r="L137">
        <v>1</v>
      </c>
      <c r="M137">
        <v>1</v>
      </c>
      <c r="N137">
        <v>0</v>
      </c>
      <c r="O137">
        <v>0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0</v>
      </c>
      <c r="V137">
        <v>1</v>
      </c>
      <c r="W137">
        <v>1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</v>
      </c>
      <c r="AF137">
        <v>1</v>
      </c>
      <c r="AG137">
        <v>0</v>
      </c>
      <c r="AH137">
        <v>1</v>
      </c>
    </row>
    <row r="138" spans="1:34" x14ac:dyDescent="0.3">
      <c r="A138" s="42">
        <f t="shared" si="17"/>
        <v>56</v>
      </c>
      <c r="B138" s="44">
        <f t="shared" si="16"/>
        <v>0.34375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1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0</v>
      </c>
      <c r="AH138">
        <v>1</v>
      </c>
    </row>
    <row r="139" spans="1:34" x14ac:dyDescent="0.3">
      <c r="A139" s="42">
        <f t="shared" si="17"/>
        <v>57</v>
      </c>
      <c r="B139" s="44">
        <f t="shared" si="16"/>
        <v>0.46875</v>
      </c>
      <c r="C139">
        <v>1</v>
      </c>
      <c r="D139">
        <v>0</v>
      </c>
      <c r="E139">
        <v>1</v>
      </c>
      <c r="F139">
        <v>0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1</v>
      </c>
      <c r="Q139">
        <v>1</v>
      </c>
      <c r="R139">
        <v>0</v>
      </c>
      <c r="S139">
        <v>1</v>
      </c>
      <c r="T139">
        <v>0</v>
      </c>
      <c r="U139">
        <v>0</v>
      </c>
      <c r="V139">
        <v>1</v>
      </c>
      <c r="W139">
        <v>1</v>
      </c>
      <c r="X139">
        <v>0</v>
      </c>
      <c r="Y139">
        <v>1</v>
      </c>
      <c r="Z139">
        <v>0</v>
      </c>
      <c r="AA139">
        <v>0</v>
      </c>
      <c r="AB139">
        <v>1</v>
      </c>
      <c r="AC139">
        <v>1</v>
      </c>
      <c r="AD139">
        <v>0</v>
      </c>
      <c r="AE139">
        <v>0</v>
      </c>
      <c r="AF139">
        <v>1</v>
      </c>
      <c r="AG139">
        <v>0</v>
      </c>
      <c r="AH139">
        <v>1</v>
      </c>
    </row>
    <row r="140" spans="1:34" x14ac:dyDescent="0.3">
      <c r="A140" s="42">
        <f t="shared" si="17"/>
        <v>58</v>
      </c>
      <c r="B140" s="44">
        <f t="shared" si="16"/>
        <v>0.5</v>
      </c>
      <c r="C140">
        <v>1</v>
      </c>
      <c r="D140">
        <v>0</v>
      </c>
      <c r="E140">
        <v>1</v>
      </c>
      <c r="F140">
        <v>1</v>
      </c>
      <c r="G140">
        <v>0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1</v>
      </c>
      <c r="R140">
        <v>0</v>
      </c>
      <c r="S140">
        <v>1</v>
      </c>
      <c r="T140">
        <v>0</v>
      </c>
      <c r="U140">
        <v>0</v>
      </c>
      <c r="V140">
        <v>1</v>
      </c>
      <c r="W140">
        <v>1</v>
      </c>
      <c r="X140">
        <v>0</v>
      </c>
      <c r="Y140">
        <v>1</v>
      </c>
      <c r="Z140">
        <v>0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v>1</v>
      </c>
      <c r="AH140">
        <v>1</v>
      </c>
    </row>
    <row r="141" spans="1:34" x14ac:dyDescent="0.3">
      <c r="A141" s="42">
        <f t="shared" si="17"/>
        <v>59</v>
      </c>
      <c r="B141" s="44">
        <f t="shared" si="16"/>
        <v>0.34375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1</v>
      </c>
      <c r="N141">
        <v>0</v>
      </c>
      <c r="O141">
        <v>0</v>
      </c>
      <c r="P141">
        <v>1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1</v>
      </c>
      <c r="AH141">
        <v>1</v>
      </c>
    </row>
    <row r="142" spans="1:34" x14ac:dyDescent="0.3">
      <c r="A142" s="42">
        <f t="shared" si="17"/>
        <v>60</v>
      </c>
      <c r="B142" s="44">
        <f t="shared" si="16"/>
        <v>0.40625</v>
      </c>
      <c r="C142">
        <v>1</v>
      </c>
      <c r="D142">
        <v>0</v>
      </c>
      <c r="E142">
        <v>1</v>
      </c>
      <c r="F142">
        <v>1</v>
      </c>
      <c r="G142">
        <v>0</v>
      </c>
      <c r="H142">
        <v>1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1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1</v>
      </c>
    </row>
    <row r="143" spans="1:34" x14ac:dyDescent="0.3">
      <c r="A143" s="42">
        <f t="shared" si="17"/>
        <v>61</v>
      </c>
      <c r="B143" s="44">
        <f t="shared" si="16"/>
        <v>0.28125</v>
      </c>
      <c r="C143">
        <v>1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1</v>
      </c>
      <c r="X143">
        <v>0</v>
      </c>
      <c r="Y143">
        <v>1</v>
      </c>
      <c r="Z143">
        <v>0</v>
      </c>
      <c r="AA143">
        <v>0</v>
      </c>
      <c r="AB143">
        <v>1</v>
      </c>
      <c r="AC143">
        <v>0</v>
      </c>
      <c r="AD143">
        <v>0</v>
      </c>
      <c r="AE143">
        <v>0</v>
      </c>
      <c r="AF143">
        <v>1</v>
      </c>
      <c r="AG143">
        <v>0</v>
      </c>
      <c r="AH143">
        <v>0</v>
      </c>
    </row>
    <row r="144" spans="1:34" x14ac:dyDescent="0.3">
      <c r="A144" s="42">
        <f t="shared" si="17"/>
        <v>62</v>
      </c>
      <c r="B144" s="44">
        <f t="shared" si="16"/>
        <v>0.5625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1</v>
      </c>
      <c r="Q144">
        <v>1</v>
      </c>
      <c r="R144">
        <v>1</v>
      </c>
      <c r="S144">
        <v>0</v>
      </c>
      <c r="T144">
        <v>0</v>
      </c>
      <c r="U144">
        <v>0</v>
      </c>
      <c r="V144">
        <v>1</v>
      </c>
      <c r="W144">
        <v>1</v>
      </c>
      <c r="X144">
        <v>0</v>
      </c>
      <c r="Y144">
        <v>1</v>
      </c>
      <c r="Z144">
        <v>0</v>
      </c>
      <c r="AA144">
        <v>0</v>
      </c>
      <c r="AB144">
        <v>1</v>
      </c>
      <c r="AC144">
        <v>0</v>
      </c>
      <c r="AD144">
        <v>1</v>
      </c>
      <c r="AE144">
        <v>0</v>
      </c>
      <c r="AF144">
        <v>1</v>
      </c>
      <c r="AG144">
        <v>1</v>
      </c>
      <c r="AH144">
        <v>1</v>
      </c>
    </row>
    <row r="145" spans="1:34" x14ac:dyDescent="0.3">
      <c r="A145" s="42">
        <f t="shared" si="17"/>
        <v>63</v>
      </c>
      <c r="B145" s="44">
        <f t="shared" si="16"/>
        <v>0.4375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1</v>
      </c>
      <c r="L145">
        <v>0</v>
      </c>
      <c r="M145">
        <v>1</v>
      </c>
      <c r="N145">
        <v>0</v>
      </c>
      <c r="O145">
        <v>0</v>
      </c>
      <c r="P145">
        <v>1</v>
      </c>
      <c r="Q145">
        <v>1</v>
      </c>
      <c r="R145">
        <v>0</v>
      </c>
      <c r="S145">
        <v>1</v>
      </c>
      <c r="T145">
        <v>0</v>
      </c>
      <c r="U145">
        <v>0</v>
      </c>
      <c r="V145">
        <v>1</v>
      </c>
      <c r="W145">
        <v>1</v>
      </c>
      <c r="X145">
        <v>0</v>
      </c>
      <c r="Y145">
        <v>1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0</v>
      </c>
    </row>
    <row r="146" spans="1:34" x14ac:dyDescent="0.3">
      <c r="A146" s="42">
        <f t="shared" si="17"/>
        <v>64</v>
      </c>
      <c r="B146" s="44">
        <f t="shared" si="16"/>
        <v>0.21875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x14ac:dyDescent="0.3">
      <c r="A147" s="42">
        <f t="shared" si="17"/>
        <v>65</v>
      </c>
      <c r="B147" s="44">
        <f t="shared" si="16"/>
        <v>0.28125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</v>
      </c>
    </row>
    <row r="148" spans="1:34" x14ac:dyDescent="0.3">
      <c r="A148" s="42">
        <f t="shared" si="17"/>
        <v>66</v>
      </c>
      <c r="B148" s="44">
        <f t="shared" ref="B148:B154" si="18" xml:space="preserve"> AVERAGE($C148:$AH148)</f>
        <v>0.71875</v>
      </c>
      <c r="C148">
        <v>1</v>
      </c>
      <c r="D148">
        <v>0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1</v>
      </c>
      <c r="Q148">
        <v>1</v>
      </c>
      <c r="R148">
        <v>1</v>
      </c>
      <c r="S148">
        <v>1</v>
      </c>
      <c r="T148">
        <v>0</v>
      </c>
      <c r="U148">
        <v>0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0</v>
      </c>
      <c r="AE148">
        <v>0</v>
      </c>
      <c r="AF148">
        <v>1</v>
      </c>
      <c r="AG148">
        <v>1</v>
      </c>
      <c r="AH148">
        <v>1</v>
      </c>
    </row>
    <row r="149" spans="1:34" x14ac:dyDescent="0.3">
      <c r="A149" s="42">
        <f t="shared" ref="A149:A154" si="19" xml:space="preserve"> A148 + 1</f>
        <v>67</v>
      </c>
      <c r="B149" s="44">
        <f t="shared" si="18"/>
        <v>0.625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1</v>
      </c>
      <c r="L149">
        <v>0</v>
      </c>
      <c r="M149">
        <v>1</v>
      </c>
      <c r="N149">
        <v>0</v>
      </c>
      <c r="O149">
        <v>0</v>
      </c>
      <c r="P149">
        <v>1</v>
      </c>
      <c r="Q149">
        <v>1</v>
      </c>
      <c r="R149">
        <v>0</v>
      </c>
      <c r="S149">
        <v>1</v>
      </c>
      <c r="T149">
        <v>0</v>
      </c>
      <c r="U149">
        <v>0</v>
      </c>
      <c r="V149">
        <v>1</v>
      </c>
      <c r="W149">
        <v>1</v>
      </c>
      <c r="X149">
        <v>0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0</v>
      </c>
      <c r="AE149">
        <v>0</v>
      </c>
      <c r="AF149">
        <v>1</v>
      </c>
      <c r="AG149">
        <v>1</v>
      </c>
      <c r="AH149">
        <v>1</v>
      </c>
    </row>
    <row r="150" spans="1:34" x14ac:dyDescent="0.3">
      <c r="A150" s="42">
        <f t="shared" si="19"/>
        <v>68</v>
      </c>
      <c r="B150" s="44">
        <f t="shared" si="18"/>
        <v>0.5625</v>
      </c>
      <c r="C150">
        <v>0</v>
      </c>
      <c r="D150">
        <v>0</v>
      </c>
      <c r="E150">
        <v>1</v>
      </c>
      <c r="F150">
        <v>0</v>
      </c>
      <c r="G150">
        <v>1</v>
      </c>
      <c r="H150">
        <v>1</v>
      </c>
      <c r="I150">
        <v>1</v>
      </c>
      <c r="J150">
        <v>1</v>
      </c>
      <c r="K150">
        <v>0</v>
      </c>
      <c r="L150">
        <v>1</v>
      </c>
      <c r="M150">
        <v>1</v>
      </c>
      <c r="N150">
        <v>0</v>
      </c>
      <c r="O150">
        <v>0</v>
      </c>
      <c r="P150">
        <v>1</v>
      </c>
      <c r="Q150">
        <v>1</v>
      </c>
      <c r="R150">
        <v>0</v>
      </c>
      <c r="S150">
        <v>1</v>
      </c>
      <c r="T150">
        <v>0</v>
      </c>
      <c r="U150">
        <v>0</v>
      </c>
      <c r="V150">
        <v>1</v>
      </c>
      <c r="W150">
        <v>1</v>
      </c>
      <c r="X150">
        <v>0</v>
      </c>
      <c r="Y150">
        <v>1</v>
      </c>
      <c r="Z150">
        <v>1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1</v>
      </c>
      <c r="AG150">
        <v>1</v>
      </c>
      <c r="AH150">
        <v>1</v>
      </c>
    </row>
    <row r="151" spans="1:34" x14ac:dyDescent="0.3">
      <c r="A151" s="42">
        <f t="shared" si="19"/>
        <v>69</v>
      </c>
      <c r="B151" s="44">
        <f t="shared" si="18"/>
        <v>0.5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1</v>
      </c>
      <c r="I151">
        <v>1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0</v>
      </c>
      <c r="V151">
        <v>1</v>
      </c>
      <c r="W151">
        <v>1</v>
      </c>
      <c r="X151">
        <v>0</v>
      </c>
      <c r="Y151">
        <v>1</v>
      </c>
      <c r="Z151">
        <v>1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1</v>
      </c>
      <c r="AG151">
        <v>0</v>
      </c>
      <c r="AH151">
        <v>1</v>
      </c>
    </row>
    <row r="152" spans="1:34" x14ac:dyDescent="0.3">
      <c r="A152" s="42">
        <f t="shared" si="19"/>
        <v>70</v>
      </c>
      <c r="B152" s="44">
        <f t="shared" si="18"/>
        <v>0.65625</v>
      </c>
      <c r="C152">
        <v>0</v>
      </c>
      <c r="D152">
        <v>1</v>
      </c>
      <c r="E152">
        <v>1</v>
      </c>
      <c r="F152">
        <v>1</v>
      </c>
      <c r="G152">
        <v>0</v>
      </c>
      <c r="H152">
        <v>1</v>
      </c>
      <c r="I152">
        <v>1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1</v>
      </c>
      <c r="R152">
        <v>1</v>
      </c>
      <c r="S152">
        <v>1</v>
      </c>
      <c r="T152">
        <v>0</v>
      </c>
      <c r="U152">
        <v>0</v>
      </c>
      <c r="V152">
        <v>1</v>
      </c>
      <c r="W152">
        <v>1</v>
      </c>
      <c r="X152">
        <v>1</v>
      </c>
      <c r="Y152">
        <v>1</v>
      </c>
      <c r="Z152">
        <v>0</v>
      </c>
      <c r="AA152">
        <v>1</v>
      </c>
      <c r="AB152">
        <v>0</v>
      </c>
      <c r="AC152">
        <v>1</v>
      </c>
      <c r="AD152">
        <v>1</v>
      </c>
      <c r="AE152">
        <v>0</v>
      </c>
      <c r="AF152">
        <v>1</v>
      </c>
      <c r="AG152">
        <v>1</v>
      </c>
      <c r="AH152">
        <v>1</v>
      </c>
    </row>
    <row r="153" spans="1:34" x14ac:dyDescent="0.3">
      <c r="A153" s="42">
        <f t="shared" si="19"/>
        <v>71</v>
      </c>
      <c r="B153" s="44">
        <f t="shared" si="18"/>
        <v>0.40625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1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0</v>
      </c>
      <c r="S153">
        <v>1</v>
      </c>
      <c r="T153">
        <v>0</v>
      </c>
      <c r="U153">
        <v>0</v>
      </c>
      <c r="V153">
        <v>1</v>
      </c>
      <c r="W153">
        <v>1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1</v>
      </c>
      <c r="AH153">
        <v>1</v>
      </c>
    </row>
    <row r="154" spans="1:34" x14ac:dyDescent="0.3">
      <c r="A154" s="42">
        <f t="shared" si="19"/>
        <v>72</v>
      </c>
      <c r="B154" s="44">
        <f t="shared" si="18"/>
        <v>0.5625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0</v>
      </c>
      <c r="M154">
        <v>1</v>
      </c>
      <c r="N154">
        <v>0</v>
      </c>
      <c r="O154">
        <v>0</v>
      </c>
      <c r="P154">
        <v>1</v>
      </c>
      <c r="Q154">
        <v>1</v>
      </c>
      <c r="R154">
        <v>0</v>
      </c>
      <c r="S154">
        <v>1</v>
      </c>
      <c r="T154">
        <v>1</v>
      </c>
      <c r="U154">
        <v>0</v>
      </c>
      <c r="V154">
        <v>1</v>
      </c>
      <c r="W154">
        <v>0</v>
      </c>
      <c r="X154">
        <v>1</v>
      </c>
      <c r="Y154">
        <v>1</v>
      </c>
      <c r="Z154">
        <v>1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</v>
      </c>
      <c r="AH154">
        <v>1</v>
      </c>
    </row>
    <row r="155" spans="1:34" x14ac:dyDescent="0.3">
      <c r="B155" s="44"/>
    </row>
    <row r="156" spans="1:34" x14ac:dyDescent="0.3">
      <c r="B156" s="44"/>
    </row>
    <row r="157" spans="1:34" x14ac:dyDescent="0.3">
      <c r="B157" s="44"/>
    </row>
    <row r="158" spans="1:34" x14ac:dyDescent="0.3">
      <c r="B158" s="44"/>
    </row>
    <row r="159" spans="1:34" x14ac:dyDescent="0.3">
      <c r="B159" s="44"/>
    </row>
    <row r="160" spans="1:34" x14ac:dyDescent="0.3">
      <c r="B160" s="44"/>
    </row>
    <row r="161" spans="1:34" x14ac:dyDescent="0.3">
      <c r="A161" s="45"/>
      <c r="B161" s="71" t="s">
        <v>175</v>
      </c>
      <c r="C161" s="71"/>
      <c r="D161" s="48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</row>
    <row r="162" spans="1:34" s="49" customFormat="1" x14ac:dyDescent="0.3">
      <c r="A162" s="49" t="s">
        <v>141</v>
      </c>
      <c r="B162" s="52" t="s">
        <v>116</v>
      </c>
      <c r="C162" s="49" t="s">
        <v>142</v>
      </c>
      <c r="D162" s="49" t="s">
        <v>143</v>
      </c>
      <c r="E162" s="49" t="s">
        <v>144</v>
      </c>
      <c r="F162" s="49" t="s">
        <v>145</v>
      </c>
      <c r="G162" s="49" t="s">
        <v>146</v>
      </c>
      <c r="H162" s="49" t="s">
        <v>147</v>
      </c>
      <c r="I162" s="49" t="s">
        <v>148</v>
      </c>
      <c r="J162" s="49" t="s">
        <v>149</v>
      </c>
      <c r="K162" s="49" t="s">
        <v>150</v>
      </c>
      <c r="L162" s="49" t="s">
        <v>151</v>
      </c>
      <c r="M162" s="49" t="s">
        <v>152</v>
      </c>
      <c r="N162" s="49" t="s">
        <v>153</v>
      </c>
      <c r="O162" s="49" t="s">
        <v>154</v>
      </c>
      <c r="P162" s="49" t="s">
        <v>155</v>
      </c>
      <c r="Q162" s="49" t="s">
        <v>156</v>
      </c>
      <c r="R162" s="49" t="s">
        <v>157</v>
      </c>
      <c r="S162" s="49" t="s">
        <v>158</v>
      </c>
      <c r="T162" s="49" t="s">
        <v>159</v>
      </c>
      <c r="U162" s="49" t="s">
        <v>160</v>
      </c>
      <c r="V162" s="49" t="s">
        <v>161</v>
      </c>
      <c r="W162" s="49" t="s">
        <v>162</v>
      </c>
      <c r="X162" s="49" t="s">
        <v>163</v>
      </c>
      <c r="Y162" s="49" t="s">
        <v>164</v>
      </c>
      <c r="Z162" s="49" t="s">
        <v>165</v>
      </c>
      <c r="AA162" s="49" t="s">
        <v>166</v>
      </c>
      <c r="AB162" s="49" t="s">
        <v>167</v>
      </c>
      <c r="AC162" s="49" t="s">
        <v>168</v>
      </c>
      <c r="AD162" s="49" t="s">
        <v>173</v>
      </c>
      <c r="AE162" s="49" t="s">
        <v>169</v>
      </c>
      <c r="AF162" s="49" t="s">
        <v>170</v>
      </c>
      <c r="AG162" s="49" t="s">
        <v>171</v>
      </c>
      <c r="AH162" s="49" t="s">
        <v>172</v>
      </c>
    </row>
    <row r="163" spans="1:34" x14ac:dyDescent="0.3">
      <c r="A163" s="42">
        <v>1</v>
      </c>
      <c r="B163" s="44">
        <f xml:space="preserve"> AVERAGE($C163:$AH163)</f>
        <v>0.3125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1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0</v>
      </c>
      <c r="Z163">
        <v>1</v>
      </c>
      <c r="AA163">
        <v>0</v>
      </c>
      <c r="AB163">
        <v>1</v>
      </c>
      <c r="AC163">
        <v>1</v>
      </c>
      <c r="AD163">
        <v>0</v>
      </c>
      <c r="AE163">
        <v>1</v>
      </c>
      <c r="AF163">
        <v>0</v>
      </c>
      <c r="AG163">
        <v>0</v>
      </c>
      <c r="AH163">
        <v>0</v>
      </c>
    </row>
    <row r="164" spans="1:34" x14ac:dyDescent="0.3">
      <c r="A164" s="42">
        <f xml:space="preserve"> A163 + 1</f>
        <v>2</v>
      </c>
      <c r="B164" s="44">
        <f t="shared" ref="B164:B227" si="20" xml:space="preserve"> AVERAGE($C164:$AH164)</f>
        <v>0.125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</row>
    <row r="165" spans="1:34" x14ac:dyDescent="0.3">
      <c r="A165" s="42">
        <f t="shared" ref="A165:A228" si="21" xml:space="preserve"> A164 + 1</f>
        <v>3</v>
      </c>
      <c r="B165" s="44">
        <f t="shared" si="20"/>
        <v>0.375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1</v>
      </c>
      <c r="Y165">
        <v>0</v>
      </c>
      <c r="Z165">
        <v>0</v>
      </c>
      <c r="AA165">
        <v>0</v>
      </c>
      <c r="AB165">
        <v>1</v>
      </c>
      <c r="AC165">
        <v>1</v>
      </c>
      <c r="AD165">
        <v>0</v>
      </c>
      <c r="AE165">
        <v>1</v>
      </c>
      <c r="AF165">
        <v>0</v>
      </c>
      <c r="AG165">
        <v>1</v>
      </c>
      <c r="AH165">
        <v>0</v>
      </c>
    </row>
    <row r="166" spans="1:34" x14ac:dyDescent="0.3">
      <c r="A166" s="42">
        <f t="shared" si="21"/>
        <v>4</v>
      </c>
      <c r="B166" s="44">
        <f t="shared" si="20"/>
        <v>0.46875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1</v>
      </c>
      <c r="K166">
        <v>1</v>
      </c>
      <c r="L166">
        <v>1</v>
      </c>
      <c r="M166">
        <v>0</v>
      </c>
      <c r="N166">
        <v>1</v>
      </c>
      <c r="O166">
        <v>1</v>
      </c>
      <c r="P166">
        <v>0</v>
      </c>
      <c r="Q166">
        <v>1</v>
      </c>
      <c r="R166">
        <v>1</v>
      </c>
      <c r="S166">
        <v>0</v>
      </c>
      <c r="T166">
        <v>0</v>
      </c>
      <c r="U166">
        <v>0</v>
      </c>
      <c r="V166">
        <v>1</v>
      </c>
      <c r="W166">
        <v>1</v>
      </c>
      <c r="X166">
        <v>0</v>
      </c>
      <c r="Y166">
        <v>0</v>
      </c>
      <c r="Z166">
        <v>0</v>
      </c>
      <c r="AA166">
        <v>1</v>
      </c>
      <c r="AB166">
        <v>1</v>
      </c>
      <c r="AC166">
        <v>0</v>
      </c>
      <c r="AD166">
        <v>1</v>
      </c>
      <c r="AE166">
        <v>0</v>
      </c>
      <c r="AF166">
        <v>0</v>
      </c>
      <c r="AG166">
        <v>0</v>
      </c>
      <c r="AH166">
        <v>0</v>
      </c>
    </row>
    <row r="167" spans="1:34" x14ac:dyDescent="0.3">
      <c r="A167" s="42">
        <f t="shared" si="21"/>
        <v>5</v>
      </c>
      <c r="B167" s="44">
        <f t="shared" si="20"/>
        <v>0.375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1</v>
      </c>
      <c r="AC167">
        <v>0</v>
      </c>
      <c r="AD167">
        <v>1</v>
      </c>
      <c r="AE167">
        <v>1</v>
      </c>
      <c r="AF167">
        <v>0</v>
      </c>
      <c r="AG167">
        <v>1</v>
      </c>
      <c r="AH167">
        <v>1</v>
      </c>
    </row>
    <row r="168" spans="1:34" x14ac:dyDescent="0.3">
      <c r="A168" s="42">
        <f t="shared" si="21"/>
        <v>6</v>
      </c>
      <c r="B168" s="44">
        <f t="shared" si="20"/>
        <v>0.375</v>
      </c>
      <c r="C168">
        <v>1</v>
      </c>
      <c r="D168">
        <v>0</v>
      </c>
      <c r="E168">
        <v>1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1</v>
      </c>
      <c r="S168">
        <v>1</v>
      </c>
      <c r="T168">
        <v>0</v>
      </c>
      <c r="U168">
        <v>0</v>
      </c>
      <c r="V168">
        <v>1</v>
      </c>
      <c r="W168">
        <v>1</v>
      </c>
      <c r="X168">
        <v>1</v>
      </c>
      <c r="Y168">
        <v>1</v>
      </c>
      <c r="Z168">
        <v>0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1</v>
      </c>
      <c r="AG168">
        <v>0</v>
      </c>
      <c r="AH168">
        <v>0</v>
      </c>
    </row>
    <row r="169" spans="1:34" x14ac:dyDescent="0.3">
      <c r="A169" s="42">
        <f t="shared" si="21"/>
        <v>7</v>
      </c>
      <c r="B169" s="44">
        <f t="shared" si="20"/>
        <v>0.3125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1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1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1</v>
      </c>
      <c r="AH169">
        <v>0</v>
      </c>
    </row>
    <row r="170" spans="1:34" x14ac:dyDescent="0.3">
      <c r="A170" s="42">
        <f t="shared" si="21"/>
        <v>8</v>
      </c>
      <c r="B170" s="44">
        <f t="shared" si="20"/>
        <v>0.375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1</v>
      </c>
      <c r="AE170">
        <v>0</v>
      </c>
      <c r="AF170">
        <v>1</v>
      </c>
      <c r="AG170">
        <v>1</v>
      </c>
      <c r="AH170">
        <v>1</v>
      </c>
    </row>
    <row r="171" spans="1:34" x14ac:dyDescent="0.3">
      <c r="A171" s="42">
        <f t="shared" si="21"/>
        <v>9</v>
      </c>
      <c r="B171" s="44">
        <f t="shared" si="20"/>
        <v>0.375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1</v>
      </c>
      <c r="S171">
        <v>0</v>
      </c>
      <c r="T171">
        <v>0</v>
      </c>
      <c r="U171">
        <v>0</v>
      </c>
      <c r="V171">
        <v>1</v>
      </c>
      <c r="W171">
        <v>1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1</v>
      </c>
      <c r="AD171">
        <v>1</v>
      </c>
      <c r="AE171">
        <v>0</v>
      </c>
      <c r="AF171">
        <v>1</v>
      </c>
      <c r="AG171">
        <v>0</v>
      </c>
      <c r="AH171">
        <v>0</v>
      </c>
    </row>
    <row r="172" spans="1:34" x14ac:dyDescent="0.3">
      <c r="A172" s="42">
        <f t="shared" si="21"/>
        <v>10</v>
      </c>
      <c r="B172" s="44">
        <f t="shared" si="20"/>
        <v>0.21875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x14ac:dyDescent="0.3">
      <c r="A173" s="42">
        <f t="shared" si="21"/>
        <v>11</v>
      </c>
      <c r="B173" s="44">
        <f t="shared" si="20"/>
        <v>0.40625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1</v>
      </c>
      <c r="I173">
        <v>0</v>
      </c>
      <c r="J173">
        <v>0</v>
      </c>
      <c r="K173">
        <v>1</v>
      </c>
      <c r="L173">
        <v>1</v>
      </c>
      <c r="M173">
        <v>1</v>
      </c>
      <c r="N173">
        <v>0</v>
      </c>
      <c r="O173">
        <v>0</v>
      </c>
      <c r="P173">
        <v>1</v>
      </c>
      <c r="Q173">
        <v>1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0</v>
      </c>
      <c r="AE173">
        <v>1</v>
      </c>
      <c r="AF173">
        <v>0</v>
      </c>
      <c r="AG173">
        <v>1</v>
      </c>
      <c r="AH173">
        <v>0</v>
      </c>
    </row>
    <row r="174" spans="1:34" x14ac:dyDescent="0.3">
      <c r="A174" s="42">
        <f t="shared" si="21"/>
        <v>12</v>
      </c>
      <c r="B174" s="44">
        <f t="shared" si="20"/>
        <v>0.53125</v>
      </c>
      <c r="C174">
        <v>1</v>
      </c>
      <c r="D174">
        <v>0</v>
      </c>
      <c r="E174">
        <v>1</v>
      </c>
      <c r="F174">
        <v>1</v>
      </c>
      <c r="G174">
        <v>0</v>
      </c>
      <c r="H174">
        <v>1</v>
      </c>
      <c r="I174">
        <v>1</v>
      </c>
      <c r="J174">
        <v>1</v>
      </c>
      <c r="K174">
        <v>1</v>
      </c>
      <c r="L174">
        <v>0</v>
      </c>
      <c r="M174">
        <v>0</v>
      </c>
      <c r="N174">
        <v>1</v>
      </c>
      <c r="O174">
        <v>1</v>
      </c>
      <c r="P174">
        <v>0</v>
      </c>
      <c r="Q174">
        <v>1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1</v>
      </c>
      <c r="Y174">
        <v>0</v>
      </c>
      <c r="Z174">
        <v>0</v>
      </c>
      <c r="AA174">
        <v>0</v>
      </c>
      <c r="AB174">
        <v>1</v>
      </c>
      <c r="AC174">
        <v>1</v>
      </c>
      <c r="AD174">
        <v>1</v>
      </c>
      <c r="AE174">
        <v>0</v>
      </c>
      <c r="AF174">
        <v>0</v>
      </c>
      <c r="AG174">
        <v>1</v>
      </c>
      <c r="AH174">
        <v>0</v>
      </c>
    </row>
    <row r="175" spans="1:34" x14ac:dyDescent="0.3">
      <c r="A175" s="42">
        <f t="shared" si="21"/>
        <v>13</v>
      </c>
      <c r="B175" s="44">
        <f t="shared" si="20"/>
        <v>0.34375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1</v>
      </c>
      <c r="I175">
        <v>0</v>
      </c>
      <c r="J175">
        <v>1</v>
      </c>
      <c r="K175">
        <v>0</v>
      </c>
      <c r="L175">
        <v>1</v>
      </c>
      <c r="M175">
        <v>0</v>
      </c>
      <c r="N175">
        <v>1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1</v>
      </c>
      <c r="AF175">
        <v>0</v>
      </c>
      <c r="AG175">
        <v>0</v>
      </c>
      <c r="AH175">
        <v>0</v>
      </c>
    </row>
    <row r="176" spans="1:34" x14ac:dyDescent="0.3">
      <c r="A176" s="42">
        <f t="shared" si="21"/>
        <v>14</v>
      </c>
      <c r="B176" s="44">
        <f t="shared" si="20"/>
        <v>0.34375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1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1</v>
      </c>
      <c r="AE176">
        <v>1</v>
      </c>
      <c r="AF176">
        <v>1</v>
      </c>
      <c r="AG176">
        <v>0</v>
      </c>
      <c r="AH176">
        <v>0</v>
      </c>
    </row>
    <row r="177" spans="1:34" x14ac:dyDescent="0.3">
      <c r="A177" s="42">
        <f t="shared" si="21"/>
        <v>15</v>
      </c>
      <c r="B177" s="44">
        <f t="shared" si="20"/>
        <v>0.40625</v>
      </c>
      <c r="C177">
        <v>0</v>
      </c>
      <c r="D177">
        <v>0</v>
      </c>
      <c r="E177">
        <v>1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1</v>
      </c>
      <c r="O177">
        <v>0</v>
      </c>
      <c r="P177">
        <v>0</v>
      </c>
      <c r="Q177">
        <v>1</v>
      </c>
      <c r="R177">
        <v>1</v>
      </c>
      <c r="S177">
        <v>1</v>
      </c>
      <c r="T177">
        <v>0</v>
      </c>
      <c r="U177">
        <v>1</v>
      </c>
      <c r="V177">
        <v>0</v>
      </c>
      <c r="W177">
        <v>0</v>
      </c>
      <c r="X177">
        <v>1</v>
      </c>
      <c r="Y177">
        <v>1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1</v>
      </c>
      <c r="AF177">
        <v>0</v>
      </c>
      <c r="AG177">
        <v>0</v>
      </c>
      <c r="AH177">
        <v>0</v>
      </c>
    </row>
    <row r="178" spans="1:34" x14ac:dyDescent="0.3">
      <c r="A178" s="42">
        <f t="shared" si="21"/>
        <v>16</v>
      </c>
      <c r="B178" s="44">
        <f t="shared" si="20"/>
        <v>0.28125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1</v>
      </c>
      <c r="AD178">
        <v>0</v>
      </c>
      <c r="AE178">
        <v>0</v>
      </c>
      <c r="AF178">
        <v>0</v>
      </c>
      <c r="AG178">
        <v>1</v>
      </c>
      <c r="AH178">
        <v>1</v>
      </c>
    </row>
    <row r="179" spans="1:34" x14ac:dyDescent="0.3">
      <c r="A179" s="42">
        <f t="shared" si="21"/>
        <v>17</v>
      </c>
      <c r="B179" s="44">
        <f t="shared" si="20"/>
        <v>0.53125</v>
      </c>
      <c r="C179">
        <v>1</v>
      </c>
      <c r="D179">
        <v>0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1</v>
      </c>
      <c r="P179">
        <v>0</v>
      </c>
      <c r="Q179">
        <v>1</v>
      </c>
      <c r="R179">
        <v>1</v>
      </c>
      <c r="S179">
        <v>0</v>
      </c>
      <c r="T179">
        <v>0</v>
      </c>
      <c r="U179">
        <v>0</v>
      </c>
      <c r="V179">
        <v>1</v>
      </c>
      <c r="W179">
        <v>1</v>
      </c>
      <c r="X179">
        <v>0</v>
      </c>
      <c r="Y179">
        <v>1</v>
      </c>
      <c r="Z179">
        <v>0</v>
      </c>
      <c r="AA179">
        <v>1</v>
      </c>
      <c r="AB179">
        <v>0</v>
      </c>
      <c r="AC179">
        <v>1</v>
      </c>
      <c r="AD179">
        <v>1</v>
      </c>
      <c r="AE179">
        <v>0</v>
      </c>
      <c r="AF179">
        <v>1</v>
      </c>
      <c r="AG179">
        <v>0</v>
      </c>
      <c r="AH179">
        <v>1</v>
      </c>
    </row>
    <row r="180" spans="1:34" x14ac:dyDescent="0.3">
      <c r="A180" s="42">
        <f t="shared" si="21"/>
        <v>18</v>
      </c>
      <c r="B180" s="44">
        <f t="shared" si="20"/>
        <v>0.4375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0</v>
      </c>
      <c r="U180">
        <v>1</v>
      </c>
      <c r="V180">
        <v>0</v>
      </c>
      <c r="W180">
        <v>1</v>
      </c>
      <c r="X180">
        <v>0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0</v>
      </c>
      <c r="AE180">
        <v>0</v>
      </c>
      <c r="AF180">
        <v>0</v>
      </c>
      <c r="AG180">
        <v>1</v>
      </c>
      <c r="AH180">
        <v>0</v>
      </c>
    </row>
    <row r="181" spans="1:34" x14ac:dyDescent="0.3">
      <c r="A181" s="42">
        <f t="shared" si="21"/>
        <v>19</v>
      </c>
      <c r="B181" s="44">
        <f t="shared" si="20"/>
        <v>0.34375</v>
      </c>
      <c r="C181">
        <v>0</v>
      </c>
      <c r="D181">
        <v>0</v>
      </c>
      <c r="E181">
        <v>1</v>
      </c>
      <c r="F181">
        <v>0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1</v>
      </c>
      <c r="R181">
        <v>1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1</v>
      </c>
      <c r="AD181">
        <v>1</v>
      </c>
      <c r="AE181">
        <v>0</v>
      </c>
      <c r="AF181">
        <v>0</v>
      </c>
      <c r="AG181">
        <v>1</v>
      </c>
      <c r="AH181">
        <v>0</v>
      </c>
    </row>
    <row r="182" spans="1:34" x14ac:dyDescent="0.3">
      <c r="A182" s="42">
        <f t="shared" si="21"/>
        <v>20</v>
      </c>
      <c r="B182" s="44">
        <f t="shared" si="20"/>
        <v>0.4375</v>
      </c>
      <c r="C182">
        <v>1</v>
      </c>
      <c r="D182">
        <v>0</v>
      </c>
      <c r="E182">
        <v>1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1</v>
      </c>
      <c r="R182">
        <v>1</v>
      </c>
      <c r="S182">
        <v>0</v>
      </c>
      <c r="T182">
        <v>0</v>
      </c>
      <c r="U182">
        <v>1</v>
      </c>
      <c r="V182">
        <v>1</v>
      </c>
      <c r="W182">
        <v>0</v>
      </c>
      <c r="X182">
        <v>0</v>
      </c>
      <c r="Y182">
        <v>1</v>
      </c>
      <c r="Z182">
        <v>0</v>
      </c>
      <c r="AA182">
        <v>0</v>
      </c>
      <c r="AB182">
        <v>0</v>
      </c>
      <c r="AC182">
        <v>1</v>
      </c>
      <c r="AD182">
        <v>1</v>
      </c>
      <c r="AE182">
        <v>1</v>
      </c>
      <c r="AF182">
        <v>0</v>
      </c>
      <c r="AG182">
        <v>0</v>
      </c>
      <c r="AH182">
        <v>1</v>
      </c>
    </row>
    <row r="183" spans="1:34" x14ac:dyDescent="0.3">
      <c r="A183" s="42">
        <f t="shared" si="21"/>
        <v>21</v>
      </c>
      <c r="B183" s="44">
        <f t="shared" si="20"/>
        <v>0.40625</v>
      </c>
      <c r="C183">
        <v>0</v>
      </c>
      <c r="D183">
        <v>1</v>
      </c>
      <c r="E183">
        <v>0</v>
      </c>
      <c r="F183">
        <v>0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1</v>
      </c>
      <c r="R183">
        <v>1</v>
      </c>
      <c r="S183">
        <v>0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1</v>
      </c>
      <c r="AE183">
        <v>0</v>
      </c>
      <c r="AF183">
        <v>0</v>
      </c>
      <c r="AG183">
        <v>0</v>
      </c>
      <c r="AH183">
        <v>1</v>
      </c>
    </row>
    <row r="184" spans="1:34" x14ac:dyDescent="0.3">
      <c r="A184" s="42">
        <f t="shared" si="21"/>
        <v>22</v>
      </c>
      <c r="B184" s="44">
        <f t="shared" si="20"/>
        <v>0.5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0</v>
      </c>
      <c r="N184">
        <v>1</v>
      </c>
      <c r="O184">
        <v>0</v>
      </c>
      <c r="P184">
        <v>0</v>
      </c>
      <c r="Q184">
        <v>1</v>
      </c>
      <c r="R184">
        <v>1</v>
      </c>
      <c r="S184">
        <v>0</v>
      </c>
      <c r="T184">
        <v>0</v>
      </c>
      <c r="U184">
        <v>1</v>
      </c>
      <c r="V184">
        <v>0</v>
      </c>
      <c r="W184">
        <v>1</v>
      </c>
      <c r="X184">
        <v>1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  <c r="AF184">
        <v>0</v>
      </c>
      <c r="AG184">
        <v>0</v>
      </c>
      <c r="AH184">
        <v>1</v>
      </c>
    </row>
    <row r="185" spans="1:34" x14ac:dyDescent="0.3">
      <c r="A185" s="42">
        <f t="shared" si="21"/>
        <v>23</v>
      </c>
      <c r="B185" s="44">
        <f t="shared" si="20"/>
        <v>0.5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1</v>
      </c>
      <c r="Z185">
        <v>0</v>
      </c>
      <c r="AA185">
        <v>0</v>
      </c>
      <c r="AB185">
        <v>1</v>
      </c>
      <c r="AC185">
        <v>1</v>
      </c>
      <c r="AD185">
        <v>1</v>
      </c>
      <c r="AE185">
        <v>0</v>
      </c>
      <c r="AF185">
        <v>1</v>
      </c>
      <c r="AG185">
        <v>1</v>
      </c>
      <c r="AH185">
        <v>1</v>
      </c>
    </row>
    <row r="186" spans="1:34" x14ac:dyDescent="0.3">
      <c r="A186" s="42">
        <f t="shared" si="21"/>
        <v>24</v>
      </c>
      <c r="B186" s="44">
        <f t="shared" si="20"/>
        <v>0.46875</v>
      </c>
      <c r="C186">
        <v>1</v>
      </c>
      <c r="D186">
        <v>0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1</v>
      </c>
      <c r="O186">
        <v>0</v>
      </c>
      <c r="P186">
        <v>1</v>
      </c>
      <c r="Q186">
        <v>1</v>
      </c>
      <c r="R186">
        <v>1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1</v>
      </c>
      <c r="AD186">
        <v>1</v>
      </c>
      <c r="AE186">
        <v>0</v>
      </c>
      <c r="AF186">
        <v>0</v>
      </c>
      <c r="AG186">
        <v>0</v>
      </c>
      <c r="AH186">
        <v>1</v>
      </c>
    </row>
    <row r="187" spans="1:34" x14ac:dyDescent="0.3">
      <c r="A187" s="42">
        <f t="shared" si="21"/>
        <v>25</v>
      </c>
      <c r="B187" s="44">
        <f t="shared" si="20"/>
        <v>0.5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>
        <v>1</v>
      </c>
      <c r="W187">
        <v>1</v>
      </c>
      <c r="X187">
        <v>1</v>
      </c>
      <c r="Y187">
        <v>1</v>
      </c>
      <c r="Z187">
        <v>0</v>
      </c>
      <c r="AA187">
        <v>1</v>
      </c>
      <c r="AB187">
        <v>1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1</v>
      </c>
    </row>
    <row r="188" spans="1:34" x14ac:dyDescent="0.3">
      <c r="A188" s="42">
        <f t="shared" si="21"/>
        <v>26</v>
      </c>
      <c r="B188" s="44">
        <f t="shared" si="20"/>
        <v>0.40625</v>
      </c>
      <c r="C188">
        <v>1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1</v>
      </c>
      <c r="R188">
        <v>1</v>
      </c>
      <c r="S188">
        <v>1</v>
      </c>
      <c r="T188">
        <v>0</v>
      </c>
      <c r="U188">
        <v>1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1</v>
      </c>
      <c r="AE188">
        <v>0</v>
      </c>
      <c r="AF188">
        <v>0</v>
      </c>
      <c r="AG188">
        <v>1</v>
      </c>
      <c r="AH188">
        <v>1</v>
      </c>
    </row>
    <row r="189" spans="1:34" x14ac:dyDescent="0.3">
      <c r="A189" s="42">
        <f t="shared" si="21"/>
        <v>27</v>
      </c>
      <c r="B189" s="44">
        <f t="shared" si="20"/>
        <v>0.46875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1</v>
      </c>
      <c r="L189">
        <v>0</v>
      </c>
      <c r="M189">
        <v>1</v>
      </c>
      <c r="N189">
        <v>1</v>
      </c>
      <c r="O189">
        <v>0</v>
      </c>
      <c r="P189">
        <v>0</v>
      </c>
      <c r="Q189">
        <v>1</v>
      </c>
      <c r="R189">
        <v>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1</v>
      </c>
      <c r="AC189">
        <v>1</v>
      </c>
      <c r="AD189">
        <v>1</v>
      </c>
      <c r="AE189">
        <v>1</v>
      </c>
      <c r="AF189">
        <v>0</v>
      </c>
      <c r="AG189">
        <v>0</v>
      </c>
      <c r="AH189">
        <v>1</v>
      </c>
    </row>
    <row r="190" spans="1:34" x14ac:dyDescent="0.3">
      <c r="A190" s="42">
        <f t="shared" si="21"/>
        <v>28</v>
      </c>
      <c r="B190" s="44">
        <f t="shared" si="20"/>
        <v>0.40625</v>
      </c>
      <c r="C190">
        <v>1</v>
      </c>
      <c r="D190">
        <v>0</v>
      </c>
      <c r="E190">
        <v>1</v>
      </c>
      <c r="F190">
        <v>0</v>
      </c>
      <c r="G190">
        <v>1</v>
      </c>
      <c r="H190">
        <v>1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1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1</v>
      </c>
      <c r="Y190">
        <v>1</v>
      </c>
      <c r="Z190">
        <v>0</v>
      </c>
      <c r="AA190">
        <v>0</v>
      </c>
      <c r="AB190">
        <v>1</v>
      </c>
      <c r="AC190">
        <v>0</v>
      </c>
      <c r="AD190">
        <v>1</v>
      </c>
      <c r="AE190">
        <v>1</v>
      </c>
      <c r="AF190">
        <v>0</v>
      </c>
      <c r="AG190">
        <v>0</v>
      </c>
      <c r="AH190">
        <v>0</v>
      </c>
    </row>
    <row r="191" spans="1:34" x14ac:dyDescent="0.3">
      <c r="A191" s="42">
        <f t="shared" si="21"/>
        <v>29</v>
      </c>
      <c r="B191" s="44">
        <f t="shared" si="20"/>
        <v>0.53125</v>
      </c>
      <c r="C191">
        <v>1</v>
      </c>
      <c r="D191">
        <v>0</v>
      </c>
      <c r="E191">
        <v>0</v>
      </c>
      <c r="F191">
        <v>0</v>
      </c>
      <c r="G191">
        <v>1</v>
      </c>
      <c r="H191">
        <v>1</v>
      </c>
      <c r="I191">
        <v>1</v>
      </c>
      <c r="J191">
        <v>0</v>
      </c>
      <c r="K191">
        <v>0</v>
      </c>
      <c r="L191">
        <v>1</v>
      </c>
      <c r="M191">
        <v>0</v>
      </c>
      <c r="N191">
        <v>1</v>
      </c>
      <c r="O191">
        <v>1</v>
      </c>
      <c r="P191">
        <v>0</v>
      </c>
      <c r="Q191">
        <v>1</v>
      </c>
      <c r="R191">
        <v>1</v>
      </c>
      <c r="S191">
        <v>0</v>
      </c>
      <c r="T191">
        <v>0</v>
      </c>
      <c r="U191">
        <v>0</v>
      </c>
      <c r="V191">
        <v>1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1</v>
      </c>
      <c r="AC191">
        <v>1</v>
      </c>
      <c r="AD191">
        <v>0</v>
      </c>
      <c r="AE191">
        <v>0</v>
      </c>
      <c r="AF191">
        <v>1</v>
      </c>
      <c r="AG191">
        <v>1</v>
      </c>
      <c r="AH191">
        <v>0</v>
      </c>
    </row>
    <row r="192" spans="1:34" x14ac:dyDescent="0.3">
      <c r="A192" s="42">
        <f t="shared" si="21"/>
        <v>30</v>
      </c>
      <c r="B192" s="44">
        <f t="shared" si="20"/>
        <v>0.5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1</v>
      </c>
      <c r="R192">
        <v>1</v>
      </c>
      <c r="S192">
        <v>0</v>
      </c>
      <c r="T192">
        <v>0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0</v>
      </c>
      <c r="AB192">
        <v>0</v>
      </c>
      <c r="AC192">
        <v>1</v>
      </c>
      <c r="AD192">
        <v>1</v>
      </c>
      <c r="AE192">
        <v>1</v>
      </c>
      <c r="AF192">
        <v>0</v>
      </c>
      <c r="AG192">
        <v>0</v>
      </c>
      <c r="AH192">
        <v>0</v>
      </c>
    </row>
    <row r="193" spans="1:34" x14ac:dyDescent="0.3">
      <c r="A193" s="42">
        <f t="shared" si="21"/>
        <v>31</v>
      </c>
      <c r="B193" s="44">
        <f t="shared" si="20"/>
        <v>0.53125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1</v>
      </c>
      <c r="L193">
        <v>0</v>
      </c>
      <c r="M193">
        <v>1</v>
      </c>
      <c r="N193">
        <v>1</v>
      </c>
      <c r="O193">
        <v>0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0</v>
      </c>
      <c r="V193">
        <v>1</v>
      </c>
      <c r="W193">
        <v>1</v>
      </c>
      <c r="X193">
        <v>1</v>
      </c>
      <c r="Y193">
        <v>1</v>
      </c>
      <c r="Z193">
        <v>0</v>
      </c>
      <c r="AA193">
        <v>0</v>
      </c>
      <c r="AB193">
        <v>0</v>
      </c>
      <c r="AC193">
        <v>1</v>
      </c>
      <c r="AD193">
        <v>1</v>
      </c>
      <c r="AE193">
        <v>1</v>
      </c>
      <c r="AF193">
        <v>0</v>
      </c>
      <c r="AG193">
        <v>1</v>
      </c>
      <c r="AH193">
        <v>0</v>
      </c>
    </row>
    <row r="194" spans="1:34" x14ac:dyDescent="0.3">
      <c r="A194" s="42">
        <f t="shared" si="21"/>
        <v>32</v>
      </c>
      <c r="B194" s="44">
        <f t="shared" si="20"/>
        <v>0.46875</v>
      </c>
      <c r="C194">
        <v>1</v>
      </c>
      <c r="D194">
        <v>0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0</v>
      </c>
      <c r="K194">
        <v>1</v>
      </c>
      <c r="L194">
        <v>1</v>
      </c>
      <c r="M194">
        <v>1</v>
      </c>
      <c r="N194">
        <v>0</v>
      </c>
      <c r="O194">
        <v>1</v>
      </c>
      <c r="P194">
        <v>0</v>
      </c>
      <c r="Q194">
        <v>1</v>
      </c>
      <c r="R194">
        <v>1</v>
      </c>
      <c r="S194">
        <v>0</v>
      </c>
      <c r="T194">
        <v>0</v>
      </c>
      <c r="U194">
        <v>0</v>
      </c>
      <c r="V194">
        <v>1</v>
      </c>
      <c r="W194">
        <v>1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1</v>
      </c>
      <c r="AE194">
        <v>0</v>
      </c>
      <c r="AF194">
        <v>0</v>
      </c>
      <c r="AG194">
        <v>0</v>
      </c>
      <c r="AH194">
        <v>0</v>
      </c>
    </row>
    <row r="195" spans="1:34" x14ac:dyDescent="0.3">
      <c r="A195" s="42">
        <f t="shared" si="21"/>
        <v>33</v>
      </c>
      <c r="B195" s="44">
        <f t="shared" si="20"/>
        <v>0.375</v>
      </c>
      <c r="C195">
        <v>1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1</v>
      </c>
      <c r="W195">
        <v>0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1</v>
      </c>
      <c r="AF195">
        <v>0</v>
      </c>
      <c r="AG195">
        <v>0</v>
      </c>
      <c r="AH195">
        <v>0</v>
      </c>
    </row>
    <row r="196" spans="1:34" x14ac:dyDescent="0.3">
      <c r="A196" s="42">
        <f t="shared" si="21"/>
        <v>34</v>
      </c>
      <c r="B196" s="44">
        <f t="shared" si="20"/>
        <v>0.5625</v>
      </c>
      <c r="C196">
        <v>1</v>
      </c>
      <c r="D196">
        <v>0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0</v>
      </c>
      <c r="Q196">
        <v>1</v>
      </c>
      <c r="R196">
        <v>1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1</v>
      </c>
      <c r="Y196">
        <v>1</v>
      </c>
      <c r="Z196">
        <v>0</v>
      </c>
      <c r="AA196">
        <v>1</v>
      </c>
      <c r="AB196">
        <v>1</v>
      </c>
      <c r="AC196">
        <v>1</v>
      </c>
      <c r="AD196">
        <v>1</v>
      </c>
      <c r="AE196">
        <v>0</v>
      </c>
      <c r="AF196">
        <v>0</v>
      </c>
      <c r="AG196">
        <v>1</v>
      </c>
      <c r="AH196">
        <v>0</v>
      </c>
    </row>
    <row r="197" spans="1:34" x14ac:dyDescent="0.3">
      <c r="A197" s="42">
        <f t="shared" si="21"/>
        <v>35</v>
      </c>
      <c r="B197" s="44">
        <f t="shared" si="20"/>
        <v>0.5625</v>
      </c>
      <c r="C197">
        <v>1</v>
      </c>
      <c r="D197">
        <v>1</v>
      </c>
      <c r="E197">
        <v>1</v>
      </c>
      <c r="F197">
        <v>0</v>
      </c>
      <c r="G197">
        <v>1</v>
      </c>
      <c r="H197">
        <v>1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1</v>
      </c>
      <c r="R197">
        <v>1</v>
      </c>
      <c r="S197">
        <v>0</v>
      </c>
      <c r="T197">
        <v>0</v>
      </c>
      <c r="U197">
        <v>1</v>
      </c>
      <c r="V197">
        <v>1</v>
      </c>
      <c r="W197">
        <v>0</v>
      </c>
      <c r="X197">
        <v>1</v>
      </c>
      <c r="Y197">
        <v>1</v>
      </c>
      <c r="Z197">
        <v>0</v>
      </c>
      <c r="AA197">
        <v>0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0</v>
      </c>
      <c r="AH197">
        <v>0</v>
      </c>
    </row>
    <row r="198" spans="1:34" x14ac:dyDescent="0.3">
      <c r="A198" s="42">
        <f t="shared" si="21"/>
        <v>36</v>
      </c>
      <c r="B198" s="44">
        <f t="shared" si="20"/>
        <v>0.4375</v>
      </c>
      <c r="C198">
        <v>1</v>
      </c>
      <c r="D198">
        <v>0</v>
      </c>
      <c r="E198">
        <v>1</v>
      </c>
      <c r="F198">
        <v>0</v>
      </c>
      <c r="G198">
        <v>1</v>
      </c>
      <c r="H198">
        <v>1</v>
      </c>
      <c r="I198">
        <v>0</v>
      </c>
      <c r="J198">
        <v>0</v>
      </c>
      <c r="K198">
        <v>1</v>
      </c>
      <c r="L198">
        <v>0</v>
      </c>
      <c r="M198">
        <v>1</v>
      </c>
      <c r="N198">
        <v>1</v>
      </c>
      <c r="O198">
        <v>1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1</v>
      </c>
      <c r="Y198">
        <v>1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1</v>
      </c>
      <c r="AF198">
        <v>0</v>
      </c>
      <c r="AG198">
        <v>0</v>
      </c>
      <c r="AH198">
        <v>0</v>
      </c>
    </row>
    <row r="199" spans="1:34" x14ac:dyDescent="0.3">
      <c r="A199" s="42">
        <f t="shared" si="21"/>
        <v>37</v>
      </c>
      <c r="B199" s="44">
        <f t="shared" si="20"/>
        <v>0.375</v>
      </c>
      <c r="C199">
        <v>1</v>
      </c>
      <c r="D199">
        <v>0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1</v>
      </c>
      <c r="S199">
        <v>0</v>
      </c>
      <c r="T199">
        <v>0</v>
      </c>
      <c r="U199">
        <v>1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0</v>
      </c>
    </row>
    <row r="200" spans="1:34" x14ac:dyDescent="0.3">
      <c r="A200" s="42">
        <f t="shared" si="21"/>
        <v>38</v>
      </c>
      <c r="B200" s="44">
        <f t="shared" si="20"/>
        <v>0.46875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1</v>
      </c>
      <c r="L200">
        <v>1</v>
      </c>
      <c r="M200">
        <v>0</v>
      </c>
      <c r="N200">
        <v>1</v>
      </c>
      <c r="O200">
        <v>1</v>
      </c>
      <c r="P200">
        <v>0</v>
      </c>
      <c r="Q200">
        <v>1</v>
      </c>
      <c r="R200">
        <v>1</v>
      </c>
      <c r="S200">
        <v>0</v>
      </c>
      <c r="T200">
        <v>0</v>
      </c>
      <c r="U200">
        <v>1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0</v>
      </c>
    </row>
    <row r="201" spans="1:34" x14ac:dyDescent="0.3">
      <c r="A201" s="42">
        <f t="shared" si="21"/>
        <v>39</v>
      </c>
      <c r="B201" s="44">
        <f t="shared" si="20"/>
        <v>0.4375</v>
      </c>
      <c r="C201">
        <v>0</v>
      </c>
      <c r="D201">
        <v>0</v>
      </c>
      <c r="E201">
        <v>0</v>
      </c>
      <c r="F201">
        <v>1</v>
      </c>
      <c r="G201">
        <v>1</v>
      </c>
      <c r="H201">
        <v>1</v>
      </c>
      <c r="I201">
        <v>1</v>
      </c>
      <c r="J201">
        <v>0</v>
      </c>
      <c r="K201">
        <v>1</v>
      </c>
      <c r="L201">
        <v>1</v>
      </c>
      <c r="M201">
        <v>0</v>
      </c>
      <c r="N201">
        <v>1</v>
      </c>
      <c r="O201">
        <v>0</v>
      </c>
      <c r="P201">
        <v>0</v>
      </c>
      <c r="Q201">
        <v>1</v>
      </c>
      <c r="R201">
        <v>1</v>
      </c>
      <c r="S201">
        <v>0</v>
      </c>
      <c r="T201">
        <v>0</v>
      </c>
      <c r="U201">
        <v>1</v>
      </c>
      <c r="V201">
        <v>0</v>
      </c>
      <c r="W201">
        <v>1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1</v>
      </c>
      <c r="AH201">
        <v>0</v>
      </c>
    </row>
    <row r="202" spans="1:34" x14ac:dyDescent="0.3">
      <c r="A202" s="42">
        <f t="shared" si="21"/>
        <v>40</v>
      </c>
      <c r="B202" s="44">
        <f t="shared" si="20"/>
        <v>0.59375</v>
      </c>
      <c r="C202">
        <v>0</v>
      </c>
      <c r="D202">
        <v>0</v>
      </c>
      <c r="E202">
        <v>0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0</v>
      </c>
      <c r="Q202">
        <v>1</v>
      </c>
      <c r="R202">
        <v>1</v>
      </c>
      <c r="S202">
        <v>0</v>
      </c>
      <c r="T202">
        <v>0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0</v>
      </c>
      <c r="AA202">
        <v>0</v>
      </c>
      <c r="AB202">
        <v>1</v>
      </c>
      <c r="AC202">
        <v>1</v>
      </c>
      <c r="AD202">
        <v>1</v>
      </c>
      <c r="AE202">
        <v>0</v>
      </c>
      <c r="AF202">
        <v>0</v>
      </c>
      <c r="AG202">
        <v>0</v>
      </c>
      <c r="AH202">
        <v>1</v>
      </c>
    </row>
    <row r="203" spans="1:34" x14ac:dyDescent="0.3">
      <c r="A203" s="42">
        <f t="shared" si="21"/>
        <v>41</v>
      </c>
      <c r="B203" s="44">
        <f t="shared" si="20"/>
        <v>0.5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1</v>
      </c>
      <c r="I203">
        <v>1</v>
      </c>
      <c r="J203">
        <v>0</v>
      </c>
      <c r="K203">
        <v>1</v>
      </c>
      <c r="L203">
        <v>1</v>
      </c>
      <c r="M203">
        <v>0</v>
      </c>
      <c r="N203">
        <v>1</v>
      </c>
      <c r="O203">
        <v>1</v>
      </c>
      <c r="P203">
        <v>0</v>
      </c>
      <c r="Q203">
        <v>1</v>
      </c>
      <c r="R203">
        <v>1</v>
      </c>
      <c r="S203">
        <v>0</v>
      </c>
      <c r="T203">
        <v>0</v>
      </c>
      <c r="U203">
        <v>1</v>
      </c>
      <c r="V203">
        <v>0</v>
      </c>
      <c r="W203">
        <v>1</v>
      </c>
      <c r="X203">
        <v>1</v>
      </c>
      <c r="Y203">
        <v>1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0</v>
      </c>
      <c r="AF203">
        <v>0</v>
      </c>
      <c r="AG203">
        <v>1</v>
      </c>
      <c r="AH203">
        <v>0</v>
      </c>
    </row>
    <row r="204" spans="1:34" x14ac:dyDescent="0.3">
      <c r="A204" s="42">
        <f t="shared" si="21"/>
        <v>42</v>
      </c>
      <c r="B204" s="44">
        <f t="shared" si="20"/>
        <v>0.40625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1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1</v>
      </c>
      <c r="V204">
        <v>1</v>
      </c>
      <c r="W204">
        <v>1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0</v>
      </c>
    </row>
    <row r="205" spans="1:34" x14ac:dyDescent="0.3">
      <c r="A205" s="42">
        <f t="shared" si="21"/>
        <v>43</v>
      </c>
      <c r="B205" s="44">
        <f t="shared" si="20"/>
        <v>0.34375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1</v>
      </c>
      <c r="L205">
        <v>1</v>
      </c>
      <c r="M205">
        <v>0</v>
      </c>
      <c r="N205">
        <v>0</v>
      </c>
      <c r="O205">
        <v>1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1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1</v>
      </c>
      <c r="AD205">
        <v>0</v>
      </c>
      <c r="AE205">
        <v>0</v>
      </c>
      <c r="AF205">
        <v>0</v>
      </c>
      <c r="AG205">
        <v>0</v>
      </c>
      <c r="AH205">
        <v>0</v>
      </c>
    </row>
    <row r="206" spans="1:34" x14ac:dyDescent="0.3">
      <c r="A206" s="42">
        <f t="shared" si="21"/>
        <v>44</v>
      </c>
      <c r="B206" s="44">
        <f t="shared" si="20"/>
        <v>0.34375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1</v>
      </c>
      <c r="V206">
        <v>1</v>
      </c>
      <c r="W206">
        <v>1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0</v>
      </c>
    </row>
    <row r="207" spans="1:34" x14ac:dyDescent="0.3">
      <c r="A207" s="42">
        <f t="shared" si="21"/>
        <v>45</v>
      </c>
      <c r="B207" s="44">
        <f t="shared" si="20"/>
        <v>0.4375</v>
      </c>
      <c r="C207">
        <v>1</v>
      </c>
      <c r="D207">
        <v>0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0</v>
      </c>
      <c r="Q207">
        <v>1</v>
      </c>
      <c r="R207">
        <v>1</v>
      </c>
      <c r="S207">
        <v>0</v>
      </c>
      <c r="T207">
        <v>0</v>
      </c>
      <c r="U207">
        <v>0</v>
      </c>
      <c r="V207">
        <v>1</v>
      </c>
      <c r="W207">
        <v>1</v>
      </c>
      <c r="X207">
        <v>1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1</v>
      </c>
      <c r="AE207">
        <v>0</v>
      </c>
      <c r="AF207">
        <v>0</v>
      </c>
      <c r="AG207">
        <v>0</v>
      </c>
      <c r="AH207">
        <v>0</v>
      </c>
    </row>
    <row r="208" spans="1:34" x14ac:dyDescent="0.3">
      <c r="A208" s="42">
        <f t="shared" si="21"/>
        <v>46</v>
      </c>
      <c r="B208" s="44">
        <f t="shared" si="20"/>
        <v>0.34375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1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1</v>
      </c>
      <c r="O208">
        <v>1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1</v>
      </c>
      <c r="AH208">
        <v>0</v>
      </c>
    </row>
    <row r="209" spans="1:34" x14ac:dyDescent="0.3">
      <c r="A209" s="42">
        <f t="shared" si="21"/>
        <v>47</v>
      </c>
      <c r="B209" s="44">
        <f t="shared" si="20"/>
        <v>0.40625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1</v>
      </c>
      <c r="V209">
        <v>1</v>
      </c>
      <c r="W209">
        <v>0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0</v>
      </c>
      <c r="AF209">
        <v>0</v>
      </c>
      <c r="AG209">
        <v>1</v>
      </c>
      <c r="AH209">
        <v>0</v>
      </c>
    </row>
    <row r="210" spans="1:34" x14ac:dyDescent="0.3">
      <c r="A210" s="42">
        <f t="shared" si="21"/>
        <v>48</v>
      </c>
      <c r="B210" s="44">
        <f t="shared" si="20"/>
        <v>0.40625</v>
      </c>
      <c r="C210">
        <v>0</v>
      </c>
      <c r="D210">
        <v>0</v>
      </c>
      <c r="E210">
        <v>1</v>
      </c>
      <c r="F210">
        <v>0</v>
      </c>
      <c r="G210">
        <v>1</v>
      </c>
      <c r="H210">
        <v>1</v>
      </c>
      <c r="I210">
        <v>0</v>
      </c>
      <c r="J210">
        <v>0</v>
      </c>
      <c r="K210">
        <v>1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1</v>
      </c>
      <c r="V210">
        <v>0</v>
      </c>
      <c r="W210">
        <v>0</v>
      </c>
      <c r="X210">
        <v>1</v>
      </c>
      <c r="Y210">
        <v>1</v>
      </c>
      <c r="Z210">
        <v>0</v>
      </c>
      <c r="AA210">
        <v>0</v>
      </c>
      <c r="AB210">
        <v>0</v>
      </c>
      <c r="AC210">
        <v>1</v>
      </c>
      <c r="AD210">
        <v>1</v>
      </c>
      <c r="AE210">
        <v>0</v>
      </c>
      <c r="AF210">
        <v>0</v>
      </c>
      <c r="AG210">
        <v>1</v>
      </c>
      <c r="AH210">
        <v>0</v>
      </c>
    </row>
    <row r="211" spans="1:34" x14ac:dyDescent="0.3">
      <c r="A211" s="42">
        <f t="shared" si="21"/>
        <v>49</v>
      </c>
      <c r="B211" s="44">
        <f t="shared" si="20"/>
        <v>0.46875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1</v>
      </c>
      <c r="R211">
        <v>1</v>
      </c>
      <c r="S211">
        <v>0</v>
      </c>
      <c r="T211">
        <v>0</v>
      </c>
      <c r="U211">
        <v>0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1</v>
      </c>
      <c r="AD211">
        <v>1</v>
      </c>
      <c r="AE211">
        <v>0</v>
      </c>
      <c r="AF211">
        <v>0</v>
      </c>
      <c r="AG211">
        <v>1</v>
      </c>
      <c r="AH211">
        <v>0</v>
      </c>
    </row>
    <row r="212" spans="1:34" x14ac:dyDescent="0.3">
      <c r="A212" s="42">
        <f t="shared" si="21"/>
        <v>50</v>
      </c>
      <c r="B212" s="44">
        <f t="shared" si="20"/>
        <v>0.59375</v>
      </c>
      <c r="C212">
        <v>1</v>
      </c>
      <c r="D212">
        <v>0</v>
      </c>
      <c r="E212">
        <v>1</v>
      </c>
      <c r="F212">
        <v>0</v>
      </c>
      <c r="G212">
        <v>1</v>
      </c>
      <c r="H212">
        <v>1</v>
      </c>
      <c r="I212">
        <v>0</v>
      </c>
      <c r="J212">
        <v>1</v>
      </c>
      <c r="K212">
        <v>1</v>
      </c>
      <c r="L212">
        <v>1</v>
      </c>
      <c r="M212">
        <v>0</v>
      </c>
      <c r="N212">
        <v>1</v>
      </c>
      <c r="O212">
        <v>1</v>
      </c>
      <c r="P212">
        <v>0</v>
      </c>
      <c r="Q212">
        <v>1</v>
      </c>
      <c r="R212">
        <v>0</v>
      </c>
      <c r="S212">
        <v>1</v>
      </c>
      <c r="T212">
        <v>0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0</v>
      </c>
      <c r="AA212">
        <v>0</v>
      </c>
      <c r="AB212">
        <v>0</v>
      </c>
      <c r="AC212">
        <v>1</v>
      </c>
      <c r="AD212">
        <v>1</v>
      </c>
      <c r="AE212">
        <v>0</v>
      </c>
      <c r="AF212">
        <v>0</v>
      </c>
      <c r="AG212">
        <v>1</v>
      </c>
      <c r="AH212">
        <v>0</v>
      </c>
    </row>
    <row r="213" spans="1:34" x14ac:dyDescent="0.3">
      <c r="A213" s="42">
        <f t="shared" si="21"/>
        <v>51</v>
      </c>
      <c r="B213" s="44">
        <f t="shared" si="20"/>
        <v>0.46875</v>
      </c>
      <c r="C213">
        <v>1</v>
      </c>
      <c r="D213">
        <v>0</v>
      </c>
      <c r="E213">
        <v>1</v>
      </c>
      <c r="F213">
        <v>1</v>
      </c>
      <c r="G213">
        <v>1</v>
      </c>
      <c r="H213">
        <v>1</v>
      </c>
      <c r="I213">
        <v>0</v>
      </c>
      <c r="J213">
        <v>1</v>
      </c>
      <c r="K213">
        <v>0</v>
      </c>
      <c r="L213">
        <v>1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0</v>
      </c>
      <c r="AF213">
        <v>1</v>
      </c>
      <c r="AG213">
        <v>0</v>
      </c>
      <c r="AH213">
        <v>0</v>
      </c>
    </row>
    <row r="214" spans="1:34" x14ac:dyDescent="0.3">
      <c r="A214" s="42">
        <f t="shared" si="21"/>
        <v>52</v>
      </c>
      <c r="B214" s="44">
        <f t="shared" si="20"/>
        <v>0.5</v>
      </c>
      <c r="C214">
        <v>1</v>
      </c>
      <c r="D214">
        <v>0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0</v>
      </c>
      <c r="K214">
        <v>1</v>
      </c>
      <c r="L214">
        <v>0</v>
      </c>
      <c r="M214">
        <v>1</v>
      </c>
      <c r="N214">
        <v>0</v>
      </c>
      <c r="O214">
        <v>1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1</v>
      </c>
      <c r="W214">
        <v>0</v>
      </c>
      <c r="X214">
        <v>1</v>
      </c>
      <c r="Y214">
        <v>1</v>
      </c>
      <c r="Z214">
        <v>0</v>
      </c>
      <c r="AA214">
        <v>0</v>
      </c>
      <c r="AB214">
        <v>1</v>
      </c>
      <c r="AC214">
        <v>1</v>
      </c>
      <c r="AD214">
        <v>1</v>
      </c>
      <c r="AE214">
        <v>0</v>
      </c>
      <c r="AF214">
        <v>0</v>
      </c>
      <c r="AG214">
        <v>1</v>
      </c>
      <c r="AH214">
        <v>0</v>
      </c>
    </row>
    <row r="215" spans="1:34" x14ac:dyDescent="0.3">
      <c r="A215" s="42">
        <f t="shared" si="21"/>
        <v>53</v>
      </c>
      <c r="B215" s="44">
        <f t="shared" si="20"/>
        <v>0.40625</v>
      </c>
      <c r="C215">
        <v>0</v>
      </c>
      <c r="D215">
        <v>1</v>
      </c>
      <c r="E215">
        <v>1</v>
      </c>
      <c r="F215">
        <v>0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0</v>
      </c>
      <c r="Q215">
        <v>1</v>
      </c>
      <c r="R215">
        <v>1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1</v>
      </c>
      <c r="Y215">
        <v>1</v>
      </c>
      <c r="Z215">
        <v>0</v>
      </c>
      <c r="AA215">
        <v>0</v>
      </c>
      <c r="AB215">
        <v>1</v>
      </c>
      <c r="AC215">
        <v>1</v>
      </c>
      <c r="AD215">
        <v>0</v>
      </c>
      <c r="AE215">
        <v>0</v>
      </c>
      <c r="AF215">
        <v>0</v>
      </c>
      <c r="AG215">
        <v>0</v>
      </c>
      <c r="AH215">
        <v>0</v>
      </c>
    </row>
    <row r="216" spans="1:34" x14ac:dyDescent="0.3">
      <c r="A216" s="42">
        <f t="shared" si="21"/>
        <v>54</v>
      </c>
      <c r="B216" s="44">
        <f t="shared" si="20"/>
        <v>0.59375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1</v>
      </c>
      <c r="L216">
        <v>1</v>
      </c>
      <c r="M216">
        <v>0</v>
      </c>
      <c r="N216">
        <v>1</v>
      </c>
      <c r="O216">
        <v>1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0</v>
      </c>
      <c r="AA216">
        <v>0</v>
      </c>
      <c r="AB216">
        <v>1</v>
      </c>
      <c r="AC216">
        <v>1</v>
      </c>
      <c r="AD216">
        <v>0</v>
      </c>
      <c r="AE216">
        <v>0</v>
      </c>
      <c r="AF216">
        <v>1</v>
      </c>
      <c r="AG216">
        <v>0</v>
      </c>
      <c r="AH216">
        <v>0</v>
      </c>
    </row>
    <row r="217" spans="1:34" x14ac:dyDescent="0.3">
      <c r="A217" s="42">
        <f t="shared" si="21"/>
        <v>55</v>
      </c>
      <c r="B217" s="44">
        <f t="shared" si="20"/>
        <v>0.59375</v>
      </c>
      <c r="C217">
        <v>1</v>
      </c>
      <c r="D217">
        <v>0</v>
      </c>
      <c r="E217">
        <v>1</v>
      </c>
      <c r="F217">
        <v>0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1</v>
      </c>
      <c r="M217">
        <v>1</v>
      </c>
      <c r="N217">
        <v>1</v>
      </c>
      <c r="O217">
        <v>1</v>
      </c>
      <c r="P217">
        <v>0</v>
      </c>
      <c r="Q217">
        <v>1</v>
      </c>
      <c r="R217">
        <v>1</v>
      </c>
      <c r="S217">
        <v>0</v>
      </c>
      <c r="T217">
        <v>0</v>
      </c>
      <c r="U217">
        <v>1</v>
      </c>
      <c r="V217">
        <v>0</v>
      </c>
      <c r="W217">
        <v>1</v>
      </c>
      <c r="X217">
        <v>1</v>
      </c>
      <c r="Y217">
        <v>1</v>
      </c>
      <c r="Z217">
        <v>0</v>
      </c>
      <c r="AA217">
        <v>0</v>
      </c>
      <c r="AB217">
        <v>1</v>
      </c>
      <c r="AC217">
        <v>1</v>
      </c>
      <c r="AD217">
        <v>1</v>
      </c>
      <c r="AE217">
        <v>0</v>
      </c>
      <c r="AF217">
        <v>0</v>
      </c>
      <c r="AG217">
        <v>1</v>
      </c>
      <c r="AH217">
        <v>1</v>
      </c>
    </row>
    <row r="218" spans="1:34" x14ac:dyDescent="0.3">
      <c r="A218" s="42">
        <f t="shared" si="21"/>
        <v>56</v>
      </c>
      <c r="B218" s="44">
        <f t="shared" si="20"/>
        <v>0.40625</v>
      </c>
      <c r="C218">
        <v>0</v>
      </c>
      <c r="D218">
        <v>1</v>
      </c>
      <c r="E218">
        <v>1</v>
      </c>
      <c r="F218">
        <v>0</v>
      </c>
      <c r="G218">
        <v>1</v>
      </c>
      <c r="H218">
        <v>1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1</v>
      </c>
      <c r="O218">
        <v>1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1</v>
      </c>
      <c r="Y218">
        <v>1</v>
      </c>
      <c r="Z218">
        <v>0</v>
      </c>
      <c r="AA218">
        <v>0</v>
      </c>
      <c r="AB218">
        <v>0</v>
      </c>
      <c r="AC218">
        <v>1</v>
      </c>
      <c r="AD218">
        <v>0</v>
      </c>
      <c r="AE218">
        <v>0</v>
      </c>
      <c r="AF218">
        <v>0</v>
      </c>
      <c r="AG218">
        <v>1</v>
      </c>
      <c r="AH218">
        <v>0</v>
      </c>
    </row>
    <row r="219" spans="1:34" x14ac:dyDescent="0.3">
      <c r="A219" s="42">
        <f t="shared" si="21"/>
        <v>57</v>
      </c>
      <c r="B219" s="44">
        <f t="shared" si="20"/>
        <v>0.53125</v>
      </c>
      <c r="C219">
        <v>1</v>
      </c>
      <c r="D219">
        <v>0</v>
      </c>
      <c r="E219">
        <v>1</v>
      </c>
      <c r="F219">
        <v>0</v>
      </c>
      <c r="G219">
        <v>1</v>
      </c>
      <c r="H219">
        <v>1</v>
      </c>
      <c r="I219">
        <v>1</v>
      </c>
      <c r="J219">
        <v>0</v>
      </c>
      <c r="K219">
        <v>1</v>
      </c>
      <c r="L219">
        <v>0</v>
      </c>
      <c r="M219">
        <v>0</v>
      </c>
      <c r="N219">
        <v>1</v>
      </c>
      <c r="O219">
        <v>1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0</v>
      </c>
      <c r="AA219">
        <v>0</v>
      </c>
      <c r="AB219">
        <v>1</v>
      </c>
      <c r="AC219">
        <v>1</v>
      </c>
      <c r="AD219">
        <v>0</v>
      </c>
      <c r="AE219">
        <v>0</v>
      </c>
      <c r="AF219">
        <v>0</v>
      </c>
      <c r="AG219">
        <v>1</v>
      </c>
      <c r="AH219">
        <v>0</v>
      </c>
    </row>
    <row r="220" spans="1:34" x14ac:dyDescent="0.3">
      <c r="A220" s="42">
        <f t="shared" si="21"/>
        <v>58</v>
      </c>
      <c r="B220" s="44">
        <f t="shared" si="20"/>
        <v>0.5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1</v>
      </c>
      <c r="L220">
        <v>0</v>
      </c>
      <c r="M220">
        <v>0</v>
      </c>
      <c r="N220">
        <v>1</v>
      </c>
      <c r="O220">
        <v>1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0</v>
      </c>
      <c r="AA220">
        <v>0</v>
      </c>
      <c r="AB220">
        <v>0</v>
      </c>
      <c r="AC220">
        <v>1</v>
      </c>
      <c r="AD220">
        <v>0</v>
      </c>
      <c r="AE220">
        <v>1</v>
      </c>
      <c r="AF220">
        <v>0</v>
      </c>
      <c r="AG220">
        <v>0</v>
      </c>
      <c r="AH220">
        <v>0</v>
      </c>
    </row>
    <row r="221" spans="1:34" x14ac:dyDescent="0.3">
      <c r="A221" s="42">
        <f t="shared" si="21"/>
        <v>59</v>
      </c>
      <c r="B221" s="44">
        <f t="shared" si="20"/>
        <v>0.5</v>
      </c>
      <c r="C221">
        <v>1</v>
      </c>
      <c r="D221">
        <v>1</v>
      </c>
      <c r="E221">
        <v>1</v>
      </c>
      <c r="F221">
        <v>0</v>
      </c>
      <c r="G221">
        <v>1</v>
      </c>
      <c r="H221">
        <v>1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1</v>
      </c>
      <c r="X221">
        <v>1</v>
      </c>
      <c r="Y221">
        <v>1</v>
      </c>
      <c r="Z221">
        <v>0</v>
      </c>
      <c r="AA221">
        <v>0</v>
      </c>
      <c r="AB221">
        <v>1</v>
      </c>
      <c r="AC221">
        <v>1</v>
      </c>
      <c r="AD221">
        <v>1</v>
      </c>
      <c r="AE221">
        <v>0</v>
      </c>
      <c r="AF221">
        <v>1</v>
      </c>
      <c r="AG221">
        <v>0</v>
      </c>
      <c r="AH221">
        <v>0</v>
      </c>
    </row>
    <row r="222" spans="1:34" x14ac:dyDescent="0.3">
      <c r="A222" s="42">
        <f t="shared" si="21"/>
        <v>60</v>
      </c>
      <c r="B222" s="44">
        <f t="shared" si="20"/>
        <v>0.5</v>
      </c>
      <c r="C222">
        <v>1</v>
      </c>
      <c r="D222">
        <v>0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1</v>
      </c>
      <c r="L222">
        <v>0</v>
      </c>
      <c r="M222">
        <v>0</v>
      </c>
      <c r="N222">
        <v>1</v>
      </c>
      <c r="O222">
        <v>0</v>
      </c>
      <c r="P222">
        <v>1</v>
      </c>
      <c r="Q222">
        <v>1</v>
      </c>
      <c r="R222">
        <v>0</v>
      </c>
      <c r="S222">
        <v>0</v>
      </c>
      <c r="T222">
        <v>0</v>
      </c>
      <c r="U222">
        <v>1</v>
      </c>
      <c r="V222">
        <v>1</v>
      </c>
      <c r="W222">
        <v>1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1</v>
      </c>
      <c r="AD222">
        <v>1</v>
      </c>
      <c r="AE222">
        <v>0</v>
      </c>
      <c r="AF222">
        <v>0</v>
      </c>
      <c r="AG222">
        <v>0</v>
      </c>
      <c r="AH222">
        <v>0</v>
      </c>
    </row>
    <row r="223" spans="1:34" x14ac:dyDescent="0.3">
      <c r="A223" s="42">
        <f t="shared" si="21"/>
        <v>61</v>
      </c>
      <c r="B223" s="44">
        <f t="shared" si="20"/>
        <v>0.375</v>
      </c>
      <c r="C223">
        <v>0</v>
      </c>
      <c r="D223">
        <v>0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1</v>
      </c>
      <c r="V223">
        <v>0</v>
      </c>
      <c r="W223">
        <v>1</v>
      </c>
      <c r="X223">
        <v>1</v>
      </c>
      <c r="Y223">
        <v>1</v>
      </c>
      <c r="Z223">
        <v>0</v>
      </c>
      <c r="AA223">
        <v>0</v>
      </c>
      <c r="AB223">
        <v>0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3">
      <c r="A224" s="42">
        <f t="shared" si="21"/>
        <v>62</v>
      </c>
      <c r="B224" s="44">
        <f t="shared" si="20"/>
        <v>0.53125</v>
      </c>
      <c r="C224">
        <v>1</v>
      </c>
      <c r="D224">
        <v>0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0</v>
      </c>
      <c r="K224">
        <v>1</v>
      </c>
      <c r="L224">
        <v>0</v>
      </c>
      <c r="M224">
        <v>0</v>
      </c>
      <c r="N224">
        <v>1</v>
      </c>
      <c r="O224">
        <v>1</v>
      </c>
      <c r="P224">
        <v>0</v>
      </c>
      <c r="Q224">
        <v>1</v>
      </c>
      <c r="R224">
        <v>1</v>
      </c>
      <c r="S224">
        <v>0</v>
      </c>
      <c r="T224">
        <v>0</v>
      </c>
      <c r="U224">
        <v>0</v>
      </c>
      <c r="V224">
        <v>1</v>
      </c>
      <c r="W224">
        <v>1</v>
      </c>
      <c r="X224">
        <v>1</v>
      </c>
      <c r="Y224">
        <v>1</v>
      </c>
      <c r="Z224">
        <v>0</v>
      </c>
      <c r="AA224">
        <v>0</v>
      </c>
      <c r="AB224">
        <v>0</v>
      </c>
      <c r="AC224">
        <v>1</v>
      </c>
      <c r="AD224">
        <v>1</v>
      </c>
      <c r="AE224">
        <v>0</v>
      </c>
      <c r="AF224">
        <v>0</v>
      </c>
      <c r="AG224">
        <v>0</v>
      </c>
      <c r="AH224">
        <v>0</v>
      </c>
    </row>
    <row r="225" spans="1:34" x14ac:dyDescent="0.3">
      <c r="A225" s="42">
        <f t="shared" si="21"/>
        <v>63</v>
      </c>
      <c r="B225" s="44">
        <f t="shared" si="20"/>
        <v>0.53125</v>
      </c>
      <c r="C225">
        <v>0</v>
      </c>
      <c r="D225">
        <v>1</v>
      </c>
      <c r="E225">
        <v>1</v>
      </c>
      <c r="F225">
        <v>0</v>
      </c>
      <c r="G225">
        <v>1</v>
      </c>
      <c r="H225">
        <v>1</v>
      </c>
      <c r="I225">
        <v>1</v>
      </c>
      <c r="J225">
        <v>0</v>
      </c>
      <c r="K225">
        <v>1</v>
      </c>
      <c r="L225">
        <v>1</v>
      </c>
      <c r="M225">
        <v>0</v>
      </c>
      <c r="N225">
        <v>1</v>
      </c>
      <c r="O225">
        <v>1</v>
      </c>
      <c r="P225">
        <v>0</v>
      </c>
      <c r="Q225">
        <v>1</v>
      </c>
      <c r="R225">
        <v>1</v>
      </c>
      <c r="S225">
        <v>0</v>
      </c>
      <c r="T225">
        <v>0</v>
      </c>
      <c r="U225">
        <v>0</v>
      </c>
      <c r="V225">
        <v>1</v>
      </c>
      <c r="W225">
        <v>1</v>
      </c>
      <c r="X225">
        <v>1</v>
      </c>
      <c r="Y225">
        <v>1</v>
      </c>
      <c r="Z225">
        <v>0</v>
      </c>
      <c r="AA225">
        <v>0</v>
      </c>
      <c r="AB225">
        <v>0</v>
      </c>
      <c r="AC225">
        <v>1</v>
      </c>
      <c r="AD225">
        <v>1</v>
      </c>
      <c r="AE225">
        <v>0</v>
      </c>
      <c r="AF225">
        <v>0</v>
      </c>
      <c r="AG225">
        <v>0</v>
      </c>
      <c r="AH225">
        <v>0</v>
      </c>
    </row>
    <row r="226" spans="1:34" x14ac:dyDescent="0.3">
      <c r="A226" s="42">
        <f t="shared" si="21"/>
        <v>64</v>
      </c>
      <c r="B226" s="44">
        <f t="shared" si="20"/>
        <v>0.34375</v>
      </c>
      <c r="C226">
        <v>1</v>
      </c>
      <c r="D226">
        <v>0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1</v>
      </c>
      <c r="Z226">
        <v>0</v>
      </c>
      <c r="AA226">
        <v>0</v>
      </c>
      <c r="AB226">
        <v>0</v>
      </c>
      <c r="AC226">
        <v>1</v>
      </c>
      <c r="AD226">
        <v>0</v>
      </c>
      <c r="AE226">
        <v>0</v>
      </c>
      <c r="AF226">
        <v>1</v>
      </c>
      <c r="AG226">
        <v>0</v>
      </c>
      <c r="AH226">
        <v>0</v>
      </c>
    </row>
    <row r="227" spans="1:34" x14ac:dyDescent="0.3">
      <c r="A227" s="42">
        <f t="shared" si="21"/>
        <v>65</v>
      </c>
      <c r="B227" s="44">
        <f t="shared" si="20"/>
        <v>0.4375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1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0</v>
      </c>
      <c r="AB227">
        <v>0</v>
      </c>
      <c r="AC227">
        <v>1</v>
      </c>
      <c r="AD227">
        <v>0</v>
      </c>
      <c r="AE227">
        <v>1</v>
      </c>
      <c r="AF227">
        <v>0</v>
      </c>
      <c r="AG227">
        <v>1</v>
      </c>
      <c r="AH227">
        <v>0</v>
      </c>
    </row>
    <row r="228" spans="1:34" x14ac:dyDescent="0.3">
      <c r="A228" s="42">
        <f t="shared" si="21"/>
        <v>66</v>
      </c>
      <c r="B228" s="44">
        <f t="shared" ref="B228:B234" si="22" xml:space="preserve"> AVERAGE($C228:$AH228)</f>
        <v>0.53125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1</v>
      </c>
      <c r="N228">
        <v>1</v>
      </c>
      <c r="O228">
        <v>1</v>
      </c>
      <c r="P228">
        <v>0</v>
      </c>
      <c r="Q228">
        <v>1</v>
      </c>
      <c r="R228">
        <v>1</v>
      </c>
      <c r="S228">
        <v>0</v>
      </c>
      <c r="T228">
        <v>0</v>
      </c>
      <c r="U228">
        <v>1</v>
      </c>
      <c r="V228">
        <v>1</v>
      </c>
      <c r="W228">
        <v>1</v>
      </c>
      <c r="X228">
        <v>1</v>
      </c>
      <c r="Y228">
        <v>0</v>
      </c>
      <c r="Z228">
        <v>0</v>
      </c>
      <c r="AA228">
        <v>0</v>
      </c>
      <c r="AB228">
        <v>1</v>
      </c>
      <c r="AC228">
        <v>1</v>
      </c>
      <c r="AD228">
        <v>1</v>
      </c>
      <c r="AE228">
        <v>0</v>
      </c>
      <c r="AF228">
        <v>0</v>
      </c>
      <c r="AG228">
        <v>0</v>
      </c>
      <c r="AH228">
        <v>0</v>
      </c>
    </row>
    <row r="229" spans="1:34" x14ac:dyDescent="0.3">
      <c r="A229" s="42">
        <f t="shared" ref="A229:A234" si="23" xml:space="preserve"> A228 + 1</f>
        <v>67</v>
      </c>
      <c r="B229" s="44">
        <f t="shared" si="22"/>
        <v>0.5625</v>
      </c>
      <c r="C229">
        <v>0</v>
      </c>
      <c r="D229">
        <v>1</v>
      </c>
      <c r="E229">
        <v>1</v>
      </c>
      <c r="F229">
        <v>0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0</v>
      </c>
      <c r="M229">
        <v>1</v>
      </c>
      <c r="N229">
        <v>1</v>
      </c>
      <c r="O229">
        <v>1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1</v>
      </c>
      <c r="V229">
        <v>1</v>
      </c>
      <c r="W229">
        <v>1</v>
      </c>
      <c r="X229">
        <v>1</v>
      </c>
      <c r="Y229">
        <v>0</v>
      </c>
      <c r="Z229">
        <v>0</v>
      </c>
      <c r="AA229">
        <v>0</v>
      </c>
      <c r="AB229">
        <v>1</v>
      </c>
      <c r="AC229">
        <v>1</v>
      </c>
      <c r="AD229">
        <v>1</v>
      </c>
      <c r="AE229">
        <v>0</v>
      </c>
      <c r="AF229">
        <v>0</v>
      </c>
      <c r="AG229">
        <v>0</v>
      </c>
      <c r="AH229">
        <v>0</v>
      </c>
    </row>
    <row r="230" spans="1:34" x14ac:dyDescent="0.3">
      <c r="A230" s="42">
        <f t="shared" si="23"/>
        <v>68</v>
      </c>
      <c r="B230" s="44">
        <f t="shared" si="22"/>
        <v>0.375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0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1</v>
      </c>
      <c r="AD230">
        <v>0</v>
      </c>
      <c r="AE230">
        <v>0</v>
      </c>
      <c r="AF230">
        <v>0</v>
      </c>
      <c r="AG230">
        <v>0</v>
      </c>
      <c r="AH230">
        <v>0</v>
      </c>
    </row>
    <row r="231" spans="1:34" x14ac:dyDescent="0.3">
      <c r="A231" s="42">
        <f t="shared" si="23"/>
        <v>69</v>
      </c>
      <c r="B231" s="44">
        <f t="shared" si="22"/>
        <v>0.375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0</v>
      </c>
      <c r="K231">
        <v>1</v>
      </c>
      <c r="L231">
        <v>0</v>
      </c>
      <c r="M231">
        <v>0</v>
      </c>
      <c r="N231">
        <v>1</v>
      </c>
      <c r="O231">
        <v>1</v>
      </c>
      <c r="P231">
        <v>0</v>
      </c>
      <c r="Q231">
        <v>1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1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1</v>
      </c>
      <c r="AH231">
        <v>0</v>
      </c>
    </row>
    <row r="232" spans="1:34" x14ac:dyDescent="0.3">
      <c r="A232" s="42">
        <f t="shared" si="23"/>
        <v>70</v>
      </c>
      <c r="B232" s="44">
        <f t="shared" si="22"/>
        <v>0.46875</v>
      </c>
      <c r="C232">
        <v>0</v>
      </c>
      <c r="D232">
        <v>1</v>
      </c>
      <c r="E232">
        <v>1</v>
      </c>
      <c r="F232">
        <v>0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1</v>
      </c>
      <c r="R232">
        <v>1</v>
      </c>
      <c r="S232">
        <v>0</v>
      </c>
      <c r="T232">
        <v>0</v>
      </c>
      <c r="U232">
        <v>1</v>
      </c>
      <c r="V232">
        <v>1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1</v>
      </c>
    </row>
    <row r="233" spans="1:34" x14ac:dyDescent="0.3">
      <c r="A233" s="42">
        <f t="shared" si="23"/>
        <v>71</v>
      </c>
      <c r="B233" s="44">
        <f t="shared" si="22"/>
        <v>0.3125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1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1</v>
      </c>
      <c r="Y233">
        <v>0</v>
      </c>
      <c r="Z233">
        <v>0</v>
      </c>
      <c r="AA233">
        <v>0</v>
      </c>
      <c r="AB233">
        <v>0</v>
      </c>
      <c r="AC233">
        <v>1</v>
      </c>
      <c r="AD233">
        <v>0</v>
      </c>
      <c r="AE233">
        <v>0</v>
      </c>
      <c r="AF233">
        <v>0</v>
      </c>
      <c r="AG233">
        <v>0</v>
      </c>
      <c r="AH233">
        <v>0</v>
      </c>
    </row>
    <row r="234" spans="1:34" x14ac:dyDescent="0.3">
      <c r="A234" s="42">
        <f t="shared" si="23"/>
        <v>72</v>
      </c>
      <c r="B234" s="44">
        <f t="shared" si="22"/>
        <v>0.5</v>
      </c>
      <c r="C234">
        <v>1</v>
      </c>
      <c r="D234">
        <v>0</v>
      </c>
      <c r="E234">
        <v>0</v>
      </c>
      <c r="F234">
        <v>0</v>
      </c>
      <c r="G234">
        <v>1</v>
      </c>
      <c r="H234">
        <v>1</v>
      </c>
      <c r="I234">
        <v>1</v>
      </c>
      <c r="J234">
        <v>0</v>
      </c>
      <c r="K234">
        <v>1</v>
      </c>
      <c r="L234">
        <v>0</v>
      </c>
      <c r="M234">
        <v>0</v>
      </c>
      <c r="N234">
        <v>1</v>
      </c>
      <c r="O234">
        <v>1</v>
      </c>
      <c r="P234">
        <v>0</v>
      </c>
      <c r="Q234">
        <v>1</v>
      </c>
      <c r="R234">
        <v>1</v>
      </c>
      <c r="S234">
        <v>0</v>
      </c>
      <c r="T234">
        <v>1</v>
      </c>
      <c r="U234">
        <v>0</v>
      </c>
      <c r="V234">
        <v>1</v>
      </c>
      <c r="W234">
        <v>0</v>
      </c>
      <c r="X234">
        <v>1</v>
      </c>
      <c r="Y234">
        <v>0</v>
      </c>
      <c r="Z234">
        <v>0</v>
      </c>
      <c r="AA234">
        <v>0</v>
      </c>
      <c r="AB234">
        <v>0</v>
      </c>
      <c r="AC234">
        <v>1</v>
      </c>
      <c r="AD234">
        <v>1</v>
      </c>
      <c r="AE234">
        <v>0</v>
      </c>
      <c r="AF234">
        <v>1</v>
      </c>
      <c r="AG234">
        <v>1</v>
      </c>
      <c r="AH234">
        <v>0</v>
      </c>
    </row>
    <row r="235" spans="1:34" x14ac:dyDescent="0.3">
      <c r="B235" s="44"/>
    </row>
    <row r="236" spans="1:34" x14ac:dyDescent="0.3">
      <c r="B236" s="44"/>
    </row>
    <row r="237" spans="1:34" x14ac:dyDescent="0.3">
      <c r="B237" s="44"/>
    </row>
    <row r="238" spans="1:34" x14ac:dyDescent="0.3">
      <c r="B238" s="44"/>
    </row>
    <row r="239" spans="1:34" x14ac:dyDescent="0.3">
      <c r="B239" s="44"/>
    </row>
    <row r="240" spans="1:34" x14ac:dyDescent="0.3">
      <c r="B240" s="44"/>
    </row>
    <row r="241" spans="1:34" x14ac:dyDescent="0.3">
      <c r="A241" s="45"/>
      <c r="B241" s="71" t="s">
        <v>176</v>
      </c>
      <c r="C241" s="71"/>
      <c r="D241" s="48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</row>
    <row r="242" spans="1:34" s="49" customFormat="1" x14ac:dyDescent="0.3">
      <c r="A242" s="49" t="s">
        <v>141</v>
      </c>
      <c r="B242" s="52" t="s">
        <v>116</v>
      </c>
      <c r="C242" s="49" t="s">
        <v>142</v>
      </c>
      <c r="D242" s="49" t="s">
        <v>143</v>
      </c>
      <c r="E242" s="49" t="s">
        <v>144</v>
      </c>
      <c r="F242" s="49" t="s">
        <v>145</v>
      </c>
      <c r="G242" s="49" t="s">
        <v>146</v>
      </c>
      <c r="H242" s="49" t="s">
        <v>147</v>
      </c>
      <c r="I242" s="49" t="s">
        <v>148</v>
      </c>
      <c r="J242" s="49" t="s">
        <v>149</v>
      </c>
      <c r="K242" s="49" t="s">
        <v>150</v>
      </c>
      <c r="L242" s="49" t="s">
        <v>151</v>
      </c>
      <c r="M242" s="49" t="s">
        <v>152</v>
      </c>
      <c r="N242" s="49" t="s">
        <v>153</v>
      </c>
      <c r="O242" s="49" t="s">
        <v>154</v>
      </c>
      <c r="P242" s="49" t="s">
        <v>155</v>
      </c>
      <c r="Q242" s="49" t="s">
        <v>156</v>
      </c>
      <c r="R242" s="49" t="s">
        <v>157</v>
      </c>
      <c r="S242" s="49" t="s">
        <v>158</v>
      </c>
      <c r="T242" s="49" t="s">
        <v>159</v>
      </c>
      <c r="U242" s="49" t="s">
        <v>160</v>
      </c>
      <c r="V242" s="49" t="s">
        <v>161</v>
      </c>
      <c r="W242" s="49" t="s">
        <v>162</v>
      </c>
      <c r="X242" s="49" t="s">
        <v>163</v>
      </c>
      <c r="Y242" s="49" t="s">
        <v>164</v>
      </c>
      <c r="Z242" s="49" t="s">
        <v>165</v>
      </c>
      <c r="AA242" s="49" t="s">
        <v>166</v>
      </c>
      <c r="AB242" s="49" t="s">
        <v>167</v>
      </c>
      <c r="AC242" s="49" t="s">
        <v>168</v>
      </c>
      <c r="AD242" s="49" t="s">
        <v>173</v>
      </c>
      <c r="AE242" s="49" t="s">
        <v>169</v>
      </c>
      <c r="AF242" s="49" t="s">
        <v>170</v>
      </c>
      <c r="AG242" s="49" t="s">
        <v>171</v>
      </c>
      <c r="AH242" s="49" t="s">
        <v>172</v>
      </c>
    </row>
    <row r="243" spans="1:34" x14ac:dyDescent="0.3">
      <c r="A243" s="42">
        <v>1</v>
      </c>
      <c r="B243" s="44">
        <f xml:space="preserve"> AVERAGE($C243:$AH243)</f>
        <v>0.65625</v>
      </c>
      <c r="C243">
        <v>1</v>
      </c>
      <c r="D243">
        <v>0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0</v>
      </c>
      <c r="M243">
        <v>1</v>
      </c>
      <c r="N243">
        <v>0</v>
      </c>
      <c r="O243">
        <v>0</v>
      </c>
      <c r="P243">
        <v>1</v>
      </c>
      <c r="Q243">
        <v>1</v>
      </c>
      <c r="R243">
        <v>0</v>
      </c>
      <c r="S243">
        <v>1</v>
      </c>
      <c r="T243">
        <v>0</v>
      </c>
      <c r="U243">
        <v>1</v>
      </c>
      <c r="V243">
        <v>1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1</v>
      </c>
      <c r="AF243">
        <v>1</v>
      </c>
      <c r="AG243">
        <v>1</v>
      </c>
      <c r="AH243">
        <v>1</v>
      </c>
    </row>
    <row r="244" spans="1:34" x14ac:dyDescent="0.3">
      <c r="A244" s="42">
        <f xml:space="preserve"> A243 + 1</f>
        <v>2</v>
      </c>
      <c r="B244" s="44">
        <f t="shared" ref="B244:B307" si="24" xml:space="preserve"> AVERAGE($C244:$AH244)</f>
        <v>0.5</v>
      </c>
      <c r="C244">
        <v>0</v>
      </c>
      <c r="D244">
        <v>1</v>
      </c>
      <c r="E244">
        <v>1</v>
      </c>
      <c r="F244">
        <v>0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1</v>
      </c>
      <c r="T244">
        <v>1</v>
      </c>
      <c r="U244">
        <v>0</v>
      </c>
      <c r="V244">
        <v>0</v>
      </c>
      <c r="W244">
        <v>0</v>
      </c>
      <c r="X244">
        <v>1</v>
      </c>
      <c r="Y244">
        <v>0</v>
      </c>
      <c r="Z244">
        <v>0</v>
      </c>
      <c r="AA244">
        <v>1</v>
      </c>
      <c r="AB244">
        <v>1</v>
      </c>
      <c r="AC244">
        <v>0</v>
      </c>
      <c r="AD244">
        <v>0</v>
      </c>
      <c r="AE244">
        <v>1</v>
      </c>
      <c r="AF244">
        <v>1</v>
      </c>
      <c r="AG244">
        <v>1</v>
      </c>
      <c r="AH244">
        <v>0</v>
      </c>
    </row>
    <row r="245" spans="1:34" x14ac:dyDescent="0.3">
      <c r="A245" s="42">
        <f t="shared" ref="A245:A308" si="25" xml:space="preserve"> A244 + 1</f>
        <v>3</v>
      </c>
      <c r="B245" s="44">
        <f t="shared" si="24"/>
        <v>0.40625</v>
      </c>
      <c r="C245">
        <v>0</v>
      </c>
      <c r="D245">
        <v>0</v>
      </c>
      <c r="E245">
        <v>1</v>
      </c>
      <c r="F245">
        <v>0</v>
      </c>
      <c r="G245">
        <v>1</v>
      </c>
      <c r="H245">
        <v>0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1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1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0</v>
      </c>
      <c r="AH245">
        <v>0</v>
      </c>
    </row>
    <row r="246" spans="1:34" x14ac:dyDescent="0.3">
      <c r="A246" s="42">
        <f t="shared" si="25"/>
        <v>4</v>
      </c>
      <c r="B246" s="44">
        <f t="shared" si="24"/>
        <v>0.4375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1</v>
      </c>
      <c r="AA246">
        <v>1</v>
      </c>
      <c r="AB246">
        <v>1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1</v>
      </c>
    </row>
    <row r="247" spans="1:34" x14ac:dyDescent="0.3">
      <c r="A247" s="42">
        <f t="shared" si="25"/>
        <v>5</v>
      </c>
      <c r="B247" s="44">
        <f t="shared" si="24"/>
        <v>0.59375</v>
      </c>
      <c r="C247">
        <v>1</v>
      </c>
      <c r="D247">
        <v>0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0</v>
      </c>
      <c r="M247">
        <v>1</v>
      </c>
      <c r="N247">
        <v>1</v>
      </c>
      <c r="O247">
        <v>0</v>
      </c>
      <c r="P247">
        <v>1</v>
      </c>
      <c r="Q247">
        <v>0</v>
      </c>
      <c r="R247">
        <v>0</v>
      </c>
      <c r="S247">
        <v>1</v>
      </c>
      <c r="T247">
        <v>1</v>
      </c>
      <c r="U247">
        <v>1</v>
      </c>
      <c r="V247">
        <v>0</v>
      </c>
      <c r="W247">
        <v>0</v>
      </c>
      <c r="X247">
        <v>1</v>
      </c>
      <c r="Y247">
        <v>1</v>
      </c>
      <c r="Z247">
        <v>1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1</v>
      </c>
      <c r="AG247">
        <v>0</v>
      </c>
      <c r="AH247">
        <v>0</v>
      </c>
    </row>
    <row r="248" spans="1:34" x14ac:dyDescent="0.3">
      <c r="A248" s="42">
        <f t="shared" si="25"/>
        <v>6</v>
      </c>
      <c r="B248" s="44">
        <f t="shared" si="24"/>
        <v>0.5</v>
      </c>
      <c r="C248">
        <v>0</v>
      </c>
      <c r="D248">
        <v>0</v>
      </c>
      <c r="E248">
        <v>1</v>
      </c>
      <c r="F248">
        <v>0</v>
      </c>
      <c r="G248">
        <v>1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1</v>
      </c>
      <c r="Q248">
        <v>0</v>
      </c>
      <c r="R248">
        <v>0</v>
      </c>
      <c r="S248">
        <v>1</v>
      </c>
      <c r="T248">
        <v>1</v>
      </c>
      <c r="U248">
        <v>1</v>
      </c>
      <c r="V248">
        <v>1</v>
      </c>
      <c r="W248">
        <v>0</v>
      </c>
      <c r="X248">
        <v>0</v>
      </c>
      <c r="Y248">
        <v>0</v>
      </c>
      <c r="Z248">
        <v>1</v>
      </c>
      <c r="AA248">
        <v>1</v>
      </c>
      <c r="AB248">
        <v>0</v>
      </c>
      <c r="AC248">
        <v>0</v>
      </c>
      <c r="AD248">
        <v>1</v>
      </c>
      <c r="AE248">
        <v>1</v>
      </c>
      <c r="AF248">
        <v>0</v>
      </c>
      <c r="AG248">
        <v>1</v>
      </c>
      <c r="AH248">
        <v>1</v>
      </c>
    </row>
    <row r="249" spans="1:34" x14ac:dyDescent="0.3">
      <c r="A249" s="42">
        <f t="shared" si="25"/>
        <v>7</v>
      </c>
      <c r="B249" s="44">
        <f t="shared" si="24"/>
        <v>0.59375</v>
      </c>
      <c r="C249">
        <v>1</v>
      </c>
      <c r="D249">
        <v>0</v>
      </c>
      <c r="E249">
        <v>1</v>
      </c>
      <c r="F249">
        <v>0</v>
      </c>
      <c r="G249">
        <v>1</v>
      </c>
      <c r="H249">
        <v>1</v>
      </c>
      <c r="I249">
        <v>1</v>
      </c>
      <c r="J249">
        <v>1</v>
      </c>
      <c r="K249">
        <v>0</v>
      </c>
      <c r="L249">
        <v>1</v>
      </c>
      <c r="M249">
        <v>1</v>
      </c>
      <c r="N249">
        <v>0</v>
      </c>
      <c r="O249">
        <v>1</v>
      </c>
      <c r="P249">
        <v>1</v>
      </c>
      <c r="Q249">
        <v>0</v>
      </c>
      <c r="R249">
        <v>0</v>
      </c>
      <c r="S249">
        <v>1</v>
      </c>
      <c r="T249">
        <v>1</v>
      </c>
      <c r="U249">
        <v>1</v>
      </c>
      <c r="V249">
        <v>0</v>
      </c>
      <c r="W249">
        <v>0</v>
      </c>
      <c r="X249">
        <v>0</v>
      </c>
      <c r="Y249">
        <v>1</v>
      </c>
      <c r="Z249">
        <v>1</v>
      </c>
      <c r="AA249">
        <v>0</v>
      </c>
      <c r="AB249">
        <v>0</v>
      </c>
      <c r="AC249">
        <v>0</v>
      </c>
      <c r="AD249">
        <v>1</v>
      </c>
      <c r="AE249">
        <v>1</v>
      </c>
      <c r="AF249">
        <v>1</v>
      </c>
      <c r="AG249">
        <v>0</v>
      </c>
      <c r="AH249">
        <v>1</v>
      </c>
    </row>
    <row r="250" spans="1:34" x14ac:dyDescent="0.3">
      <c r="A250" s="42">
        <f t="shared" si="25"/>
        <v>8</v>
      </c>
      <c r="B250" s="44">
        <f t="shared" si="24"/>
        <v>0.5</v>
      </c>
      <c r="C250">
        <v>0</v>
      </c>
      <c r="D250">
        <v>0</v>
      </c>
      <c r="E250">
        <v>1</v>
      </c>
      <c r="F250">
        <v>0</v>
      </c>
      <c r="G250">
        <v>1</v>
      </c>
      <c r="H250">
        <v>1</v>
      </c>
      <c r="I250">
        <v>1</v>
      </c>
      <c r="J250">
        <v>1</v>
      </c>
      <c r="K250">
        <v>0</v>
      </c>
      <c r="L250">
        <v>0</v>
      </c>
      <c r="M250">
        <v>0</v>
      </c>
      <c r="N250">
        <v>1</v>
      </c>
      <c r="O250">
        <v>1</v>
      </c>
      <c r="P250">
        <v>1</v>
      </c>
      <c r="Q250">
        <v>1</v>
      </c>
      <c r="R250">
        <v>0</v>
      </c>
      <c r="S250">
        <v>1</v>
      </c>
      <c r="T250">
        <v>1</v>
      </c>
      <c r="U250">
        <v>0</v>
      </c>
      <c r="V250">
        <v>1</v>
      </c>
      <c r="W250">
        <v>0</v>
      </c>
      <c r="X250">
        <v>0</v>
      </c>
      <c r="Y250">
        <v>1</v>
      </c>
      <c r="Z250">
        <v>0</v>
      </c>
      <c r="AA250">
        <v>1</v>
      </c>
      <c r="AB250">
        <v>1</v>
      </c>
      <c r="AC250">
        <v>0</v>
      </c>
      <c r="AD250">
        <v>0</v>
      </c>
      <c r="AE250">
        <v>1</v>
      </c>
      <c r="AF250">
        <v>0</v>
      </c>
      <c r="AG250">
        <v>0</v>
      </c>
      <c r="AH250">
        <v>0</v>
      </c>
    </row>
    <row r="251" spans="1:34" x14ac:dyDescent="0.3">
      <c r="A251" s="42">
        <f t="shared" si="25"/>
        <v>9</v>
      </c>
      <c r="B251" s="44">
        <f t="shared" si="24"/>
        <v>0.46875</v>
      </c>
      <c r="C251">
        <v>0</v>
      </c>
      <c r="D251">
        <v>1</v>
      </c>
      <c r="E251">
        <v>1</v>
      </c>
      <c r="F251">
        <v>0</v>
      </c>
      <c r="G251">
        <v>1</v>
      </c>
      <c r="H251">
        <v>0</v>
      </c>
      <c r="I251">
        <v>1</v>
      </c>
      <c r="J251">
        <v>1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1</v>
      </c>
      <c r="Q251">
        <v>0</v>
      </c>
      <c r="R251">
        <v>0</v>
      </c>
      <c r="S251">
        <v>1</v>
      </c>
      <c r="T251">
        <v>1</v>
      </c>
      <c r="U251">
        <v>1</v>
      </c>
      <c r="V251">
        <v>0</v>
      </c>
      <c r="W251">
        <v>0</v>
      </c>
      <c r="X251">
        <v>0</v>
      </c>
      <c r="Y251">
        <v>0</v>
      </c>
      <c r="Z251">
        <v>1</v>
      </c>
      <c r="AA251">
        <v>1</v>
      </c>
      <c r="AB251">
        <v>1</v>
      </c>
      <c r="AC251">
        <v>0</v>
      </c>
      <c r="AD251">
        <v>1</v>
      </c>
      <c r="AE251">
        <v>1</v>
      </c>
      <c r="AF251">
        <v>0</v>
      </c>
      <c r="AG251">
        <v>0</v>
      </c>
      <c r="AH251">
        <v>0</v>
      </c>
    </row>
    <row r="252" spans="1:34" x14ac:dyDescent="0.3">
      <c r="A252" s="42">
        <f t="shared" si="25"/>
        <v>10</v>
      </c>
      <c r="B252" s="44">
        <f t="shared" si="24"/>
        <v>0.3125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1</v>
      </c>
      <c r="J252">
        <v>0</v>
      </c>
      <c r="K252">
        <v>1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1</v>
      </c>
      <c r="AF252">
        <v>1</v>
      </c>
      <c r="AG252">
        <v>1</v>
      </c>
      <c r="AH252">
        <v>1</v>
      </c>
    </row>
    <row r="253" spans="1:34" x14ac:dyDescent="0.3">
      <c r="A253" s="42">
        <f t="shared" si="25"/>
        <v>11</v>
      </c>
      <c r="B253" s="44">
        <f t="shared" si="24"/>
        <v>0.6875</v>
      </c>
      <c r="C253">
        <v>1</v>
      </c>
      <c r="D253">
        <v>1</v>
      </c>
      <c r="E253">
        <v>1</v>
      </c>
      <c r="F253">
        <v>0</v>
      </c>
      <c r="G253">
        <v>1</v>
      </c>
      <c r="H253">
        <v>1</v>
      </c>
      <c r="I253">
        <v>1</v>
      </c>
      <c r="J253">
        <v>1</v>
      </c>
      <c r="K253">
        <v>0</v>
      </c>
      <c r="L253">
        <v>0</v>
      </c>
      <c r="M253">
        <v>0</v>
      </c>
      <c r="N253">
        <v>1</v>
      </c>
      <c r="O253">
        <v>1</v>
      </c>
      <c r="P253">
        <v>1</v>
      </c>
      <c r="Q253">
        <v>0</v>
      </c>
      <c r="R253">
        <v>0</v>
      </c>
      <c r="S253">
        <v>1</v>
      </c>
      <c r="T253">
        <v>1</v>
      </c>
      <c r="U253">
        <v>1</v>
      </c>
      <c r="V253">
        <v>1</v>
      </c>
      <c r="W253">
        <v>0</v>
      </c>
      <c r="X253">
        <v>0</v>
      </c>
      <c r="Y253">
        <v>1</v>
      </c>
      <c r="Z253">
        <v>1</v>
      </c>
      <c r="AA253">
        <v>1</v>
      </c>
      <c r="AB253">
        <v>1</v>
      </c>
      <c r="AC253">
        <v>0</v>
      </c>
      <c r="AD253">
        <v>1</v>
      </c>
      <c r="AE253">
        <v>1</v>
      </c>
      <c r="AF253">
        <v>1</v>
      </c>
      <c r="AG253">
        <v>0</v>
      </c>
      <c r="AH253">
        <v>1</v>
      </c>
    </row>
    <row r="254" spans="1:34" x14ac:dyDescent="0.3">
      <c r="A254" s="42">
        <f t="shared" si="25"/>
        <v>12</v>
      </c>
      <c r="B254" s="44">
        <f t="shared" si="24"/>
        <v>0.59375</v>
      </c>
      <c r="C254">
        <v>0</v>
      </c>
      <c r="D254">
        <v>1</v>
      </c>
      <c r="E254">
        <v>1</v>
      </c>
      <c r="F254">
        <v>0</v>
      </c>
      <c r="G254">
        <v>1</v>
      </c>
      <c r="H254">
        <v>1</v>
      </c>
      <c r="I254">
        <v>0</v>
      </c>
      <c r="J254">
        <v>1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1</v>
      </c>
      <c r="T254">
        <v>1</v>
      </c>
      <c r="U254">
        <v>1</v>
      </c>
      <c r="V254">
        <v>1</v>
      </c>
      <c r="W254">
        <v>0</v>
      </c>
      <c r="X254">
        <v>0</v>
      </c>
      <c r="Y254">
        <v>1</v>
      </c>
      <c r="Z254">
        <v>1</v>
      </c>
      <c r="AA254">
        <v>1</v>
      </c>
      <c r="AB254">
        <v>0</v>
      </c>
      <c r="AC254">
        <v>0</v>
      </c>
      <c r="AD254">
        <v>1</v>
      </c>
      <c r="AE254">
        <v>1</v>
      </c>
      <c r="AF254">
        <v>1</v>
      </c>
      <c r="AG254">
        <v>1</v>
      </c>
      <c r="AH254">
        <v>1</v>
      </c>
    </row>
    <row r="255" spans="1:34" x14ac:dyDescent="0.3">
      <c r="A255" s="42">
        <f t="shared" si="25"/>
        <v>13</v>
      </c>
      <c r="B255" s="44">
        <f t="shared" si="24"/>
        <v>0.5625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1</v>
      </c>
      <c r="J255">
        <v>1</v>
      </c>
      <c r="K255">
        <v>0</v>
      </c>
      <c r="L255">
        <v>0</v>
      </c>
      <c r="M255">
        <v>1</v>
      </c>
      <c r="N255">
        <v>0</v>
      </c>
      <c r="O255">
        <v>1</v>
      </c>
      <c r="P255">
        <v>1</v>
      </c>
      <c r="Q255">
        <v>0</v>
      </c>
      <c r="R255">
        <v>0</v>
      </c>
      <c r="S255">
        <v>1</v>
      </c>
      <c r="T255">
        <v>1</v>
      </c>
      <c r="U255">
        <v>1</v>
      </c>
      <c r="V255">
        <v>1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1</v>
      </c>
      <c r="AC255">
        <v>0</v>
      </c>
      <c r="AD255">
        <v>1</v>
      </c>
      <c r="AE255">
        <v>0</v>
      </c>
      <c r="AF255">
        <v>1</v>
      </c>
      <c r="AG255">
        <v>1</v>
      </c>
      <c r="AH255">
        <v>1</v>
      </c>
    </row>
    <row r="256" spans="1:34" x14ac:dyDescent="0.3">
      <c r="A256" s="42">
        <f t="shared" si="25"/>
        <v>14</v>
      </c>
      <c r="B256" s="44">
        <f t="shared" si="24"/>
        <v>0.53125</v>
      </c>
      <c r="C256">
        <v>0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1</v>
      </c>
      <c r="J256">
        <v>1</v>
      </c>
      <c r="K256">
        <v>1</v>
      </c>
      <c r="L256">
        <v>0</v>
      </c>
      <c r="M256">
        <v>1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1</v>
      </c>
      <c r="T256">
        <v>0</v>
      </c>
      <c r="U256">
        <v>1</v>
      </c>
      <c r="V256">
        <v>1</v>
      </c>
      <c r="W256">
        <v>0</v>
      </c>
      <c r="X256">
        <v>0</v>
      </c>
      <c r="Y256">
        <v>1</v>
      </c>
      <c r="Z256">
        <v>1</v>
      </c>
      <c r="AA256">
        <v>1</v>
      </c>
      <c r="AB256">
        <v>0</v>
      </c>
      <c r="AC256">
        <v>0</v>
      </c>
      <c r="AD256">
        <v>1</v>
      </c>
      <c r="AE256">
        <v>1</v>
      </c>
      <c r="AF256">
        <v>0</v>
      </c>
      <c r="AG256">
        <v>0</v>
      </c>
      <c r="AH256">
        <v>1</v>
      </c>
    </row>
    <row r="257" spans="1:34" x14ac:dyDescent="0.3">
      <c r="A257" s="42">
        <f t="shared" si="25"/>
        <v>15</v>
      </c>
      <c r="B257" s="44">
        <f t="shared" si="24"/>
        <v>0.65625</v>
      </c>
      <c r="C257">
        <v>1</v>
      </c>
      <c r="D257">
        <v>1</v>
      </c>
      <c r="E257">
        <v>1</v>
      </c>
      <c r="F257">
        <v>0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0</v>
      </c>
      <c r="M257">
        <v>1</v>
      </c>
      <c r="N257">
        <v>0</v>
      </c>
      <c r="O257">
        <v>1</v>
      </c>
      <c r="P257">
        <v>1</v>
      </c>
      <c r="Q257">
        <v>0</v>
      </c>
      <c r="R257">
        <v>0</v>
      </c>
      <c r="S257">
        <v>1</v>
      </c>
      <c r="T257">
        <v>1</v>
      </c>
      <c r="U257">
        <v>0</v>
      </c>
      <c r="V257">
        <v>1</v>
      </c>
      <c r="W257">
        <v>0</v>
      </c>
      <c r="X257">
        <v>0</v>
      </c>
      <c r="Y257">
        <v>0</v>
      </c>
      <c r="Z257">
        <v>1</v>
      </c>
      <c r="AA257">
        <v>1</v>
      </c>
      <c r="AB257">
        <v>0</v>
      </c>
      <c r="AC257">
        <v>0</v>
      </c>
      <c r="AD257">
        <v>1</v>
      </c>
      <c r="AE257">
        <v>1</v>
      </c>
      <c r="AF257">
        <v>1</v>
      </c>
      <c r="AG257">
        <v>1</v>
      </c>
      <c r="AH257">
        <v>1</v>
      </c>
    </row>
    <row r="258" spans="1:34" x14ac:dyDescent="0.3">
      <c r="A258" s="42">
        <f t="shared" si="25"/>
        <v>16</v>
      </c>
      <c r="B258" s="44">
        <f t="shared" si="24"/>
        <v>0.6875</v>
      </c>
      <c r="C258">
        <v>1</v>
      </c>
      <c r="D258">
        <v>0</v>
      </c>
      <c r="E258">
        <v>1</v>
      </c>
      <c r="F258">
        <v>0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0</v>
      </c>
      <c r="M258">
        <v>1</v>
      </c>
      <c r="N258">
        <v>1</v>
      </c>
      <c r="O258">
        <v>1</v>
      </c>
      <c r="P258">
        <v>1</v>
      </c>
      <c r="Q258">
        <v>0</v>
      </c>
      <c r="R258">
        <v>0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0</v>
      </c>
      <c r="Y258">
        <v>1</v>
      </c>
      <c r="Z258">
        <v>1</v>
      </c>
      <c r="AA258">
        <v>1</v>
      </c>
      <c r="AB258">
        <v>0</v>
      </c>
      <c r="AC258">
        <v>0</v>
      </c>
      <c r="AD258">
        <v>1</v>
      </c>
      <c r="AE258">
        <v>1</v>
      </c>
      <c r="AF258">
        <v>1</v>
      </c>
      <c r="AG258">
        <v>0</v>
      </c>
      <c r="AH258">
        <v>0</v>
      </c>
    </row>
    <row r="259" spans="1:34" x14ac:dyDescent="0.3">
      <c r="A259" s="42">
        <f t="shared" si="25"/>
        <v>17</v>
      </c>
      <c r="B259" s="44">
        <f t="shared" si="24"/>
        <v>0.5625</v>
      </c>
      <c r="C259">
        <v>0</v>
      </c>
      <c r="D259">
        <v>0</v>
      </c>
      <c r="E259">
        <v>1</v>
      </c>
      <c r="F259">
        <v>0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0</v>
      </c>
      <c r="M259">
        <v>1</v>
      </c>
      <c r="N259">
        <v>1</v>
      </c>
      <c r="O259">
        <v>0</v>
      </c>
      <c r="P259">
        <v>1</v>
      </c>
      <c r="Q259">
        <v>0</v>
      </c>
      <c r="R259">
        <v>0</v>
      </c>
      <c r="S259">
        <v>1</v>
      </c>
      <c r="T259">
        <v>1</v>
      </c>
      <c r="U259">
        <v>1</v>
      </c>
      <c r="V259">
        <v>1</v>
      </c>
      <c r="W259">
        <v>0</v>
      </c>
      <c r="X259">
        <v>0</v>
      </c>
      <c r="Y259">
        <v>0</v>
      </c>
      <c r="Z259">
        <v>1</v>
      </c>
      <c r="AA259">
        <v>1</v>
      </c>
      <c r="AB259">
        <v>0</v>
      </c>
      <c r="AC259">
        <v>0</v>
      </c>
      <c r="AD259">
        <v>1</v>
      </c>
      <c r="AE259">
        <v>1</v>
      </c>
      <c r="AF259">
        <v>0</v>
      </c>
      <c r="AG259">
        <v>1</v>
      </c>
      <c r="AH259">
        <v>0</v>
      </c>
    </row>
    <row r="260" spans="1:34" x14ac:dyDescent="0.3">
      <c r="A260" s="42">
        <f t="shared" si="25"/>
        <v>18</v>
      </c>
      <c r="B260" s="44">
        <f t="shared" si="24"/>
        <v>0.65625</v>
      </c>
      <c r="C260">
        <v>0</v>
      </c>
      <c r="D260">
        <v>0</v>
      </c>
      <c r="E260">
        <v>1</v>
      </c>
      <c r="F260">
        <v>0</v>
      </c>
      <c r="G260">
        <v>0</v>
      </c>
      <c r="H260">
        <v>1</v>
      </c>
      <c r="I260">
        <v>1</v>
      </c>
      <c r="J260">
        <v>1</v>
      </c>
      <c r="K260">
        <v>1</v>
      </c>
      <c r="L260">
        <v>0</v>
      </c>
      <c r="M260">
        <v>1</v>
      </c>
      <c r="N260">
        <v>0</v>
      </c>
      <c r="O260">
        <v>1</v>
      </c>
      <c r="P260">
        <v>1</v>
      </c>
      <c r="Q260">
        <v>0</v>
      </c>
      <c r="R260">
        <v>0</v>
      </c>
      <c r="S260">
        <v>1</v>
      </c>
      <c r="T260">
        <v>1</v>
      </c>
      <c r="U260">
        <v>0</v>
      </c>
      <c r="V260">
        <v>1</v>
      </c>
      <c r="W260">
        <v>0</v>
      </c>
      <c r="X260">
        <v>1</v>
      </c>
      <c r="Y260">
        <v>1</v>
      </c>
      <c r="Z260">
        <v>0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</row>
    <row r="261" spans="1:34" x14ac:dyDescent="0.3">
      <c r="A261" s="42">
        <f t="shared" si="25"/>
        <v>19</v>
      </c>
      <c r="B261" s="44">
        <f t="shared" si="24"/>
        <v>0.625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1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1</v>
      </c>
      <c r="T261">
        <v>1</v>
      </c>
      <c r="U261">
        <v>1</v>
      </c>
      <c r="V261">
        <v>0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0</v>
      </c>
      <c r="AH261">
        <v>1</v>
      </c>
    </row>
    <row r="262" spans="1:34" x14ac:dyDescent="0.3">
      <c r="A262" s="42">
        <f t="shared" si="25"/>
        <v>20</v>
      </c>
      <c r="B262" s="44">
        <f t="shared" si="24"/>
        <v>0.53125</v>
      </c>
      <c r="C262">
        <v>0</v>
      </c>
      <c r="D262">
        <v>0</v>
      </c>
      <c r="E262">
        <v>1</v>
      </c>
      <c r="F262">
        <v>0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0</v>
      </c>
      <c r="M262">
        <v>1</v>
      </c>
      <c r="N262">
        <v>0</v>
      </c>
      <c r="O262">
        <v>1</v>
      </c>
      <c r="P262">
        <v>1</v>
      </c>
      <c r="Q262">
        <v>0</v>
      </c>
      <c r="R262">
        <v>0</v>
      </c>
      <c r="S262">
        <v>1</v>
      </c>
      <c r="T262">
        <v>1</v>
      </c>
      <c r="U262">
        <v>0</v>
      </c>
      <c r="V262">
        <v>1</v>
      </c>
      <c r="W262">
        <v>0</v>
      </c>
      <c r="X262">
        <v>0</v>
      </c>
      <c r="Y262">
        <v>1</v>
      </c>
      <c r="Z262">
        <v>0</v>
      </c>
      <c r="AA262">
        <v>1</v>
      </c>
      <c r="AB262">
        <v>0</v>
      </c>
      <c r="AC262">
        <v>1</v>
      </c>
      <c r="AD262">
        <v>1</v>
      </c>
      <c r="AE262">
        <v>0</v>
      </c>
      <c r="AF262">
        <v>0</v>
      </c>
      <c r="AG262">
        <v>1</v>
      </c>
      <c r="AH262">
        <v>0</v>
      </c>
    </row>
    <row r="263" spans="1:34" x14ac:dyDescent="0.3">
      <c r="A263" s="42">
        <f t="shared" si="25"/>
        <v>21</v>
      </c>
      <c r="B263" s="44">
        <f t="shared" si="24"/>
        <v>0.5625</v>
      </c>
      <c r="C263">
        <v>1</v>
      </c>
      <c r="D263">
        <v>0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0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1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1</v>
      </c>
      <c r="Z263">
        <v>1</v>
      </c>
      <c r="AA263">
        <v>1</v>
      </c>
      <c r="AB263">
        <v>0</v>
      </c>
      <c r="AC263">
        <v>0</v>
      </c>
      <c r="AD263">
        <v>1</v>
      </c>
      <c r="AE263">
        <v>1</v>
      </c>
      <c r="AF263">
        <v>1</v>
      </c>
      <c r="AG263">
        <v>0</v>
      </c>
      <c r="AH263">
        <v>0</v>
      </c>
    </row>
    <row r="264" spans="1:34" x14ac:dyDescent="0.3">
      <c r="A264" s="42">
        <f t="shared" si="25"/>
        <v>22</v>
      </c>
      <c r="B264" s="44">
        <f t="shared" si="24"/>
        <v>0.375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1</v>
      </c>
      <c r="L264">
        <v>0</v>
      </c>
      <c r="M264">
        <v>1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1</v>
      </c>
      <c r="T264">
        <v>1</v>
      </c>
      <c r="U264">
        <v>1</v>
      </c>
      <c r="V264">
        <v>0</v>
      </c>
      <c r="W264">
        <v>0</v>
      </c>
      <c r="X264">
        <v>0</v>
      </c>
      <c r="Y264">
        <v>0</v>
      </c>
      <c r="Z264">
        <v>1</v>
      </c>
      <c r="AA264">
        <v>1</v>
      </c>
      <c r="AB264">
        <v>0</v>
      </c>
      <c r="AC264">
        <v>0</v>
      </c>
      <c r="AD264">
        <v>1</v>
      </c>
      <c r="AE264">
        <v>1</v>
      </c>
      <c r="AF264">
        <v>0</v>
      </c>
      <c r="AG264">
        <v>1</v>
      </c>
      <c r="AH264">
        <v>0</v>
      </c>
    </row>
    <row r="265" spans="1:34" x14ac:dyDescent="0.3">
      <c r="A265" s="42">
        <f t="shared" si="25"/>
        <v>23</v>
      </c>
      <c r="B265" s="44">
        <f t="shared" si="24"/>
        <v>0.4375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1</v>
      </c>
      <c r="J265">
        <v>1</v>
      </c>
      <c r="K265">
        <v>1</v>
      </c>
      <c r="L265">
        <v>0</v>
      </c>
      <c r="M265">
        <v>0</v>
      </c>
      <c r="N265">
        <v>0</v>
      </c>
      <c r="O265">
        <v>1</v>
      </c>
      <c r="P265">
        <v>1</v>
      </c>
      <c r="Q265">
        <v>0</v>
      </c>
      <c r="R265">
        <v>0</v>
      </c>
      <c r="S265">
        <v>1</v>
      </c>
      <c r="T265">
        <v>1</v>
      </c>
      <c r="U265">
        <v>1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1</v>
      </c>
      <c r="AF265">
        <v>0</v>
      </c>
      <c r="AG265">
        <v>1</v>
      </c>
      <c r="AH265">
        <v>0</v>
      </c>
    </row>
    <row r="266" spans="1:34" x14ac:dyDescent="0.3">
      <c r="A266" s="42">
        <f t="shared" si="25"/>
        <v>24</v>
      </c>
      <c r="B266" s="44">
        <f t="shared" si="24"/>
        <v>0.5625</v>
      </c>
      <c r="C266">
        <v>0</v>
      </c>
      <c r="D266">
        <v>1</v>
      </c>
      <c r="E266">
        <v>1</v>
      </c>
      <c r="F266">
        <v>0</v>
      </c>
      <c r="G266">
        <v>0</v>
      </c>
      <c r="H266">
        <v>1</v>
      </c>
      <c r="I266">
        <v>1</v>
      </c>
      <c r="J266">
        <v>1</v>
      </c>
      <c r="K266">
        <v>1</v>
      </c>
      <c r="L266">
        <v>0</v>
      </c>
      <c r="M266">
        <v>1</v>
      </c>
      <c r="N266">
        <v>0</v>
      </c>
      <c r="O266">
        <v>0</v>
      </c>
      <c r="P266">
        <v>1</v>
      </c>
      <c r="Q266">
        <v>0</v>
      </c>
      <c r="R266">
        <v>0</v>
      </c>
      <c r="S266">
        <v>1</v>
      </c>
      <c r="T266">
        <v>1</v>
      </c>
      <c r="U266">
        <v>1</v>
      </c>
      <c r="V266">
        <v>0</v>
      </c>
      <c r="W266">
        <v>1</v>
      </c>
      <c r="X266">
        <v>0</v>
      </c>
      <c r="Y266">
        <v>1</v>
      </c>
      <c r="Z266">
        <v>1</v>
      </c>
      <c r="AA266">
        <v>1</v>
      </c>
      <c r="AB266">
        <v>0</v>
      </c>
      <c r="AC266">
        <v>0</v>
      </c>
      <c r="AD266">
        <v>1</v>
      </c>
      <c r="AE266">
        <v>1</v>
      </c>
      <c r="AF266">
        <v>1</v>
      </c>
      <c r="AG266">
        <v>0</v>
      </c>
      <c r="AH266">
        <v>0</v>
      </c>
    </row>
    <row r="267" spans="1:34" x14ac:dyDescent="0.3">
      <c r="A267" s="42">
        <f t="shared" si="25"/>
        <v>25</v>
      </c>
      <c r="B267" s="44">
        <f t="shared" si="24"/>
        <v>0.5625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1</v>
      </c>
      <c r="I267">
        <v>1</v>
      </c>
      <c r="J267">
        <v>1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1</v>
      </c>
      <c r="Q267">
        <v>0</v>
      </c>
      <c r="R267">
        <v>0</v>
      </c>
      <c r="S267">
        <v>1</v>
      </c>
      <c r="T267">
        <v>1</v>
      </c>
      <c r="U267">
        <v>1</v>
      </c>
      <c r="V267">
        <v>1</v>
      </c>
      <c r="W267">
        <v>0</v>
      </c>
      <c r="X267">
        <v>0</v>
      </c>
      <c r="Y267">
        <v>1</v>
      </c>
      <c r="Z267">
        <v>1</v>
      </c>
      <c r="AA267">
        <v>1</v>
      </c>
      <c r="AB267">
        <v>0</v>
      </c>
      <c r="AC267">
        <v>0</v>
      </c>
      <c r="AD267">
        <v>1</v>
      </c>
      <c r="AE267">
        <v>1</v>
      </c>
      <c r="AF267">
        <v>1</v>
      </c>
      <c r="AG267">
        <v>1</v>
      </c>
      <c r="AH267">
        <v>0</v>
      </c>
    </row>
    <row r="268" spans="1:34" x14ac:dyDescent="0.3">
      <c r="A268" s="42">
        <f t="shared" si="25"/>
        <v>26</v>
      </c>
      <c r="B268" s="44">
        <f t="shared" si="24"/>
        <v>0.625</v>
      </c>
      <c r="C268">
        <v>0</v>
      </c>
      <c r="D268">
        <v>1</v>
      </c>
      <c r="E268">
        <v>1</v>
      </c>
      <c r="F268">
        <v>1</v>
      </c>
      <c r="G268">
        <v>0</v>
      </c>
      <c r="H268">
        <v>1</v>
      </c>
      <c r="I268">
        <v>1</v>
      </c>
      <c r="J268">
        <v>1</v>
      </c>
      <c r="K268">
        <v>1</v>
      </c>
      <c r="L268">
        <v>0</v>
      </c>
      <c r="M268">
        <v>1</v>
      </c>
      <c r="N268">
        <v>0</v>
      </c>
      <c r="O268">
        <v>1</v>
      </c>
      <c r="P268">
        <v>1</v>
      </c>
      <c r="Q268">
        <v>0</v>
      </c>
      <c r="R268">
        <v>0</v>
      </c>
      <c r="S268">
        <v>1</v>
      </c>
      <c r="T268">
        <v>1</v>
      </c>
      <c r="U268">
        <v>0</v>
      </c>
      <c r="V268">
        <v>1</v>
      </c>
      <c r="W268">
        <v>0</v>
      </c>
      <c r="X268">
        <v>0</v>
      </c>
      <c r="Y268">
        <v>1</v>
      </c>
      <c r="Z268">
        <v>1</v>
      </c>
      <c r="AA268">
        <v>1</v>
      </c>
      <c r="AB268">
        <v>1</v>
      </c>
      <c r="AC268">
        <v>0</v>
      </c>
      <c r="AD268">
        <v>1</v>
      </c>
      <c r="AE268">
        <v>1</v>
      </c>
      <c r="AF268">
        <v>1</v>
      </c>
      <c r="AG268">
        <v>0</v>
      </c>
      <c r="AH268">
        <v>0</v>
      </c>
    </row>
    <row r="269" spans="1:34" x14ac:dyDescent="0.3">
      <c r="A269" s="42">
        <f t="shared" si="25"/>
        <v>27</v>
      </c>
      <c r="B269" s="44">
        <f t="shared" si="24"/>
        <v>0.46875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1</v>
      </c>
      <c r="I269">
        <v>1</v>
      </c>
      <c r="J269">
        <v>1</v>
      </c>
      <c r="K269">
        <v>0</v>
      </c>
      <c r="L269">
        <v>1</v>
      </c>
      <c r="M269">
        <v>0</v>
      </c>
      <c r="N269">
        <v>0</v>
      </c>
      <c r="O269">
        <v>1</v>
      </c>
      <c r="P269">
        <v>1</v>
      </c>
      <c r="Q269">
        <v>0</v>
      </c>
      <c r="R269">
        <v>0</v>
      </c>
      <c r="S269">
        <v>1</v>
      </c>
      <c r="T269">
        <v>1</v>
      </c>
      <c r="U269">
        <v>1</v>
      </c>
      <c r="V269">
        <v>1</v>
      </c>
      <c r="W269">
        <v>0</v>
      </c>
      <c r="X269">
        <v>0</v>
      </c>
      <c r="Y269">
        <v>1</v>
      </c>
      <c r="Z269">
        <v>1</v>
      </c>
      <c r="AA269">
        <v>1</v>
      </c>
      <c r="AB269">
        <v>0</v>
      </c>
      <c r="AC269">
        <v>0</v>
      </c>
      <c r="AD269">
        <v>0</v>
      </c>
      <c r="AE269">
        <v>0</v>
      </c>
      <c r="AF269">
        <v>1</v>
      </c>
      <c r="AG269">
        <v>0</v>
      </c>
      <c r="AH269">
        <v>0</v>
      </c>
    </row>
    <row r="270" spans="1:34" x14ac:dyDescent="0.3">
      <c r="A270" s="42">
        <f t="shared" si="25"/>
        <v>28</v>
      </c>
      <c r="B270" s="44">
        <f t="shared" si="24"/>
        <v>0.59375</v>
      </c>
      <c r="C270">
        <v>0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1</v>
      </c>
      <c r="T270">
        <v>1</v>
      </c>
      <c r="U270">
        <v>1</v>
      </c>
      <c r="V270">
        <v>1</v>
      </c>
      <c r="W270">
        <v>0</v>
      </c>
      <c r="X270">
        <v>0</v>
      </c>
      <c r="Y270">
        <v>0</v>
      </c>
      <c r="Z270">
        <v>1</v>
      </c>
      <c r="AA270">
        <v>1</v>
      </c>
      <c r="AB270">
        <v>1</v>
      </c>
      <c r="AC270">
        <v>1</v>
      </c>
      <c r="AD270">
        <v>0</v>
      </c>
      <c r="AE270">
        <v>0</v>
      </c>
      <c r="AF270">
        <v>1</v>
      </c>
      <c r="AG270">
        <v>1</v>
      </c>
      <c r="AH270">
        <v>1</v>
      </c>
    </row>
    <row r="271" spans="1:34" x14ac:dyDescent="0.3">
      <c r="A271" s="42">
        <f t="shared" si="25"/>
        <v>29</v>
      </c>
      <c r="B271" s="44">
        <f t="shared" si="24"/>
        <v>0.5</v>
      </c>
      <c r="C271">
        <v>0</v>
      </c>
      <c r="D271">
        <v>0</v>
      </c>
      <c r="E271">
        <v>1</v>
      </c>
      <c r="F271">
        <v>1</v>
      </c>
      <c r="G271">
        <v>0</v>
      </c>
      <c r="H271">
        <v>1</v>
      </c>
      <c r="I271">
        <v>1</v>
      </c>
      <c r="J271">
        <v>1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1</v>
      </c>
      <c r="Q271">
        <v>0</v>
      </c>
      <c r="R271">
        <v>0</v>
      </c>
      <c r="S271">
        <v>1</v>
      </c>
      <c r="T271">
        <v>1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1</v>
      </c>
      <c r="AB271">
        <v>0</v>
      </c>
      <c r="AC271">
        <v>0</v>
      </c>
      <c r="AD271">
        <v>1</v>
      </c>
      <c r="AE271">
        <v>1</v>
      </c>
      <c r="AF271">
        <v>0</v>
      </c>
      <c r="AG271">
        <v>1</v>
      </c>
      <c r="AH271">
        <v>1</v>
      </c>
    </row>
    <row r="272" spans="1:34" x14ac:dyDescent="0.3">
      <c r="A272" s="42">
        <f t="shared" si="25"/>
        <v>30</v>
      </c>
      <c r="B272" s="44">
        <f t="shared" si="24"/>
        <v>0.65625</v>
      </c>
      <c r="C272">
        <v>1</v>
      </c>
      <c r="D272">
        <v>0</v>
      </c>
      <c r="E272">
        <v>1</v>
      </c>
      <c r="F272">
        <v>0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0</v>
      </c>
      <c r="P272">
        <v>1</v>
      </c>
      <c r="Q272">
        <v>0</v>
      </c>
      <c r="R272">
        <v>0</v>
      </c>
      <c r="S272">
        <v>1</v>
      </c>
      <c r="T272">
        <v>1</v>
      </c>
      <c r="U272">
        <v>1</v>
      </c>
      <c r="V272">
        <v>1</v>
      </c>
      <c r="W272">
        <v>0</v>
      </c>
      <c r="X272">
        <v>0</v>
      </c>
      <c r="Y272">
        <v>0</v>
      </c>
      <c r="Z272">
        <v>1</v>
      </c>
      <c r="AA272">
        <v>1</v>
      </c>
      <c r="AB272">
        <v>0</v>
      </c>
      <c r="AC272">
        <v>0</v>
      </c>
      <c r="AD272">
        <v>1</v>
      </c>
      <c r="AE272">
        <v>0</v>
      </c>
      <c r="AF272">
        <v>1</v>
      </c>
      <c r="AG272">
        <v>1</v>
      </c>
      <c r="AH272">
        <v>1</v>
      </c>
    </row>
    <row r="273" spans="1:34" x14ac:dyDescent="0.3">
      <c r="A273" s="42">
        <f t="shared" si="25"/>
        <v>31</v>
      </c>
      <c r="B273" s="44">
        <f t="shared" si="24"/>
        <v>0.53125</v>
      </c>
      <c r="C273">
        <v>0</v>
      </c>
      <c r="D273">
        <v>0</v>
      </c>
      <c r="E273">
        <v>1</v>
      </c>
      <c r="F273">
        <v>0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1</v>
      </c>
      <c r="T273">
        <v>1</v>
      </c>
      <c r="U273">
        <v>1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1</v>
      </c>
      <c r="AB273">
        <v>1</v>
      </c>
      <c r="AC273">
        <v>0</v>
      </c>
      <c r="AD273">
        <v>0</v>
      </c>
      <c r="AE273">
        <v>1</v>
      </c>
      <c r="AF273">
        <v>1</v>
      </c>
      <c r="AG273">
        <v>0</v>
      </c>
      <c r="AH273">
        <v>1</v>
      </c>
    </row>
    <row r="274" spans="1:34" x14ac:dyDescent="0.3">
      <c r="A274" s="42">
        <f t="shared" si="25"/>
        <v>32</v>
      </c>
      <c r="B274" s="44">
        <f t="shared" si="24"/>
        <v>0.5625</v>
      </c>
      <c r="C274">
        <v>0</v>
      </c>
      <c r="D274">
        <v>1</v>
      </c>
      <c r="E274">
        <v>1</v>
      </c>
      <c r="F274">
        <v>0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</v>
      </c>
      <c r="T274">
        <v>1</v>
      </c>
      <c r="U274">
        <v>0</v>
      </c>
      <c r="V274">
        <v>1</v>
      </c>
      <c r="W274">
        <v>0</v>
      </c>
      <c r="X274">
        <v>0</v>
      </c>
      <c r="Y274">
        <v>1</v>
      </c>
      <c r="Z274">
        <v>1</v>
      </c>
      <c r="AA274">
        <v>1</v>
      </c>
      <c r="AB274">
        <v>1</v>
      </c>
      <c r="AC274">
        <v>0</v>
      </c>
      <c r="AD274">
        <v>1</v>
      </c>
      <c r="AE274">
        <v>1</v>
      </c>
      <c r="AF274">
        <v>1</v>
      </c>
      <c r="AG274">
        <v>0</v>
      </c>
      <c r="AH274">
        <v>1</v>
      </c>
    </row>
    <row r="275" spans="1:34" x14ac:dyDescent="0.3">
      <c r="A275" s="42">
        <f t="shared" si="25"/>
        <v>33</v>
      </c>
      <c r="B275" s="44">
        <f t="shared" si="24"/>
        <v>0.4375</v>
      </c>
      <c r="C275">
        <v>0</v>
      </c>
      <c r="D275">
        <v>0</v>
      </c>
      <c r="E275">
        <v>1</v>
      </c>
      <c r="F275">
        <v>1</v>
      </c>
      <c r="G275">
        <v>1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1</v>
      </c>
      <c r="N275">
        <v>1</v>
      </c>
      <c r="O275">
        <v>0</v>
      </c>
      <c r="P275">
        <v>1</v>
      </c>
      <c r="Q275">
        <v>0</v>
      </c>
      <c r="R275">
        <v>0</v>
      </c>
      <c r="S275">
        <v>1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</v>
      </c>
      <c r="AA275">
        <v>1</v>
      </c>
      <c r="AB275">
        <v>0</v>
      </c>
      <c r="AC275">
        <v>0</v>
      </c>
      <c r="AD275">
        <v>0</v>
      </c>
      <c r="AE275">
        <v>0</v>
      </c>
      <c r="AF275">
        <v>1</v>
      </c>
      <c r="AG275">
        <v>0</v>
      </c>
      <c r="AH275">
        <v>1</v>
      </c>
    </row>
    <row r="276" spans="1:34" x14ac:dyDescent="0.3">
      <c r="A276" s="42">
        <f t="shared" si="25"/>
        <v>34</v>
      </c>
      <c r="B276" s="44">
        <f t="shared" si="24"/>
        <v>0.59375</v>
      </c>
      <c r="C276">
        <v>0</v>
      </c>
      <c r="D276">
        <v>1</v>
      </c>
      <c r="E276">
        <v>1</v>
      </c>
      <c r="F276">
        <v>0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0</v>
      </c>
      <c r="O276">
        <v>0</v>
      </c>
      <c r="P276">
        <v>1</v>
      </c>
      <c r="Q276">
        <v>0</v>
      </c>
      <c r="R276">
        <v>0</v>
      </c>
      <c r="S276">
        <v>1</v>
      </c>
      <c r="T276">
        <v>1</v>
      </c>
      <c r="U276">
        <v>1</v>
      </c>
      <c r="V276">
        <v>1</v>
      </c>
      <c r="W276">
        <v>0</v>
      </c>
      <c r="X276">
        <v>0</v>
      </c>
      <c r="Y276">
        <v>0</v>
      </c>
      <c r="Z276">
        <v>1</v>
      </c>
      <c r="AA276">
        <v>1</v>
      </c>
      <c r="AB276">
        <v>0</v>
      </c>
      <c r="AC276">
        <v>0</v>
      </c>
      <c r="AD276">
        <v>0</v>
      </c>
      <c r="AE276">
        <v>1</v>
      </c>
      <c r="AF276">
        <v>1</v>
      </c>
      <c r="AG276">
        <v>0</v>
      </c>
      <c r="AH276">
        <v>1</v>
      </c>
    </row>
    <row r="277" spans="1:34" x14ac:dyDescent="0.3">
      <c r="A277" s="42">
        <f t="shared" si="25"/>
        <v>35</v>
      </c>
      <c r="B277" s="44">
        <f t="shared" si="24"/>
        <v>0.53125</v>
      </c>
      <c r="C277">
        <v>0</v>
      </c>
      <c r="D277">
        <v>0</v>
      </c>
      <c r="E277">
        <v>1</v>
      </c>
      <c r="F277">
        <v>1</v>
      </c>
      <c r="G277">
        <v>1</v>
      </c>
      <c r="H277">
        <v>1</v>
      </c>
      <c r="I277">
        <v>0</v>
      </c>
      <c r="J277">
        <v>1</v>
      </c>
      <c r="K277">
        <v>1</v>
      </c>
      <c r="L277">
        <v>1</v>
      </c>
      <c r="M277">
        <v>1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1</v>
      </c>
      <c r="T277">
        <v>1</v>
      </c>
      <c r="U277">
        <v>0</v>
      </c>
      <c r="V277">
        <v>1</v>
      </c>
      <c r="W277">
        <v>1</v>
      </c>
      <c r="X277">
        <v>1</v>
      </c>
      <c r="Y277">
        <v>0</v>
      </c>
      <c r="Z277">
        <v>1</v>
      </c>
      <c r="AA277">
        <v>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1</v>
      </c>
    </row>
    <row r="278" spans="1:34" x14ac:dyDescent="0.3">
      <c r="A278" s="42">
        <f t="shared" si="25"/>
        <v>36</v>
      </c>
      <c r="B278" s="44">
        <f t="shared" si="24"/>
        <v>0.5</v>
      </c>
      <c r="C278">
        <v>0</v>
      </c>
      <c r="D278">
        <v>1</v>
      </c>
      <c r="E278">
        <v>1</v>
      </c>
      <c r="F278">
        <v>1</v>
      </c>
      <c r="G278">
        <v>0</v>
      </c>
      <c r="H278">
        <v>1</v>
      </c>
      <c r="I278">
        <v>1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1</v>
      </c>
      <c r="T278">
        <v>1</v>
      </c>
      <c r="U278">
        <v>0</v>
      </c>
      <c r="V278">
        <v>1</v>
      </c>
      <c r="W278">
        <v>0</v>
      </c>
      <c r="X278">
        <v>0</v>
      </c>
      <c r="Y278">
        <v>0</v>
      </c>
      <c r="Z278">
        <v>0</v>
      </c>
      <c r="AA278">
        <v>1</v>
      </c>
      <c r="AB278">
        <v>0</v>
      </c>
      <c r="AC278">
        <v>0</v>
      </c>
      <c r="AD278">
        <v>1</v>
      </c>
      <c r="AE278">
        <v>0</v>
      </c>
      <c r="AF278">
        <v>1</v>
      </c>
      <c r="AG278">
        <v>1</v>
      </c>
      <c r="AH278">
        <v>1</v>
      </c>
    </row>
    <row r="279" spans="1:34" x14ac:dyDescent="0.3">
      <c r="A279" s="42">
        <f t="shared" si="25"/>
        <v>37</v>
      </c>
      <c r="B279" s="44">
        <f t="shared" si="24"/>
        <v>0.5625</v>
      </c>
      <c r="C279">
        <v>0</v>
      </c>
      <c r="D279">
        <v>0</v>
      </c>
      <c r="E279">
        <v>1</v>
      </c>
      <c r="F279">
        <v>0</v>
      </c>
      <c r="G279">
        <v>1</v>
      </c>
      <c r="H279">
        <v>0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0</v>
      </c>
      <c r="P279">
        <v>1</v>
      </c>
      <c r="Q279">
        <v>0</v>
      </c>
      <c r="R279">
        <v>0</v>
      </c>
      <c r="S279">
        <v>1</v>
      </c>
      <c r="T279">
        <v>1</v>
      </c>
      <c r="U279">
        <v>1</v>
      </c>
      <c r="V279">
        <v>1</v>
      </c>
      <c r="W279">
        <v>0</v>
      </c>
      <c r="X279">
        <v>0</v>
      </c>
      <c r="Y279">
        <v>0</v>
      </c>
      <c r="Z279">
        <v>1</v>
      </c>
      <c r="AA279">
        <v>0</v>
      </c>
      <c r="AB279">
        <v>0</v>
      </c>
      <c r="AC279">
        <v>0</v>
      </c>
      <c r="AD279">
        <v>1</v>
      </c>
      <c r="AE279">
        <v>1</v>
      </c>
      <c r="AF279">
        <v>1</v>
      </c>
      <c r="AG279">
        <v>0</v>
      </c>
      <c r="AH279">
        <v>1</v>
      </c>
    </row>
    <row r="280" spans="1:34" x14ac:dyDescent="0.3">
      <c r="A280" s="42">
        <f t="shared" si="25"/>
        <v>38</v>
      </c>
      <c r="B280" s="44">
        <f t="shared" si="24"/>
        <v>0.59375</v>
      </c>
      <c r="C280">
        <v>0</v>
      </c>
      <c r="D280">
        <v>0</v>
      </c>
      <c r="E280">
        <v>1</v>
      </c>
      <c r="F280">
        <v>0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0</v>
      </c>
      <c r="M280">
        <v>1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1</v>
      </c>
      <c r="T280">
        <v>1</v>
      </c>
      <c r="U280">
        <v>0</v>
      </c>
      <c r="V280">
        <v>1</v>
      </c>
      <c r="W280">
        <v>0</v>
      </c>
      <c r="X280">
        <v>0</v>
      </c>
      <c r="Y280">
        <v>1</v>
      </c>
      <c r="Z280">
        <v>1</v>
      </c>
      <c r="AA280">
        <v>1</v>
      </c>
      <c r="AB280">
        <v>0</v>
      </c>
      <c r="AC280">
        <v>0</v>
      </c>
      <c r="AD280">
        <v>1</v>
      </c>
      <c r="AE280">
        <v>1</v>
      </c>
      <c r="AF280">
        <v>1</v>
      </c>
      <c r="AG280">
        <v>1</v>
      </c>
      <c r="AH280">
        <v>1</v>
      </c>
    </row>
    <row r="281" spans="1:34" x14ac:dyDescent="0.3">
      <c r="A281" s="42">
        <f t="shared" si="25"/>
        <v>39</v>
      </c>
      <c r="B281" s="44">
        <f t="shared" si="24"/>
        <v>0.53125</v>
      </c>
      <c r="C281">
        <v>1</v>
      </c>
      <c r="D281">
        <v>0</v>
      </c>
      <c r="E281">
        <v>1</v>
      </c>
      <c r="F281">
        <v>0</v>
      </c>
      <c r="G281">
        <v>1</v>
      </c>
      <c r="H281">
        <v>0</v>
      </c>
      <c r="I281">
        <v>1</v>
      </c>
      <c r="J281">
        <v>1</v>
      </c>
      <c r="K281">
        <v>1</v>
      </c>
      <c r="L281">
        <v>0</v>
      </c>
      <c r="M281">
        <v>1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1</v>
      </c>
      <c r="T281">
        <v>1</v>
      </c>
      <c r="U281">
        <v>0</v>
      </c>
      <c r="V281">
        <v>1</v>
      </c>
      <c r="W281">
        <v>0</v>
      </c>
      <c r="X281">
        <v>0</v>
      </c>
      <c r="Y281">
        <v>0</v>
      </c>
      <c r="Z281">
        <v>1</v>
      </c>
      <c r="AA281">
        <v>1</v>
      </c>
      <c r="AB281">
        <v>1</v>
      </c>
      <c r="AC281">
        <v>0</v>
      </c>
      <c r="AD281">
        <v>0</v>
      </c>
      <c r="AE281">
        <v>1</v>
      </c>
      <c r="AF281">
        <v>1</v>
      </c>
      <c r="AG281">
        <v>0</v>
      </c>
      <c r="AH281">
        <v>1</v>
      </c>
    </row>
    <row r="282" spans="1:34" x14ac:dyDescent="0.3">
      <c r="A282" s="42">
        <f t="shared" si="25"/>
        <v>40</v>
      </c>
      <c r="B282" s="44">
        <f t="shared" si="24"/>
        <v>0.6875</v>
      </c>
      <c r="C282">
        <v>1</v>
      </c>
      <c r="D282">
        <v>1</v>
      </c>
      <c r="E282">
        <v>1</v>
      </c>
      <c r="F282">
        <v>0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1</v>
      </c>
      <c r="R282">
        <v>0</v>
      </c>
      <c r="S282">
        <v>1</v>
      </c>
      <c r="T282">
        <v>1</v>
      </c>
      <c r="U282">
        <v>1</v>
      </c>
      <c r="V282">
        <v>1</v>
      </c>
      <c r="W282">
        <v>0</v>
      </c>
      <c r="X282">
        <v>0</v>
      </c>
      <c r="Y282">
        <v>0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0</v>
      </c>
      <c r="AH282">
        <v>1</v>
      </c>
    </row>
    <row r="283" spans="1:34" x14ac:dyDescent="0.3">
      <c r="A283" s="42">
        <f t="shared" si="25"/>
        <v>41</v>
      </c>
      <c r="B283" s="44">
        <f t="shared" si="24"/>
        <v>0.5625</v>
      </c>
      <c r="C283">
        <v>1</v>
      </c>
      <c r="D283">
        <v>0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1</v>
      </c>
      <c r="K283">
        <v>1</v>
      </c>
      <c r="L283">
        <v>0</v>
      </c>
      <c r="M283">
        <v>1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1</v>
      </c>
      <c r="T283">
        <v>1</v>
      </c>
      <c r="U283">
        <v>0</v>
      </c>
      <c r="V283">
        <v>1</v>
      </c>
      <c r="W283">
        <v>0</v>
      </c>
      <c r="X283">
        <v>0</v>
      </c>
      <c r="Y283">
        <v>1</v>
      </c>
      <c r="Z283">
        <v>1</v>
      </c>
      <c r="AA283">
        <v>1</v>
      </c>
      <c r="AB283">
        <v>0</v>
      </c>
      <c r="AC283">
        <v>0</v>
      </c>
      <c r="AD283">
        <v>0</v>
      </c>
      <c r="AE283">
        <v>1</v>
      </c>
      <c r="AF283">
        <v>1</v>
      </c>
      <c r="AG283">
        <v>0</v>
      </c>
      <c r="AH283">
        <v>1</v>
      </c>
    </row>
    <row r="284" spans="1:34" x14ac:dyDescent="0.3">
      <c r="A284" s="42">
        <f t="shared" si="25"/>
        <v>42</v>
      </c>
      <c r="B284" s="44">
        <f t="shared" si="24"/>
        <v>0.5625</v>
      </c>
      <c r="C284">
        <v>0</v>
      </c>
      <c r="D284">
        <v>0</v>
      </c>
      <c r="E284">
        <v>1</v>
      </c>
      <c r="F284">
        <v>1</v>
      </c>
      <c r="G284">
        <v>1</v>
      </c>
      <c r="H284">
        <v>0</v>
      </c>
      <c r="I284">
        <v>1</v>
      </c>
      <c r="J284">
        <v>1</v>
      </c>
      <c r="K284">
        <v>0</v>
      </c>
      <c r="L284">
        <v>1</v>
      </c>
      <c r="M284">
        <v>1</v>
      </c>
      <c r="N284">
        <v>0</v>
      </c>
      <c r="O284">
        <v>1</v>
      </c>
      <c r="P284">
        <v>1</v>
      </c>
      <c r="Q284">
        <v>0</v>
      </c>
      <c r="R284">
        <v>0</v>
      </c>
      <c r="S284">
        <v>1</v>
      </c>
      <c r="T284">
        <v>1</v>
      </c>
      <c r="U284">
        <v>1</v>
      </c>
      <c r="V284">
        <v>0</v>
      </c>
      <c r="W284">
        <v>0</v>
      </c>
      <c r="X284">
        <v>0</v>
      </c>
      <c r="Y284">
        <v>1</v>
      </c>
      <c r="Z284">
        <v>1</v>
      </c>
      <c r="AA284">
        <v>1</v>
      </c>
      <c r="AB284">
        <v>0</v>
      </c>
      <c r="AC284">
        <v>0</v>
      </c>
      <c r="AD284">
        <v>1</v>
      </c>
      <c r="AE284">
        <v>0</v>
      </c>
      <c r="AF284">
        <v>1</v>
      </c>
      <c r="AG284">
        <v>0</v>
      </c>
      <c r="AH284">
        <v>1</v>
      </c>
    </row>
    <row r="285" spans="1:34" x14ac:dyDescent="0.3">
      <c r="A285" s="42">
        <f t="shared" si="25"/>
        <v>43</v>
      </c>
      <c r="B285" s="44">
        <f t="shared" si="24"/>
        <v>0.59375</v>
      </c>
      <c r="C285">
        <v>1</v>
      </c>
      <c r="D285">
        <v>1</v>
      </c>
      <c r="E285">
        <v>1</v>
      </c>
      <c r="F285">
        <v>0</v>
      </c>
      <c r="G285">
        <v>1</v>
      </c>
      <c r="H285">
        <v>0</v>
      </c>
      <c r="I285">
        <v>1</v>
      </c>
      <c r="J285">
        <v>1</v>
      </c>
      <c r="K285">
        <v>0</v>
      </c>
      <c r="L285">
        <v>0</v>
      </c>
      <c r="M285">
        <v>1</v>
      </c>
      <c r="N285">
        <v>1</v>
      </c>
      <c r="O285">
        <v>0</v>
      </c>
      <c r="P285">
        <v>1</v>
      </c>
      <c r="Q285">
        <v>0</v>
      </c>
      <c r="R285">
        <v>0</v>
      </c>
      <c r="S285">
        <v>1</v>
      </c>
      <c r="T285">
        <v>1</v>
      </c>
      <c r="U285">
        <v>0</v>
      </c>
      <c r="V285">
        <v>1</v>
      </c>
      <c r="W285">
        <v>0</v>
      </c>
      <c r="X285">
        <v>0</v>
      </c>
      <c r="Y285">
        <v>0</v>
      </c>
      <c r="Z285">
        <v>1</v>
      </c>
      <c r="AA285">
        <v>1</v>
      </c>
      <c r="AB285">
        <v>0</v>
      </c>
      <c r="AC285">
        <v>0</v>
      </c>
      <c r="AD285">
        <v>1</v>
      </c>
      <c r="AE285">
        <v>1</v>
      </c>
      <c r="AF285">
        <v>1</v>
      </c>
      <c r="AG285">
        <v>1</v>
      </c>
      <c r="AH285">
        <v>1</v>
      </c>
    </row>
    <row r="286" spans="1:34" x14ac:dyDescent="0.3">
      <c r="A286" s="42">
        <f t="shared" si="25"/>
        <v>44</v>
      </c>
      <c r="B286" s="44">
        <f t="shared" si="24"/>
        <v>0.59375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0</v>
      </c>
      <c r="J286">
        <v>1</v>
      </c>
      <c r="K286">
        <v>0</v>
      </c>
      <c r="L286">
        <v>0</v>
      </c>
      <c r="M286">
        <v>1</v>
      </c>
      <c r="N286">
        <v>1</v>
      </c>
      <c r="O286">
        <v>0</v>
      </c>
      <c r="P286">
        <v>1</v>
      </c>
      <c r="Q286">
        <v>1</v>
      </c>
      <c r="R286">
        <v>0</v>
      </c>
      <c r="S286">
        <v>1</v>
      </c>
      <c r="T286">
        <v>1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1</v>
      </c>
      <c r="AB286">
        <v>0</v>
      </c>
      <c r="AC286">
        <v>0</v>
      </c>
      <c r="AD286">
        <v>1</v>
      </c>
      <c r="AE286">
        <v>0</v>
      </c>
      <c r="AF286">
        <v>1</v>
      </c>
      <c r="AG286">
        <v>1</v>
      </c>
      <c r="AH286">
        <v>1</v>
      </c>
    </row>
    <row r="287" spans="1:34" x14ac:dyDescent="0.3">
      <c r="A287" s="42">
        <f t="shared" si="25"/>
        <v>45</v>
      </c>
      <c r="B287" s="44">
        <f t="shared" si="24"/>
        <v>0.59375</v>
      </c>
      <c r="C287">
        <v>0</v>
      </c>
      <c r="D287">
        <v>1</v>
      </c>
      <c r="E287">
        <v>1</v>
      </c>
      <c r="F287">
        <v>0</v>
      </c>
      <c r="G287">
        <v>1</v>
      </c>
      <c r="H287">
        <v>1</v>
      </c>
      <c r="I287">
        <v>0</v>
      </c>
      <c r="J287">
        <v>1</v>
      </c>
      <c r="K287">
        <v>0</v>
      </c>
      <c r="L287">
        <v>1</v>
      </c>
      <c r="M287">
        <v>1</v>
      </c>
      <c r="N287">
        <v>0</v>
      </c>
      <c r="O287">
        <v>0</v>
      </c>
      <c r="P287">
        <v>1</v>
      </c>
      <c r="Q287">
        <v>0</v>
      </c>
      <c r="R287">
        <v>0</v>
      </c>
      <c r="S287">
        <v>1</v>
      </c>
      <c r="T287">
        <v>1</v>
      </c>
      <c r="U287">
        <v>1</v>
      </c>
      <c r="V287">
        <v>0</v>
      </c>
      <c r="W287">
        <v>0</v>
      </c>
      <c r="X287">
        <v>0</v>
      </c>
      <c r="Y287">
        <v>1</v>
      </c>
      <c r="Z287">
        <v>1</v>
      </c>
      <c r="AA287">
        <v>1</v>
      </c>
      <c r="AB287">
        <v>0</v>
      </c>
      <c r="AC287">
        <v>0</v>
      </c>
      <c r="AD287">
        <v>1</v>
      </c>
      <c r="AE287">
        <v>1</v>
      </c>
      <c r="AF287">
        <v>1</v>
      </c>
      <c r="AG287">
        <v>1</v>
      </c>
      <c r="AH287">
        <v>1</v>
      </c>
    </row>
    <row r="288" spans="1:34" x14ac:dyDescent="0.3">
      <c r="A288" s="42">
        <f t="shared" si="25"/>
        <v>46</v>
      </c>
      <c r="B288" s="44">
        <f t="shared" si="24"/>
        <v>0.75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0</v>
      </c>
      <c r="O288">
        <v>0</v>
      </c>
      <c r="P288">
        <v>1</v>
      </c>
      <c r="Q288">
        <v>0</v>
      </c>
      <c r="R288">
        <v>0</v>
      </c>
      <c r="S288">
        <v>1</v>
      </c>
      <c r="T288">
        <v>1</v>
      </c>
      <c r="U288">
        <v>1</v>
      </c>
      <c r="V288">
        <v>1</v>
      </c>
      <c r="W288">
        <v>0</v>
      </c>
      <c r="X288">
        <v>0</v>
      </c>
      <c r="Y288">
        <v>1</v>
      </c>
      <c r="Z288">
        <v>1</v>
      </c>
      <c r="AA288">
        <v>1</v>
      </c>
      <c r="AB288">
        <v>1</v>
      </c>
      <c r="AC288">
        <v>0</v>
      </c>
      <c r="AD288">
        <v>1</v>
      </c>
      <c r="AE288">
        <v>1</v>
      </c>
      <c r="AF288">
        <v>1</v>
      </c>
      <c r="AG288">
        <v>1</v>
      </c>
      <c r="AH288">
        <v>1</v>
      </c>
    </row>
    <row r="289" spans="1:34" x14ac:dyDescent="0.3">
      <c r="A289" s="42">
        <f t="shared" si="25"/>
        <v>47</v>
      </c>
      <c r="B289" s="44">
        <f t="shared" si="24"/>
        <v>0.5625</v>
      </c>
      <c r="C289">
        <v>0</v>
      </c>
      <c r="D289">
        <v>0</v>
      </c>
      <c r="E289">
        <v>1</v>
      </c>
      <c r="F289">
        <v>0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0</v>
      </c>
      <c r="N289">
        <v>0</v>
      </c>
      <c r="O289">
        <v>1</v>
      </c>
      <c r="P289">
        <v>1</v>
      </c>
      <c r="Q289">
        <v>0</v>
      </c>
      <c r="R289">
        <v>0</v>
      </c>
      <c r="S289">
        <v>1</v>
      </c>
      <c r="T289">
        <v>1</v>
      </c>
      <c r="U289">
        <v>0</v>
      </c>
      <c r="V289">
        <v>0</v>
      </c>
      <c r="W289">
        <v>1</v>
      </c>
      <c r="X289">
        <v>0</v>
      </c>
      <c r="Y289">
        <v>1</v>
      </c>
      <c r="Z289">
        <v>1</v>
      </c>
      <c r="AA289">
        <v>0</v>
      </c>
      <c r="AB289">
        <v>0</v>
      </c>
      <c r="AC289">
        <v>0</v>
      </c>
      <c r="AD289">
        <v>1</v>
      </c>
      <c r="AE289">
        <v>0</v>
      </c>
      <c r="AF289">
        <v>1</v>
      </c>
      <c r="AG289">
        <v>1</v>
      </c>
      <c r="AH289">
        <v>1</v>
      </c>
    </row>
    <row r="290" spans="1:34" x14ac:dyDescent="0.3">
      <c r="A290" s="42">
        <f t="shared" si="25"/>
        <v>48</v>
      </c>
      <c r="B290" s="44">
        <f t="shared" si="24"/>
        <v>0.625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1</v>
      </c>
      <c r="T290">
        <v>1</v>
      </c>
      <c r="U290">
        <v>0</v>
      </c>
      <c r="V290">
        <v>1</v>
      </c>
      <c r="W290">
        <v>1</v>
      </c>
      <c r="X290">
        <v>0</v>
      </c>
      <c r="Y290">
        <v>1</v>
      </c>
      <c r="Z290">
        <v>1</v>
      </c>
      <c r="AA290">
        <v>1</v>
      </c>
      <c r="AB290">
        <v>0</v>
      </c>
      <c r="AC290">
        <v>0</v>
      </c>
      <c r="AD290">
        <v>1</v>
      </c>
      <c r="AE290">
        <v>0</v>
      </c>
      <c r="AF290">
        <v>1</v>
      </c>
      <c r="AG290">
        <v>1</v>
      </c>
      <c r="AH290">
        <v>1</v>
      </c>
    </row>
    <row r="291" spans="1:34" x14ac:dyDescent="0.3">
      <c r="A291" s="42">
        <f t="shared" si="25"/>
        <v>49</v>
      </c>
      <c r="B291" s="44">
        <f t="shared" si="24"/>
        <v>0.59375</v>
      </c>
      <c r="C291">
        <v>0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1</v>
      </c>
      <c r="J291">
        <v>1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1</v>
      </c>
      <c r="Q291">
        <v>0</v>
      </c>
      <c r="R291">
        <v>0</v>
      </c>
      <c r="S291">
        <v>1</v>
      </c>
      <c r="T291">
        <v>1</v>
      </c>
      <c r="U291">
        <v>1</v>
      </c>
      <c r="V291">
        <v>1</v>
      </c>
      <c r="W291">
        <v>0</v>
      </c>
      <c r="X291">
        <v>0</v>
      </c>
      <c r="Y291">
        <v>1</v>
      </c>
      <c r="Z291">
        <v>1</v>
      </c>
      <c r="AA291">
        <v>1</v>
      </c>
      <c r="AB291">
        <v>1</v>
      </c>
      <c r="AC291">
        <v>0</v>
      </c>
      <c r="AD291">
        <v>0</v>
      </c>
      <c r="AE291">
        <v>0</v>
      </c>
      <c r="AF291">
        <v>1</v>
      </c>
      <c r="AG291">
        <v>1</v>
      </c>
      <c r="AH291">
        <v>1</v>
      </c>
    </row>
    <row r="292" spans="1:34" x14ac:dyDescent="0.3">
      <c r="A292" s="42">
        <f t="shared" si="25"/>
        <v>50</v>
      </c>
      <c r="B292" s="44">
        <f t="shared" si="24"/>
        <v>0.5625</v>
      </c>
      <c r="C292">
        <v>0</v>
      </c>
      <c r="D292">
        <v>0</v>
      </c>
      <c r="E292">
        <v>1</v>
      </c>
      <c r="F292">
        <v>0</v>
      </c>
      <c r="G292">
        <v>1</v>
      </c>
      <c r="H292">
        <v>1</v>
      </c>
      <c r="I292">
        <v>1</v>
      </c>
      <c r="J292">
        <v>1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1</v>
      </c>
      <c r="Q292">
        <v>0</v>
      </c>
      <c r="R292">
        <v>0</v>
      </c>
      <c r="S292">
        <v>1</v>
      </c>
      <c r="T292">
        <v>1</v>
      </c>
      <c r="U292">
        <v>1</v>
      </c>
      <c r="V292">
        <v>1</v>
      </c>
      <c r="W292">
        <v>0</v>
      </c>
      <c r="X292">
        <v>0</v>
      </c>
      <c r="Y292">
        <v>1</v>
      </c>
      <c r="Z292">
        <v>1</v>
      </c>
      <c r="AA292">
        <v>1</v>
      </c>
      <c r="AB292">
        <v>1</v>
      </c>
      <c r="AC292">
        <v>0</v>
      </c>
      <c r="AD292">
        <v>0</v>
      </c>
      <c r="AE292">
        <v>1</v>
      </c>
      <c r="AF292">
        <v>1</v>
      </c>
      <c r="AG292">
        <v>0</v>
      </c>
      <c r="AH292">
        <v>1</v>
      </c>
    </row>
    <row r="293" spans="1:34" x14ac:dyDescent="0.3">
      <c r="A293" s="42">
        <f t="shared" si="25"/>
        <v>51</v>
      </c>
      <c r="B293" s="44">
        <f t="shared" si="24"/>
        <v>0.46875</v>
      </c>
      <c r="C293">
        <v>0</v>
      </c>
      <c r="D293">
        <v>0</v>
      </c>
      <c r="E293">
        <v>1</v>
      </c>
      <c r="F293">
        <v>0</v>
      </c>
      <c r="G293">
        <v>1</v>
      </c>
      <c r="H293">
        <v>0</v>
      </c>
      <c r="I293">
        <v>0</v>
      </c>
      <c r="J293">
        <v>1</v>
      </c>
      <c r="K293">
        <v>1</v>
      </c>
      <c r="L293">
        <v>0</v>
      </c>
      <c r="M293">
        <v>1</v>
      </c>
      <c r="N293">
        <v>1</v>
      </c>
      <c r="O293">
        <v>0</v>
      </c>
      <c r="P293">
        <v>1</v>
      </c>
      <c r="Q293">
        <v>0</v>
      </c>
      <c r="R293">
        <v>0</v>
      </c>
      <c r="S293">
        <v>1</v>
      </c>
      <c r="T293">
        <v>1</v>
      </c>
      <c r="U293">
        <v>1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1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1</v>
      </c>
      <c r="AH293">
        <v>1</v>
      </c>
    </row>
    <row r="294" spans="1:34" x14ac:dyDescent="0.3">
      <c r="A294" s="42">
        <f t="shared" si="25"/>
        <v>52</v>
      </c>
      <c r="B294" s="44">
        <f t="shared" si="24"/>
        <v>0.625</v>
      </c>
      <c r="C294">
        <v>0</v>
      </c>
      <c r="D294">
        <v>1</v>
      </c>
      <c r="E294">
        <v>1</v>
      </c>
      <c r="F294">
        <v>0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0</v>
      </c>
      <c r="R294">
        <v>0</v>
      </c>
      <c r="S294">
        <v>1</v>
      </c>
      <c r="T294">
        <v>1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1</v>
      </c>
      <c r="AA294">
        <v>1</v>
      </c>
      <c r="AB294">
        <v>1</v>
      </c>
      <c r="AC294">
        <v>0</v>
      </c>
      <c r="AD294">
        <v>1</v>
      </c>
      <c r="AE294">
        <v>1</v>
      </c>
      <c r="AF294">
        <v>1</v>
      </c>
      <c r="AG294">
        <v>1</v>
      </c>
      <c r="AH294">
        <v>1</v>
      </c>
    </row>
    <row r="295" spans="1:34" x14ac:dyDescent="0.3">
      <c r="A295" s="42">
        <f t="shared" si="25"/>
        <v>53</v>
      </c>
      <c r="B295" s="44">
        <f t="shared" si="24"/>
        <v>0.65625</v>
      </c>
      <c r="C295">
        <v>1</v>
      </c>
      <c r="D295">
        <v>0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0</v>
      </c>
      <c r="L295">
        <v>1</v>
      </c>
      <c r="M295">
        <v>1</v>
      </c>
      <c r="N295">
        <v>0</v>
      </c>
      <c r="O295">
        <v>0</v>
      </c>
      <c r="P295">
        <v>1</v>
      </c>
      <c r="Q295">
        <v>0</v>
      </c>
      <c r="R295">
        <v>0</v>
      </c>
      <c r="S295">
        <v>1</v>
      </c>
      <c r="T295">
        <v>1</v>
      </c>
      <c r="U295">
        <v>1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1</v>
      </c>
      <c r="AB295">
        <v>1</v>
      </c>
      <c r="AC295">
        <v>0</v>
      </c>
      <c r="AD295">
        <v>1</v>
      </c>
      <c r="AE295">
        <v>1</v>
      </c>
      <c r="AF295">
        <v>1</v>
      </c>
      <c r="AG295">
        <v>1</v>
      </c>
      <c r="AH295">
        <v>1</v>
      </c>
    </row>
    <row r="296" spans="1:34" x14ac:dyDescent="0.3">
      <c r="A296" s="42">
        <f t="shared" si="25"/>
        <v>54</v>
      </c>
      <c r="B296" s="44">
        <f t="shared" si="24"/>
        <v>0.40625</v>
      </c>
      <c r="C296">
        <v>0</v>
      </c>
      <c r="D296">
        <v>0</v>
      </c>
      <c r="E296">
        <v>1</v>
      </c>
      <c r="F296">
        <v>0</v>
      </c>
      <c r="G296">
        <v>1</v>
      </c>
      <c r="H296">
        <v>0</v>
      </c>
      <c r="I296">
        <v>0</v>
      </c>
      <c r="J296">
        <v>1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1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1</v>
      </c>
      <c r="AB296">
        <v>1</v>
      </c>
      <c r="AC296">
        <v>0</v>
      </c>
      <c r="AD296">
        <v>1</v>
      </c>
      <c r="AE296">
        <v>1</v>
      </c>
      <c r="AF296">
        <v>0</v>
      </c>
      <c r="AG296">
        <v>0</v>
      </c>
      <c r="AH296">
        <v>1</v>
      </c>
    </row>
    <row r="297" spans="1:34" x14ac:dyDescent="0.3">
      <c r="A297" s="42">
        <f t="shared" si="25"/>
        <v>55</v>
      </c>
      <c r="B297" s="44">
        <f t="shared" si="24"/>
        <v>0.625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1</v>
      </c>
      <c r="T297">
        <v>1</v>
      </c>
      <c r="U297">
        <v>1</v>
      </c>
      <c r="V297">
        <v>1</v>
      </c>
      <c r="W297">
        <v>0</v>
      </c>
      <c r="X297">
        <v>0</v>
      </c>
      <c r="Y297">
        <v>1</v>
      </c>
      <c r="Z297">
        <v>1</v>
      </c>
      <c r="AA297">
        <v>1</v>
      </c>
      <c r="AB297">
        <v>0</v>
      </c>
      <c r="AC297">
        <v>0</v>
      </c>
      <c r="AD297">
        <v>1</v>
      </c>
      <c r="AE297">
        <v>1</v>
      </c>
      <c r="AF297">
        <v>1</v>
      </c>
      <c r="AG297">
        <v>1</v>
      </c>
      <c r="AH297">
        <v>1</v>
      </c>
    </row>
    <row r="298" spans="1:34" x14ac:dyDescent="0.3">
      <c r="A298" s="42">
        <f t="shared" si="25"/>
        <v>56</v>
      </c>
      <c r="B298" s="44">
        <f t="shared" si="24"/>
        <v>0.59375</v>
      </c>
      <c r="C298">
        <v>0</v>
      </c>
      <c r="D298">
        <v>0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0</v>
      </c>
      <c r="M298">
        <v>1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1</v>
      </c>
      <c r="T298">
        <v>1</v>
      </c>
      <c r="U298">
        <v>0</v>
      </c>
      <c r="V298">
        <v>1</v>
      </c>
      <c r="W298">
        <v>0</v>
      </c>
      <c r="X298">
        <v>0</v>
      </c>
      <c r="Y298">
        <v>0</v>
      </c>
      <c r="Z298">
        <v>1</v>
      </c>
      <c r="AA298">
        <v>1</v>
      </c>
      <c r="AB298">
        <v>1</v>
      </c>
      <c r="AC298">
        <v>0</v>
      </c>
      <c r="AD298">
        <v>1</v>
      </c>
      <c r="AE298">
        <v>0</v>
      </c>
      <c r="AF298">
        <v>1</v>
      </c>
      <c r="AG298">
        <v>1</v>
      </c>
      <c r="AH298">
        <v>1</v>
      </c>
    </row>
    <row r="299" spans="1:34" x14ac:dyDescent="0.3">
      <c r="A299" s="42">
        <f t="shared" si="25"/>
        <v>57</v>
      </c>
      <c r="B299" s="44">
        <f t="shared" si="24"/>
        <v>0.65625</v>
      </c>
      <c r="C299">
        <v>1</v>
      </c>
      <c r="D299">
        <v>1</v>
      </c>
      <c r="E299">
        <v>1</v>
      </c>
      <c r="F299">
        <v>0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0</v>
      </c>
      <c r="M299">
        <v>1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1</v>
      </c>
      <c r="T299">
        <v>1</v>
      </c>
      <c r="U299">
        <v>0</v>
      </c>
      <c r="V299">
        <v>1</v>
      </c>
      <c r="W299">
        <v>0</v>
      </c>
      <c r="X299">
        <v>0</v>
      </c>
      <c r="Y299">
        <v>1</v>
      </c>
      <c r="Z299">
        <v>1</v>
      </c>
      <c r="AA299">
        <v>1</v>
      </c>
      <c r="AB299">
        <v>1</v>
      </c>
      <c r="AC299">
        <v>0</v>
      </c>
      <c r="AD299">
        <v>1</v>
      </c>
      <c r="AE299">
        <v>1</v>
      </c>
      <c r="AF299">
        <v>1</v>
      </c>
      <c r="AG299">
        <v>0</v>
      </c>
      <c r="AH299">
        <v>1</v>
      </c>
    </row>
    <row r="300" spans="1:34" x14ac:dyDescent="0.3">
      <c r="A300" s="42">
        <f t="shared" si="25"/>
        <v>58</v>
      </c>
      <c r="B300" s="44">
        <f t="shared" si="24"/>
        <v>0.58064516129032262</v>
      </c>
      <c r="C300">
        <v>0</v>
      </c>
      <c r="D300">
        <v>1</v>
      </c>
      <c r="E300">
        <v>1</v>
      </c>
      <c r="F300">
        <v>0</v>
      </c>
      <c r="G300">
        <v>1</v>
      </c>
      <c r="H300">
        <v>1</v>
      </c>
      <c r="I300">
        <v>1</v>
      </c>
      <c r="J300">
        <v>0</v>
      </c>
      <c r="K300">
        <v>1</v>
      </c>
      <c r="L300">
        <v>0</v>
      </c>
      <c r="M300">
        <v>1</v>
      </c>
      <c r="N300">
        <v>0</v>
      </c>
      <c r="O300">
        <v>0</v>
      </c>
      <c r="P300">
        <v>1</v>
      </c>
      <c r="Q300">
        <v>0</v>
      </c>
      <c r="R300">
        <v>0</v>
      </c>
      <c r="S300">
        <v>1</v>
      </c>
      <c r="T300">
        <v>1</v>
      </c>
      <c r="U300">
        <v>1</v>
      </c>
      <c r="V300">
        <v>1</v>
      </c>
      <c r="W300">
        <v>0</v>
      </c>
      <c r="X300">
        <v>0</v>
      </c>
      <c r="Y300">
        <v>0</v>
      </c>
      <c r="Z300">
        <v>1</v>
      </c>
      <c r="AA300">
        <v>1</v>
      </c>
      <c r="AB300">
        <v>1</v>
      </c>
      <c r="AC300">
        <v>0</v>
      </c>
      <c r="AD300">
        <v>1</v>
      </c>
      <c r="AE300">
        <v>0</v>
      </c>
      <c r="AF300">
        <v>1</v>
      </c>
      <c r="AH300">
        <v>1</v>
      </c>
    </row>
    <row r="301" spans="1:34" x14ac:dyDescent="0.3">
      <c r="A301" s="42">
        <f t="shared" si="25"/>
        <v>59</v>
      </c>
      <c r="B301" s="44">
        <f t="shared" si="24"/>
        <v>0.64516129032258063</v>
      </c>
      <c r="C301">
        <v>0</v>
      </c>
      <c r="D301">
        <v>0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0</v>
      </c>
      <c r="N301">
        <v>1</v>
      </c>
      <c r="O301">
        <v>0</v>
      </c>
      <c r="P301">
        <v>1</v>
      </c>
      <c r="Q301">
        <v>0</v>
      </c>
      <c r="R301">
        <v>0</v>
      </c>
      <c r="S301">
        <v>1</v>
      </c>
      <c r="T301">
        <v>1</v>
      </c>
      <c r="U301">
        <v>1</v>
      </c>
      <c r="V301">
        <v>1</v>
      </c>
      <c r="W301">
        <v>0</v>
      </c>
      <c r="X301">
        <v>0</v>
      </c>
      <c r="Y301">
        <v>0</v>
      </c>
      <c r="Z301">
        <v>1</v>
      </c>
      <c r="AA301">
        <v>1</v>
      </c>
      <c r="AB301">
        <v>1</v>
      </c>
      <c r="AC301">
        <v>0</v>
      </c>
      <c r="AD301">
        <v>1</v>
      </c>
      <c r="AE301">
        <v>1</v>
      </c>
      <c r="AF301">
        <v>0</v>
      </c>
      <c r="AH301">
        <v>1</v>
      </c>
    </row>
    <row r="302" spans="1:34" x14ac:dyDescent="0.3">
      <c r="A302" s="42">
        <f t="shared" si="25"/>
        <v>60</v>
      </c>
      <c r="B302" s="44">
        <f t="shared" si="24"/>
        <v>0.67741935483870963</v>
      </c>
      <c r="C302">
        <v>0</v>
      </c>
      <c r="D302">
        <v>1</v>
      </c>
      <c r="E302">
        <v>1</v>
      </c>
      <c r="F302">
        <v>0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0</v>
      </c>
      <c r="O302">
        <v>1</v>
      </c>
      <c r="P302">
        <v>1</v>
      </c>
      <c r="Q302">
        <v>0</v>
      </c>
      <c r="R302">
        <v>0</v>
      </c>
      <c r="S302">
        <v>1</v>
      </c>
      <c r="T302">
        <v>1</v>
      </c>
      <c r="U302">
        <v>1</v>
      </c>
      <c r="V302">
        <v>1</v>
      </c>
      <c r="W302">
        <v>0</v>
      </c>
      <c r="X302">
        <v>0</v>
      </c>
      <c r="Y302">
        <v>0</v>
      </c>
      <c r="Z302">
        <v>1</v>
      </c>
      <c r="AA302">
        <v>1</v>
      </c>
      <c r="AB302">
        <v>1</v>
      </c>
      <c r="AC302">
        <v>0</v>
      </c>
      <c r="AD302">
        <v>1</v>
      </c>
      <c r="AE302">
        <v>0</v>
      </c>
      <c r="AF302">
        <v>1</v>
      </c>
      <c r="AH302">
        <v>1</v>
      </c>
    </row>
    <row r="303" spans="1:34" x14ac:dyDescent="0.3">
      <c r="A303" s="42">
        <f t="shared" si="25"/>
        <v>61</v>
      </c>
      <c r="B303" s="44">
        <f t="shared" si="24"/>
        <v>0.54838709677419351</v>
      </c>
      <c r="C303">
        <v>1</v>
      </c>
      <c r="D303">
        <v>0</v>
      </c>
      <c r="E303">
        <v>1</v>
      </c>
      <c r="F303">
        <v>0</v>
      </c>
      <c r="G303">
        <v>1</v>
      </c>
      <c r="H303">
        <v>0</v>
      </c>
      <c r="I303">
        <v>1</v>
      </c>
      <c r="J303">
        <v>1</v>
      </c>
      <c r="K303">
        <v>1</v>
      </c>
      <c r="L303">
        <v>0</v>
      </c>
      <c r="M303">
        <v>1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1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1</v>
      </c>
      <c r="AB303">
        <v>1</v>
      </c>
      <c r="AC303">
        <v>0</v>
      </c>
      <c r="AD303">
        <v>1</v>
      </c>
      <c r="AE303">
        <v>1</v>
      </c>
      <c r="AF303">
        <v>1</v>
      </c>
      <c r="AH303">
        <v>1</v>
      </c>
    </row>
    <row r="304" spans="1:34" x14ac:dyDescent="0.3">
      <c r="A304" s="42">
        <f t="shared" si="25"/>
        <v>62</v>
      </c>
      <c r="B304" s="44">
        <f t="shared" si="24"/>
        <v>0.54838709677419351</v>
      </c>
      <c r="C304">
        <v>0</v>
      </c>
      <c r="D304">
        <v>1</v>
      </c>
      <c r="E304">
        <v>1</v>
      </c>
      <c r="F304">
        <v>0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0</v>
      </c>
      <c r="M304">
        <v>1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1</v>
      </c>
      <c r="T304">
        <v>1</v>
      </c>
      <c r="U304">
        <v>1</v>
      </c>
      <c r="V304">
        <v>0</v>
      </c>
      <c r="W304">
        <v>0</v>
      </c>
      <c r="X304">
        <v>0</v>
      </c>
      <c r="Y304">
        <v>0</v>
      </c>
      <c r="Z304">
        <v>1</v>
      </c>
      <c r="AA304">
        <v>1</v>
      </c>
      <c r="AB304">
        <v>0</v>
      </c>
      <c r="AC304">
        <v>0</v>
      </c>
      <c r="AD304">
        <v>1</v>
      </c>
      <c r="AE304">
        <v>1</v>
      </c>
      <c r="AF304">
        <v>0</v>
      </c>
      <c r="AH304">
        <v>1</v>
      </c>
    </row>
    <row r="305" spans="1:34" x14ac:dyDescent="0.3">
      <c r="A305" s="42">
        <f t="shared" si="25"/>
        <v>63</v>
      </c>
      <c r="B305" s="44">
        <f t="shared" si="24"/>
        <v>0.70967741935483875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0</v>
      </c>
      <c r="M305">
        <v>1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1</v>
      </c>
      <c r="T305">
        <v>1</v>
      </c>
      <c r="U305">
        <v>1</v>
      </c>
      <c r="V305">
        <v>1</v>
      </c>
      <c r="W305">
        <v>0</v>
      </c>
      <c r="X305">
        <v>0</v>
      </c>
      <c r="Y305">
        <v>1</v>
      </c>
      <c r="Z305">
        <v>1</v>
      </c>
      <c r="AA305">
        <v>1</v>
      </c>
      <c r="AB305">
        <v>1</v>
      </c>
      <c r="AC305">
        <v>0</v>
      </c>
      <c r="AD305">
        <v>0</v>
      </c>
      <c r="AE305">
        <v>1</v>
      </c>
      <c r="AF305">
        <v>1</v>
      </c>
      <c r="AH305">
        <v>1</v>
      </c>
    </row>
    <row r="306" spans="1:34" x14ac:dyDescent="0.3">
      <c r="A306" s="42">
        <f t="shared" si="25"/>
        <v>64</v>
      </c>
      <c r="B306" s="44">
        <f t="shared" si="24"/>
        <v>0.54838709677419351</v>
      </c>
      <c r="C306">
        <v>0</v>
      </c>
      <c r="D306">
        <v>1</v>
      </c>
      <c r="E306">
        <v>1</v>
      </c>
      <c r="F306">
        <v>0</v>
      </c>
      <c r="G306">
        <v>1</v>
      </c>
      <c r="H306">
        <v>1</v>
      </c>
      <c r="I306">
        <v>1</v>
      </c>
      <c r="J306">
        <v>1</v>
      </c>
      <c r="K306">
        <v>0</v>
      </c>
      <c r="L306">
        <v>0</v>
      </c>
      <c r="M306">
        <v>1</v>
      </c>
      <c r="N306">
        <v>1</v>
      </c>
      <c r="O306">
        <v>0</v>
      </c>
      <c r="P306">
        <v>1</v>
      </c>
      <c r="Q306">
        <v>0</v>
      </c>
      <c r="R306">
        <v>0</v>
      </c>
      <c r="S306">
        <v>1</v>
      </c>
      <c r="T306">
        <v>1</v>
      </c>
      <c r="U306">
        <v>1</v>
      </c>
      <c r="V306">
        <v>1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0</v>
      </c>
      <c r="AC306">
        <v>0</v>
      </c>
      <c r="AD306">
        <v>1</v>
      </c>
      <c r="AE306">
        <v>1</v>
      </c>
      <c r="AF306">
        <v>0</v>
      </c>
      <c r="AH306">
        <v>1</v>
      </c>
    </row>
    <row r="307" spans="1:34" x14ac:dyDescent="0.3">
      <c r="A307" s="42">
        <f t="shared" si="25"/>
        <v>65</v>
      </c>
      <c r="B307" s="44">
        <f t="shared" si="24"/>
        <v>0.54838709677419351</v>
      </c>
      <c r="C307">
        <v>0</v>
      </c>
      <c r="D307">
        <v>1</v>
      </c>
      <c r="E307">
        <v>1</v>
      </c>
      <c r="F307">
        <v>0</v>
      </c>
      <c r="G307">
        <v>1</v>
      </c>
      <c r="H307">
        <v>1</v>
      </c>
      <c r="I307">
        <v>1</v>
      </c>
      <c r="J307">
        <v>1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1</v>
      </c>
      <c r="Q307">
        <v>0</v>
      </c>
      <c r="R307">
        <v>0</v>
      </c>
      <c r="S307">
        <v>1</v>
      </c>
      <c r="T307">
        <v>1</v>
      </c>
      <c r="U307">
        <v>1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1</v>
      </c>
      <c r="AB307">
        <v>1</v>
      </c>
      <c r="AC307">
        <v>0</v>
      </c>
      <c r="AD307">
        <v>1</v>
      </c>
      <c r="AE307">
        <v>0</v>
      </c>
      <c r="AF307">
        <v>1</v>
      </c>
      <c r="AH307">
        <v>1</v>
      </c>
    </row>
    <row r="308" spans="1:34" x14ac:dyDescent="0.3">
      <c r="A308" s="42">
        <f t="shared" si="25"/>
        <v>66</v>
      </c>
      <c r="B308" s="44">
        <f t="shared" ref="B308:B314" si="26" xml:space="preserve"> AVERAGE($C308:$AH308)</f>
        <v>0.54838709677419351</v>
      </c>
      <c r="C308">
        <v>0</v>
      </c>
      <c r="D308">
        <v>1</v>
      </c>
      <c r="E308">
        <v>1</v>
      </c>
      <c r="F308">
        <v>0</v>
      </c>
      <c r="G308">
        <v>1</v>
      </c>
      <c r="H308">
        <v>1</v>
      </c>
      <c r="I308">
        <v>1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1</v>
      </c>
      <c r="Q308">
        <v>0</v>
      </c>
      <c r="R308">
        <v>0</v>
      </c>
      <c r="S308">
        <v>1</v>
      </c>
      <c r="T308">
        <v>1</v>
      </c>
      <c r="U308">
        <v>1</v>
      </c>
      <c r="V308">
        <v>0</v>
      </c>
      <c r="W308">
        <v>0</v>
      </c>
      <c r="X308">
        <v>0</v>
      </c>
      <c r="Y308">
        <v>1</v>
      </c>
      <c r="Z308">
        <v>1</v>
      </c>
      <c r="AA308">
        <v>1</v>
      </c>
      <c r="AB308">
        <v>1</v>
      </c>
      <c r="AC308">
        <v>0</v>
      </c>
      <c r="AD308">
        <v>0</v>
      </c>
      <c r="AE308">
        <v>1</v>
      </c>
      <c r="AF308">
        <v>1</v>
      </c>
      <c r="AH308">
        <v>1</v>
      </c>
    </row>
    <row r="309" spans="1:34" x14ac:dyDescent="0.3">
      <c r="A309" s="42">
        <f t="shared" ref="A309:A314" si="27" xml:space="preserve"> A308 + 1</f>
        <v>67</v>
      </c>
      <c r="B309" s="44">
        <f t="shared" si="26"/>
        <v>0.67741935483870963</v>
      </c>
      <c r="C309">
        <v>1</v>
      </c>
      <c r="D309">
        <v>0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1</v>
      </c>
      <c r="R309">
        <v>0</v>
      </c>
      <c r="S309">
        <v>1</v>
      </c>
      <c r="T309">
        <v>1</v>
      </c>
      <c r="U309">
        <v>1</v>
      </c>
      <c r="V309">
        <v>1</v>
      </c>
      <c r="W309">
        <v>0</v>
      </c>
      <c r="X309">
        <v>0</v>
      </c>
      <c r="Y309">
        <v>1</v>
      </c>
      <c r="Z309">
        <v>1</v>
      </c>
      <c r="AA309">
        <v>1</v>
      </c>
      <c r="AB309">
        <v>1</v>
      </c>
      <c r="AC309">
        <v>0</v>
      </c>
      <c r="AD309">
        <v>1</v>
      </c>
      <c r="AE309">
        <v>1</v>
      </c>
      <c r="AF309">
        <v>1</v>
      </c>
      <c r="AH309">
        <v>1</v>
      </c>
    </row>
    <row r="310" spans="1:34" x14ac:dyDescent="0.3">
      <c r="A310" s="42">
        <f t="shared" si="27"/>
        <v>68</v>
      </c>
      <c r="B310" s="44">
        <f t="shared" si="26"/>
        <v>0.64516129032258063</v>
      </c>
      <c r="C310">
        <v>0</v>
      </c>
      <c r="D310">
        <v>0</v>
      </c>
      <c r="E310">
        <v>1</v>
      </c>
      <c r="F310">
        <v>0</v>
      </c>
      <c r="G310">
        <v>1</v>
      </c>
      <c r="H310">
        <v>1</v>
      </c>
      <c r="I310">
        <v>1</v>
      </c>
      <c r="J310">
        <v>1</v>
      </c>
      <c r="K310">
        <v>0</v>
      </c>
      <c r="L310">
        <v>1</v>
      </c>
      <c r="M310">
        <v>1</v>
      </c>
      <c r="N310">
        <v>1</v>
      </c>
      <c r="O310">
        <v>0</v>
      </c>
      <c r="P310">
        <v>1</v>
      </c>
      <c r="Q310">
        <v>0</v>
      </c>
      <c r="R310">
        <v>0</v>
      </c>
      <c r="S310">
        <v>1</v>
      </c>
      <c r="T310">
        <v>1</v>
      </c>
      <c r="U310">
        <v>0</v>
      </c>
      <c r="V310">
        <v>1</v>
      </c>
      <c r="W310">
        <v>0</v>
      </c>
      <c r="X310">
        <v>0</v>
      </c>
      <c r="Y310">
        <v>1</v>
      </c>
      <c r="Z310">
        <v>1</v>
      </c>
      <c r="AA310">
        <v>1</v>
      </c>
      <c r="AB310">
        <v>1</v>
      </c>
      <c r="AC310">
        <v>0</v>
      </c>
      <c r="AD310">
        <v>1</v>
      </c>
      <c r="AE310">
        <v>1</v>
      </c>
      <c r="AF310">
        <v>1</v>
      </c>
      <c r="AH310">
        <v>1</v>
      </c>
    </row>
    <row r="311" spans="1:34" x14ac:dyDescent="0.3">
      <c r="A311" s="42">
        <f t="shared" si="27"/>
        <v>69</v>
      </c>
      <c r="B311" s="44">
        <f t="shared" si="26"/>
        <v>0.67741935483870963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1</v>
      </c>
      <c r="Q311">
        <v>0</v>
      </c>
      <c r="R311">
        <v>0</v>
      </c>
      <c r="S311">
        <v>1</v>
      </c>
      <c r="T311">
        <v>1</v>
      </c>
      <c r="U311">
        <v>0</v>
      </c>
      <c r="V311">
        <v>1</v>
      </c>
      <c r="W311">
        <v>0</v>
      </c>
      <c r="X311">
        <v>0</v>
      </c>
      <c r="Y311">
        <v>0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H311">
        <v>1</v>
      </c>
    </row>
    <row r="312" spans="1:34" x14ac:dyDescent="0.3">
      <c r="A312" s="42">
        <f t="shared" si="27"/>
        <v>70</v>
      </c>
      <c r="B312" s="44">
        <f t="shared" si="26"/>
        <v>0.70967741935483875</v>
      </c>
      <c r="C312">
        <v>1</v>
      </c>
      <c r="D312">
        <v>0</v>
      </c>
      <c r="E312">
        <v>1</v>
      </c>
      <c r="F312">
        <v>0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0</v>
      </c>
      <c r="M312">
        <v>1</v>
      </c>
      <c r="N312">
        <v>0</v>
      </c>
      <c r="O312">
        <v>1</v>
      </c>
      <c r="P312">
        <v>1</v>
      </c>
      <c r="Q312">
        <v>0</v>
      </c>
      <c r="R312">
        <v>0</v>
      </c>
      <c r="S312">
        <v>1</v>
      </c>
      <c r="T312">
        <v>1</v>
      </c>
      <c r="U312">
        <v>1</v>
      </c>
      <c r="V312">
        <v>1</v>
      </c>
      <c r="W312">
        <v>0</v>
      </c>
      <c r="X312">
        <v>0</v>
      </c>
      <c r="Y312">
        <v>1</v>
      </c>
      <c r="Z312">
        <v>1</v>
      </c>
      <c r="AA312">
        <v>1</v>
      </c>
      <c r="AB312">
        <v>1</v>
      </c>
      <c r="AC312">
        <v>0</v>
      </c>
      <c r="AD312">
        <v>1</v>
      </c>
      <c r="AE312">
        <v>1</v>
      </c>
      <c r="AF312">
        <v>1</v>
      </c>
      <c r="AH312">
        <v>1</v>
      </c>
    </row>
    <row r="313" spans="1:34" x14ac:dyDescent="0.3">
      <c r="A313" s="42">
        <f t="shared" si="27"/>
        <v>71</v>
      </c>
      <c r="B313" s="44">
        <f t="shared" si="26"/>
        <v>0.70967741935483875</v>
      </c>
      <c r="C313">
        <v>1</v>
      </c>
      <c r="D313">
        <v>1</v>
      </c>
      <c r="E313">
        <v>1</v>
      </c>
      <c r="F313">
        <v>0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0</v>
      </c>
      <c r="M313">
        <v>1</v>
      </c>
      <c r="N313">
        <v>0</v>
      </c>
      <c r="O313">
        <v>1</v>
      </c>
      <c r="P313">
        <v>1</v>
      </c>
      <c r="Q313">
        <v>0</v>
      </c>
      <c r="R313">
        <v>0</v>
      </c>
      <c r="S313">
        <v>1</v>
      </c>
      <c r="T313">
        <v>1</v>
      </c>
      <c r="U313">
        <v>1</v>
      </c>
      <c r="V313">
        <v>0</v>
      </c>
      <c r="W313">
        <v>0</v>
      </c>
      <c r="X313">
        <v>0</v>
      </c>
      <c r="Y313">
        <v>1</v>
      </c>
      <c r="Z313">
        <v>1</v>
      </c>
      <c r="AA313">
        <v>1</v>
      </c>
      <c r="AB313">
        <v>1</v>
      </c>
      <c r="AC313">
        <v>0</v>
      </c>
      <c r="AD313">
        <v>1</v>
      </c>
      <c r="AE313">
        <v>1</v>
      </c>
      <c r="AF313">
        <v>1</v>
      </c>
      <c r="AH313">
        <v>1</v>
      </c>
    </row>
    <row r="314" spans="1:34" x14ac:dyDescent="0.3">
      <c r="A314" s="42">
        <f t="shared" si="27"/>
        <v>72</v>
      </c>
      <c r="B314" s="44">
        <f t="shared" si="26"/>
        <v>0.61290322580645162</v>
      </c>
      <c r="C314">
        <v>0</v>
      </c>
      <c r="D314">
        <v>0</v>
      </c>
      <c r="E314">
        <v>1</v>
      </c>
      <c r="F314">
        <v>0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0</v>
      </c>
      <c r="M314">
        <v>1</v>
      </c>
      <c r="N314">
        <v>0</v>
      </c>
      <c r="O314">
        <v>0</v>
      </c>
      <c r="P314">
        <v>1</v>
      </c>
      <c r="Q314">
        <v>1</v>
      </c>
      <c r="R314">
        <v>0</v>
      </c>
      <c r="S314">
        <v>1</v>
      </c>
      <c r="T314">
        <v>1</v>
      </c>
      <c r="U314">
        <v>1</v>
      </c>
      <c r="V314">
        <v>1</v>
      </c>
      <c r="W314">
        <v>0</v>
      </c>
      <c r="X314">
        <v>0</v>
      </c>
      <c r="Y314">
        <v>1</v>
      </c>
      <c r="Z314">
        <v>1</v>
      </c>
      <c r="AA314">
        <v>1</v>
      </c>
      <c r="AB314">
        <v>0</v>
      </c>
      <c r="AC314">
        <v>0</v>
      </c>
      <c r="AD314">
        <v>1</v>
      </c>
      <c r="AE314">
        <v>1</v>
      </c>
      <c r="AF314">
        <v>0</v>
      </c>
      <c r="AH314">
        <v>1</v>
      </c>
    </row>
    <row r="315" spans="1:34" x14ac:dyDescent="0.3">
      <c r="B315" s="44"/>
    </row>
    <row r="316" spans="1:34" x14ac:dyDescent="0.3">
      <c r="B316" s="44"/>
    </row>
    <row r="317" spans="1:34" x14ac:dyDescent="0.3">
      <c r="B317" s="44"/>
    </row>
    <row r="318" spans="1:34" x14ac:dyDescent="0.3">
      <c r="B318" s="44"/>
    </row>
    <row r="319" spans="1:34" x14ac:dyDescent="0.3">
      <c r="B319" s="44"/>
    </row>
    <row r="320" spans="1:34" x14ac:dyDescent="0.3">
      <c r="B320" s="44"/>
    </row>
    <row r="321" spans="1:34" x14ac:dyDescent="0.3">
      <c r="A321" s="45"/>
      <c r="B321" s="71" t="s">
        <v>177</v>
      </c>
      <c r="C321" s="71"/>
      <c r="D321" s="48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</row>
    <row r="322" spans="1:34" s="49" customFormat="1" x14ac:dyDescent="0.3">
      <c r="A322" s="49" t="s">
        <v>141</v>
      </c>
      <c r="B322" s="52" t="s">
        <v>116</v>
      </c>
      <c r="C322" s="49" t="s">
        <v>142</v>
      </c>
      <c r="D322" s="49" t="s">
        <v>143</v>
      </c>
      <c r="E322" s="49" t="s">
        <v>144</v>
      </c>
      <c r="F322" s="49" t="s">
        <v>145</v>
      </c>
      <c r="G322" s="49" t="s">
        <v>146</v>
      </c>
      <c r="H322" s="49" t="s">
        <v>147</v>
      </c>
      <c r="I322" s="49" t="s">
        <v>148</v>
      </c>
      <c r="J322" s="49" t="s">
        <v>149</v>
      </c>
      <c r="K322" s="49" t="s">
        <v>150</v>
      </c>
      <c r="L322" s="49" t="s">
        <v>151</v>
      </c>
      <c r="M322" s="49" t="s">
        <v>152</v>
      </c>
      <c r="N322" s="49" t="s">
        <v>153</v>
      </c>
      <c r="O322" s="49" t="s">
        <v>154</v>
      </c>
      <c r="P322" s="49" t="s">
        <v>155</v>
      </c>
      <c r="Q322" s="49" t="s">
        <v>156</v>
      </c>
      <c r="R322" s="49" t="s">
        <v>157</v>
      </c>
      <c r="S322" s="49" t="s">
        <v>158</v>
      </c>
      <c r="T322" s="49" t="s">
        <v>159</v>
      </c>
      <c r="U322" s="49" t="s">
        <v>160</v>
      </c>
      <c r="V322" s="49" t="s">
        <v>161</v>
      </c>
      <c r="W322" s="49" t="s">
        <v>162</v>
      </c>
      <c r="X322" s="49" t="s">
        <v>163</v>
      </c>
      <c r="Y322" s="49" t="s">
        <v>164</v>
      </c>
      <c r="Z322" s="49" t="s">
        <v>165</v>
      </c>
      <c r="AA322" s="49" t="s">
        <v>166</v>
      </c>
      <c r="AB322" s="49" t="s">
        <v>167</v>
      </c>
      <c r="AC322" s="49" t="s">
        <v>168</v>
      </c>
      <c r="AD322" s="49" t="s">
        <v>173</v>
      </c>
      <c r="AE322" s="49" t="s">
        <v>169</v>
      </c>
      <c r="AF322" s="49" t="s">
        <v>170</v>
      </c>
      <c r="AG322" s="49" t="s">
        <v>171</v>
      </c>
      <c r="AH322" s="49" t="s">
        <v>172</v>
      </c>
    </row>
    <row r="323" spans="1:34" x14ac:dyDescent="0.3">
      <c r="A323" s="42">
        <v>1</v>
      </c>
      <c r="B323" s="44">
        <f xml:space="preserve"> AVERAGE($C323:$AH323)</f>
        <v>0.1875</v>
      </c>
      <c r="C323">
        <v>0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1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1</v>
      </c>
      <c r="P323">
        <v>0</v>
      </c>
      <c r="Q323">
        <v>0</v>
      </c>
      <c r="R323">
        <v>0</v>
      </c>
      <c r="S323">
        <v>0</v>
      </c>
      <c r="T323">
        <v>1</v>
      </c>
      <c r="U323">
        <v>0</v>
      </c>
      <c r="V323">
        <v>0</v>
      </c>
      <c r="W323">
        <v>1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</row>
    <row r="324" spans="1:34" x14ac:dyDescent="0.3">
      <c r="A324" s="42">
        <f xml:space="preserve"> A323 + 1</f>
        <v>2</v>
      </c>
      <c r="B324" s="44">
        <f t="shared" ref="B324:B387" si="28" xml:space="preserve"> AVERAGE($C324:$AH324)</f>
        <v>0.5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1</v>
      </c>
      <c r="M324">
        <v>1</v>
      </c>
      <c r="N324">
        <v>0</v>
      </c>
      <c r="O324">
        <v>1</v>
      </c>
      <c r="P324">
        <v>0</v>
      </c>
      <c r="Q324">
        <v>1</v>
      </c>
      <c r="R324">
        <v>0</v>
      </c>
      <c r="S324">
        <v>0</v>
      </c>
      <c r="T324">
        <v>0</v>
      </c>
      <c r="U324">
        <v>1</v>
      </c>
      <c r="V324">
        <v>1</v>
      </c>
      <c r="W324">
        <v>1</v>
      </c>
      <c r="X324">
        <v>0</v>
      </c>
      <c r="Y324">
        <v>0</v>
      </c>
      <c r="Z324">
        <v>1</v>
      </c>
      <c r="AA324">
        <v>0</v>
      </c>
      <c r="AB324">
        <v>0</v>
      </c>
      <c r="AC324">
        <v>1</v>
      </c>
      <c r="AD324">
        <v>1</v>
      </c>
      <c r="AE324">
        <v>1</v>
      </c>
      <c r="AF324">
        <v>0</v>
      </c>
      <c r="AG324">
        <v>1</v>
      </c>
      <c r="AH324">
        <v>1</v>
      </c>
    </row>
    <row r="325" spans="1:34" x14ac:dyDescent="0.3">
      <c r="A325" s="42">
        <f t="shared" ref="A325:A388" si="29" xml:space="preserve"> A324 + 1</f>
        <v>3</v>
      </c>
      <c r="B325" s="44">
        <f t="shared" si="28"/>
        <v>0.25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1</v>
      </c>
      <c r="R325">
        <v>0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</v>
      </c>
      <c r="AC325">
        <v>0</v>
      </c>
      <c r="AD325">
        <v>0</v>
      </c>
      <c r="AE325">
        <v>0</v>
      </c>
      <c r="AF325">
        <v>1</v>
      </c>
      <c r="AG325">
        <v>0</v>
      </c>
      <c r="AH325">
        <v>1</v>
      </c>
    </row>
    <row r="326" spans="1:34" x14ac:dyDescent="0.3">
      <c r="A326" s="42">
        <f t="shared" si="29"/>
        <v>4</v>
      </c>
      <c r="B326" s="44">
        <f t="shared" si="28"/>
        <v>0.25</v>
      </c>
      <c r="C326">
        <v>0</v>
      </c>
      <c r="D326">
        <v>0</v>
      </c>
      <c r="E326">
        <v>0</v>
      </c>
      <c r="F326">
        <v>0</v>
      </c>
      <c r="G326">
        <v>1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</v>
      </c>
      <c r="U326">
        <v>1</v>
      </c>
      <c r="V326">
        <v>0</v>
      </c>
      <c r="W326">
        <v>0</v>
      </c>
      <c r="X326">
        <v>1</v>
      </c>
      <c r="Y326">
        <v>0</v>
      </c>
      <c r="Z326">
        <v>0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1</v>
      </c>
      <c r="AG326">
        <v>0</v>
      </c>
      <c r="AH326">
        <v>0</v>
      </c>
    </row>
    <row r="327" spans="1:34" x14ac:dyDescent="0.3">
      <c r="A327" s="42">
        <f t="shared" si="29"/>
        <v>5</v>
      </c>
      <c r="B327" s="44">
        <f t="shared" si="28"/>
        <v>9.375E-2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1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</row>
    <row r="328" spans="1:34" x14ac:dyDescent="0.3">
      <c r="A328" s="42">
        <f t="shared" si="29"/>
        <v>6</v>
      </c>
      <c r="B328" s="44">
        <f t="shared" si="28"/>
        <v>0.21875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1</v>
      </c>
      <c r="J328">
        <v>0</v>
      </c>
      <c r="K328">
        <v>1</v>
      </c>
      <c r="L328">
        <v>1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</row>
    <row r="329" spans="1:34" x14ac:dyDescent="0.3">
      <c r="A329" s="42">
        <f t="shared" si="29"/>
        <v>7</v>
      </c>
      <c r="B329" s="44">
        <f t="shared" si="28"/>
        <v>0.125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1</v>
      </c>
      <c r="U329">
        <v>0</v>
      </c>
      <c r="V329">
        <v>1</v>
      </c>
      <c r="W329">
        <v>1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</row>
    <row r="330" spans="1:34" x14ac:dyDescent="0.3">
      <c r="A330" s="42">
        <f t="shared" si="29"/>
        <v>8</v>
      </c>
      <c r="B330" s="44">
        <f t="shared" si="28"/>
        <v>0.25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1</v>
      </c>
      <c r="L330">
        <v>1</v>
      </c>
      <c r="M330">
        <v>0</v>
      </c>
      <c r="N330">
        <v>0</v>
      </c>
      <c r="O330">
        <v>0</v>
      </c>
      <c r="P330">
        <v>1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</row>
    <row r="331" spans="1:34" x14ac:dyDescent="0.3">
      <c r="A331" s="42">
        <f t="shared" si="29"/>
        <v>9</v>
      </c>
      <c r="B331" s="44">
        <f t="shared" si="28"/>
        <v>0.34375</v>
      </c>
      <c r="C331">
        <v>1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1</v>
      </c>
      <c r="L331">
        <v>1</v>
      </c>
      <c r="M331">
        <v>0</v>
      </c>
      <c r="N331">
        <v>0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1</v>
      </c>
      <c r="Y331">
        <v>0</v>
      </c>
      <c r="Z331">
        <v>0</v>
      </c>
      <c r="AA331">
        <v>0</v>
      </c>
      <c r="AB331">
        <v>0</v>
      </c>
      <c r="AC331">
        <v>1</v>
      </c>
      <c r="AD331">
        <v>1</v>
      </c>
      <c r="AE331">
        <v>0</v>
      </c>
      <c r="AF331">
        <v>0</v>
      </c>
      <c r="AG331">
        <v>1</v>
      </c>
      <c r="AH331">
        <v>1</v>
      </c>
    </row>
    <row r="332" spans="1:34" x14ac:dyDescent="0.3">
      <c r="A332" s="42">
        <f t="shared" si="29"/>
        <v>10</v>
      </c>
      <c r="B332" s="44">
        <f t="shared" si="28"/>
        <v>0.59375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1</v>
      </c>
      <c r="I332">
        <v>1</v>
      </c>
      <c r="J332">
        <v>0</v>
      </c>
      <c r="K332">
        <v>0</v>
      </c>
      <c r="L332">
        <v>1</v>
      </c>
      <c r="M332">
        <v>0</v>
      </c>
      <c r="N332">
        <v>1</v>
      </c>
      <c r="O332">
        <v>1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1</v>
      </c>
      <c r="W332">
        <v>1</v>
      </c>
      <c r="X332">
        <v>0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0</v>
      </c>
      <c r="AF332">
        <v>0</v>
      </c>
      <c r="AG332">
        <v>0</v>
      </c>
      <c r="AH332">
        <v>0</v>
      </c>
    </row>
    <row r="333" spans="1:34" x14ac:dyDescent="0.3">
      <c r="A333" s="42">
        <f t="shared" si="29"/>
        <v>11</v>
      </c>
      <c r="B333" s="44">
        <f t="shared" si="28"/>
        <v>6.25E-2</v>
      </c>
      <c r="C333">
        <v>0</v>
      </c>
      <c r="D333">
        <v>0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1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</row>
    <row r="334" spans="1:34" x14ac:dyDescent="0.3">
      <c r="A334" s="42">
        <f t="shared" si="29"/>
        <v>12</v>
      </c>
      <c r="B334" s="44">
        <f t="shared" si="28"/>
        <v>9.375E-2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1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</row>
    <row r="335" spans="1:34" x14ac:dyDescent="0.3">
      <c r="A335" s="42">
        <f t="shared" si="29"/>
        <v>13</v>
      </c>
      <c r="B335" s="44">
        <f t="shared" si="28"/>
        <v>0.21875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0</v>
      </c>
      <c r="Z335">
        <v>1</v>
      </c>
      <c r="AA335">
        <v>1</v>
      </c>
      <c r="AB335">
        <v>1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4" x14ac:dyDescent="0.3">
      <c r="A336" s="42">
        <f t="shared" si="29"/>
        <v>14</v>
      </c>
      <c r="B336" s="44">
        <f t="shared" si="28"/>
        <v>6.25E-2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</v>
      </c>
      <c r="Q336">
        <v>0</v>
      </c>
      <c r="R336">
        <v>0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</row>
    <row r="337" spans="1:34" x14ac:dyDescent="0.3">
      <c r="A337" s="42">
        <f t="shared" si="29"/>
        <v>15</v>
      </c>
      <c r="B337" s="44">
        <f t="shared" si="28"/>
        <v>9.375E-2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1</v>
      </c>
      <c r="T337">
        <v>0</v>
      </c>
      <c r="U337">
        <v>0</v>
      </c>
      <c r="V337">
        <v>0</v>
      </c>
      <c r="W337">
        <v>1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</v>
      </c>
      <c r="AE337">
        <v>0</v>
      </c>
      <c r="AF337">
        <v>0</v>
      </c>
      <c r="AG337">
        <v>0</v>
      </c>
      <c r="AH337">
        <v>0</v>
      </c>
    </row>
    <row r="338" spans="1:34" x14ac:dyDescent="0.3">
      <c r="A338" s="42">
        <f t="shared" si="29"/>
        <v>16</v>
      </c>
      <c r="B338" s="44">
        <f t="shared" si="28"/>
        <v>0.125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</v>
      </c>
      <c r="W338">
        <v>0</v>
      </c>
      <c r="X338">
        <v>0</v>
      </c>
      <c r="Y338">
        <v>1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</row>
    <row r="339" spans="1:34" x14ac:dyDescent="0.3">
      <c r="A339" s="42">
        <f t="shared" si="29"/>
        <v>17</v>
      </c>
      <c r="B339" s="44">
        <f t="shared" si="28"/>
        <v>6.25E-2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</row>
    <row r="340" spans="1:34" x14ac:dyDescent="0.3">
      <c r="A340" s="42">
        <f t="shared" si="29"/>
        <v>18</v>
      </c>
      <c r="B340" s="44">
        <f t="shared" si="28"/>
        <v>6.25E-2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</row>
    <row r="341" spans="1:34" x14ac:dyDescent="0.3">
      <c r="A341" s="42">
        <f t="shared" si="29"/>
        <v>19</v>
      </c>
      <c r="B341" s="44">
        <f t="shared" si="28"/>
        <v>0.28125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1</v>
      </c>
      <c r="M341">
        <v>0</v>
      </c>
      <c r="N341">
        <v>1</v>
      </c>
      <c r="O341">
        <v>1</v>
      </c>
      <c r="P341">
        <v>0</v>
      </c>
      <c r="Q341">
        <v>0</v>
      </c>
      <c r="R341">
        <v>0</v>
      </c>
      <c r="S341">
        <v>1</v>
      </c>
      <c r="T341">
        <v>0</v>
      </c>
      <c r="U341">
        <v>1</v>
      </c>
      <c r="V341">
        <v>1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</v>
      </c>
      <c r="AE341">
        <v>0</v>
      </c>
      <c r="AF341">
        <v>0</v>
      </c>
      <c r="AG341">
        <v>0</v>
      </c>
      <c r="AH341">
        <v>0</v>
      </c>
    </row>
    <row r="342" spans="1:34" x14ac:dyDescent="0.3">
      <c r="A342" s="42">
        <f t="shared" si="29"/>
        <v>20</v>
      </c>
      <c r="B342" s="44">
        <f t="shared" si="28"/>
        <v>0.21875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1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1</v>
      </c>
      <c r="AG342">
        <v>0</v>
      </c>
      <c r="AH342">
        <v>0</v>
      </c>
    </row>
    <row r="343" spans="1:34" x14ac:dyDescent="0.3">
      <c r="A343" s="42">
        <f t="shared" si="29"/>
        <v>21</v>
      </c>
      <c r="B343" s="44">
        <f t="shared" si="28"/>
        <v>9.375E-2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1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</row>
    <row r="344" spans="1:34" x14ac:dyDescent="0.3">
      <c r="A344" s="42">
        <f t="shared" si="29"/>
        <v>22</v>
      </c>
      <c r="B344" s="44">
        <f t="shared" si="28"/>
        <v>0.375</v>
      </c>
      <c r="C344">
        <v>1</v>
      </c>
      <c r="D344">
        <v>1</v>
      </c>
      <c r="E344">
        <v>1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1</v>
      </c>
      <c r="P344">
        <v>1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1</v>
      </c>
      <c r="AD344">
        <v>1</v>
      </c>
      <c r="AE344">
        <v>0</v>
      </c>
      <c r="AF344">
        <v>1</v>
      </c>
      <c r="AG344">
        <v>0</v>
      </c>
      <c r="AH344">
        <v>0</v>
      </c>
    </row>
    <row r="345" spans="1:34" x14ac:dyDescent="0.3">
      <c r="A345" s="42">
        <f t="shared" si="29"/>
        <v>23</v>
      </c>
      <c r="B345" s="44">
        <f t="shared" si="28"/>
        <v>0.125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1</v>
      </c>
      <c r="AA345">
        <v>1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</row>
    <row r="346" spans="1:34" x14ac:dyDescent="0.3">
      <c r="A346" s="42">
        <f t="shared" si="29"/>
        <v>24</v>
      </c>
      <c r="B346" s="44">
        <f t="shared" si="28"/>
        <v>0.1875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1</v>
      </c>
      <c r="M346">
        <v>0</v>
      </c>
      <c r="N346">
        <v>0</v>
      </c>
      <c r="O346">
        <v>1</v>
      </c>
      <c r="P346">
        <v>1</v>
      </c>
      <c r="Q346">
        <v>0</v>
      </c>
      <c r="R346">
        <v>0</v>
      </c>
      <c r="S346">
        <v>1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</row>
    <row r="347" spans="1:34" x14ac:dyDescent="0.3">
      <c r="A347" s="42">
        <f t="shared" si="29"/>
        <v>25</v>
      </c>
      <c r="B347" s="44">
        <f t="shared" si="28"/>
        <v>0.125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1</v>
      </c>
      <c r="AC347">
        <v>0</v>
      </c>
      <c r="AD347">
        <v>1</v>
      </c>
      <c r="AE347">
        <v>0</v>
      </c>
      <c r="AF347">
        <v>0</v>
      </c>
      <c r="AG347">
        <v>0</v>
      </c>
      <c r="AH347">
        <v>0</v>
      </c>
    </row>
    <row r="348" spans="1:34" x14ac:dyDescent="0.3">
      <c r="A348" s="42">
        <f t="shared" si="29"/>
        <v>26</v>
      </c>
      <c r="B348" s="44">
        <f t="shared" si="28"/>
        <v>0.1875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1</v>
      </c>
      <c r="T348">
        <v>0</v>
      </c>
      <c r="U348">
        <v>0</v>
      </c>
      <c r="V348">
        <v>0</v>
      </c>
      <c r="W348">
        <v>1</v>
      </c>
      <c r="X348">
        <v>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</v>
      </c>
      <c r="AE348">
        <v>0</v>
      </c>
      <c r="AF348">
        <v>0</v>
      </c>
      <c r="AG348">
        <v>0</v>
      </c>
      <c r="AH348">
        <v>0</v>
      </c>
    </row>
    <row r="349" spans="1:34" x14ac:dyDescent="0.3">
      <c r="A349" s="42">
        <f t="shared" si="29"/>
        <v>27</v>
      </c>
      <c r="B349" s="44">
        <f t="shared" si="28"/>
        <v>0.15625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1</v>
      </c>
      <c r="X349">
        <v>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</v>
      </c>
      <c r="AE349">
        <v>0</v>
      </c>
      <c r="AF349">
        <v>0</v>
      </c>
      <c r="AG349">
        <v>0</v>
      </c>
      <c r="AH349">
        <v>0</v>
      </c>
    </row>
    <row r="350" spans="1:34" x14ac:dyDescent="0.3">
      <c r="A350" s="42">
        <f t="shared" si="29"/>
        <v>28</v>
      </c>
      <c r="B350" s="44">
        <f t="shared" si="28"/>
        <v>9.375E-2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1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</row>
    <row r="351" spans="1:34" x14ac:dyDescent="0.3">
      <c r="A351" s="42">
        <f t="shared" si="29"/>
        <v>29</v>
      </c>
      <c r="B351" s="44">
        <f t="shared" si="28"/>
        <v>6.25E-2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</v>
      </c>
      <c r="AE351">
        <v>0</v>
      </c>
      <c r="AF351">
        <v>0</v>
      </c>
      <c r="AG351">
        <v>0</v>
      </c>
      <c r="AH351">
        <v>0</v>
      </c>
    </row>
    <row r="352" spans="1:34" x14ac:dyDescent="0.3">
      <c r="A352" s="42">
        <f t="shared" si="29"/>
        <v>30</v>
      </c>
      <c r="B352" s="44">
        <f t="shared" si="28"/>
        <v>9.375E-2</v>
      </c>
      <c r="C352">
        <v>0</v>
      </c>
      <c r="D352">
        <v>1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1</v>
      </c>
      <c r="AE352">
        <v>0</v>
      </c>
      <c r="AF352">
        <v>0</v>
      </c>
      <c r="AG352">
        <v>0</v>
      </c>
      <c r="AH352">
        <v>0</v>
      </c>
    </row>
    <row r="353" spans="1:34" x14ac:dyDescent="0.3">
      <c r="A353" s="42">
        <f t="shared" si="29"/>
        <v>31</v>
      </c>
      <c r="B353" s="44">
        <f t="shared" si="28"/>
        <v>0.1875</v>
      </c>
      <c r="C353">
        <v>0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1</v>
      </c>
      <c r="Q353">
        <v>0</v>
      </c>
      <c r="R353">
        <v>0</v>
      </c>
      <c r="S353">
        <v>1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1</v>
      </c>
      <c r="AE353">
        <v>0</v>
      </c>
      <c r="AF353">
        <v>0</v>
      </c>
      <c r="AG353">
        <v>0</v>
      </c>
      <c r="AH353">
        <v>0</v>
      </c>
    </row>
    <row r="354" spans="1:34" x14ac:dyDescent="0.3">
      <c r="A354" s="42">
        <f t="shared" si="29"/>
        <v>32</v>
      </c>
      <c r="B354" s="44">
        <f t="shared" si="28"/>
        <v>0.15625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0</v>
      </c>
      <c r="R354">
        <v>0</v>
      </c>
      <c r="S354">
        <v>0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</row>
    <row r="355" spans="1:34" x14ac:dyDescent="0.3">
      <c r="A355" s="42">
        <f t="shared" si="29"/>
        <v>33</v>
      </c>
      <c r="B355" s="44">
        <f t="shared" si="28"/>
        <v>0.125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1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</row>
    <row r="356" spans="1:34" x14ac:dyDescent="0.3">
      <c r="A356" s="42">
        <f t="shared" si="29"/>
        <v>34</v>
      </c>
      <c r="B356" s="44">
        <f t="shared" si="28"/>
        <v>0.15625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1</v>
      </c>
      <c r="V356">
        <v>0</v>
      </c>
      <c r="W356">
        <v>1</v>
      </c>
      <c r="X356">
        <v>1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1</v>
      </c>
      <c r="AE356">
        <v>0</v>
      </c>
      <c r="AF356">
        <v>0</v>
      </c>
      <c r="AG356">
        <v>0</v>
      </c>
      <c r="AH356">
        <v>0</v>
      </c>
    </row>
    <row r="357" spans="1:34" x14ac:dyDescent="0.3">
      <c r="A357" s="42">
        <f t="shared" si="29"/>
        <v>35</v>
      </c>
      <c r="B357" s="44">
        <f t="shared" si="28"/>
        <v>6.25E-2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</row>
    <row r="358" spans="1:34" x14ac:dyDescent="0.3">
      <c r="A358" s="42">
        <f t="shared" si="29"/>
        <v>36</v>
      </c>
      <c r="B358" s="44">
        <f t="shared" si="28"/>
        <v>0.15625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0</v>
      </c>
      <c r="V358">
        <v>0</v>
      </c>
      <c r="W358">
        <v>1</v>
      </c>
      <c r="X358">
        <v>0</v>
      </c>
      <c r="Y358">
        <v>0</v>
      </c>
      <c r="Z358">
        <v>1</v>
      </c>
      <c r="AA358">
        <v>0</v>
      </c>
      <c r="AB358">
        <v>1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</row>
    <row r="359" spans="1:34" x14ac:dyDescent="0.3">
      <c r="A359" s="42">
        <f t="shared" si="29"/>
        <v>37</v>
      </c>
      <c r="B359" s="44">
        <f t="shared" si="28"/>
        <v>0.1875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</row>
    <row r="360" spans="1:34" x14ac:dyDescent="0.3">
      <c r="A360" s="42">
        <f t="shared" si="29"/>
        <v>38</v>
      </c>
      <c r="B360" s="44">
        <f t="shared" si="28"/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</row>
    <row r="361" spans="1:34" x14ac:dyDescent="0.3">
      <c r="A361" s="42">
        <f t="shared" si="29"/>
        <v>39</v>
      </c>
      <c r="B361" s="44">
        <f t="shared" si="28"/>
        <v>9.375E-2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</row>
    <row r="362" spans="1:34" x14ac:dyDescent="0.3">
      <c r="A362" s="42">
        <f t="shared" si="29"/>
        <v>40</v>
      </c>
      <c r="B362" s="44">
        <f t="shared" si="28"/>
        <v>6.25E-2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</row>
    <row r="363" spans="1:34" x14ac:dyDescent="0.3">
      <c r="A363" s="42">
        <f t="shared" si="29"/>
        <v>41</v>
      </c>
      <c r="B363" s="44">
        <f t="shared" si="28"/>
        <v>3.125E-2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1</v>
      </c>
      <c r="AE363">
        <v>0</v>
      </c>
      <c r="AF363">
        <v>0</v>
      </c>
      <c r="AG363">
        <v>0</v>
      </c>
      <c r="AH363">
        <v>0</v>
      </c>
    </row>
    <row r="364" spans="1:34" x14ac:dyDescent="0.3">
      <c r="A364" s="42">
        <f t="shared" si="29"/>
        <v>42</v>
      </c>
      <c r="B364" s="44">
        <f t="shared" si="28"/>
        <v>9.375E-2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0</v>
      </c>
      <c r="AF364">
        <v>0</v>
      </c>
      <c r="AG364">
        <v>0</v>
      </c>
      <c r="AH364">
        <v>0</v>
      </c>
    </row>
    <row r="365" spans="1:34" x14ac:dyDescent="0.3">
      <c r="A365" s="42">
        <f t="shared" si="29"/>
        <v>43</v>
      </c>
      <c r="B365" s="44">
        <f t="shared" si="28"/>
        <v>3.125E-2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1</v>
      </c>
      <c r="AE365">
        <v>0</v>
      </c>
      <c r="AF365">
        <v>0</v>
      </c>
      <c r="AG365">
        <v>0</v>
      </c>
      <c r="AH365">
        <v>0</v>
      </c>
    </row>
    <row r="366" spans="1:34" x14ac:dyDescent="0.3">
      <c r="A366" s="42">
        <f t="shared" si="29"/>
        <v>44</v>
      </c>
      <c r="B366" s="44">
        <f t="shared" si="28"/>
        <v>9.375E-2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1</v>
      </c>
      <c r="L366">
        <v>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</row>
    <row r="367" spans="1:34" x14ac:dyDescent="0.3">
      <c r="A367" s="42">
        <f t="shared" si="29"/>
        <v>45</v>
      </c>
      <c r="B367" s="44">
        <f t="shared" si="28"/>
        <v>3.125E-2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</row>
    <row r="368" spans="1:34" x14ac:dyDescent="0.3">
      <c r="A368" s="42">
        <f t="shared" si="29"/>
        <v>46</v>
      </c>
      <c r="B368" s="44">
        <f t="shared" si="28"/>
        <v>3.125E-2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</row>
    <row r="369" spans="1:34" x14ac:dyDescent="0.3">
      <c r="A369" s="42">
        <f t="shared" si="29"/>
        <v>47</v>
      </c>
      <c r="B369" s="44">
        <f t="shared" si="28"/>
        <v>0.15625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1</v>
      </c>
      <c r="N369">
        <v>1</v>
      </c>
      <c r="O369">
        <v>0</v>
      </c>
      <c r="P369">
        <v>0</v>
      </c>
      <c r="Q369">
        <v>0</v>
      </c>
      <c r="R369">
        <v>0</v>
      </c>
      <c r="S369">
        <v>1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</row>
    <row r="370" spans="1:34" x14ac:dyDescent="0.3">
      <c r="A370" s="42">
        <f t="shared" si="29"/>
        <v>48</v>
      </c>
      <c r="B370" s="44">
        <f t="shared" si="28"/>
        <v>0.15625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1</v>
      </c>
      <c r="O370">
        <v>0</v>
      </c>
      <c r="P370">
        <v>0</v>
      </c>
      <c r="Q370">
        <v>0</v>
      </c>
      <c r="R370">
        <v>0</v>
      </c>
      <c r="S370">
        <v>1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1</v>
      </c>
      <c r="AF370">
        <v>0</v>
      </c>
      <c r="AG370">
        <v>0</v>
      </c>
      <c r="AH370">
        <v>0</v>
      </c>
    </row>
    <row r="371" spans="1:34" x14ac:dyDescent="0.3">
      <c r="A371" s="42">
        <f t="shared" si="29"/>
        <v>49</v>
      </c>
      <c r="B371" s="44">
        <f t="shared" si="28"/>
        <v>9.375E-2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</row>
    <row r="372" spans="1:34" x14ac:dyDescent="0.3">
      <c r="A372" s="42">
        <f t="shared" si="29"/>
        <v>50</v>
      </c>
      <c r="B372" s="44">
        <f t="shared" si="28"/>
        <v>0.1875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1</v>
      </c>
      <c r="AE372">
        <v>0</v>
      </c>
      <c r="AF372">
        <v>0</v>
      </c>
      <c r="AG372">
        <v>0</v>
      </c>
      <c r="AH372">
        <v>0</v>
      </c>
    </row>
    <row r="373" spans="1:34" x14ac:dyDescent="0.3">
      <c r="A373" s="42">
        <f t="shared" si="29"/>
        <v>51</v>
      </c>
      <c r="B373" s="44">
        <f t="shared" si="28"/>
        <v>0.15625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1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1</v>
      </c>
      <c r="AD373">
        <v>0</v>
      </c>
      <c r="AE373">
        <v>0</v>
      </c>
      <c r="AF373">
        <v>0</v>
      </c>
      <c r="AG373">
        <v>0</v>
      </c>
      <c r="AH373">
        <v>0</v>
      </c>
    </row>
    <row r="374" spans="1:34" x14ac:dyDescent="0.3">
      <c r="A374" s="42">
        <f t="shared" si="29"/>
        <v>52</v>
      </c>
      <c r="B374" s="44">
        <f t="shared" si="28"/>
        <v>0.15625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</v>
      </c>
      <c r="T374">
        <v>0</v>
      </c>
      <c r="U374">
        <v>0</v>
      </c>
      <c r="V374">
        <v>0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</row>
    <row r="375" spans="1:34" x14ac:dyDescent="0.3">
      <c r="A375" s="42">
        <f t="shared" si="29"/>
        <v>53</v>
      </c>
      <c r="B375" s="44">
        <f t="shared" si="28"/>
        <v>3.125E-2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</row>
    <row r="376" spans="1:34" x14ac:dyDescent="0.3">
      <c r="A376" s="42">
        <f t="shared" si="29"/>
        <v>54</v>
      </c>
      <c r="B376" s="44">
        <f t="shared" si="28"/>
        <v>0.1875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1</v>
      </c>
      <c r="L376">
        <v>1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1</v>
      </c>
      <c r="AE376">
        <v>0</v>
      </c>
      <c r="AF376">
        <v>0</v>
      </c>
      <c r="AG376">
        <v>0</v>
      </c>
      <c r="AH376">
        <v>0</v>
      </c>
    </row>
    <row r="377" spans="1:34" x14ac:dyDescent="0.3">
      <c r="A377" s="42">
        <f t="shared" si="29"/>
        <v>55</v>
      </c>
      <c r="B377" s="44">
        <f t="shared" si="28"/>
        <v>0.125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1</v>
      </c>
      <c r="AC377">
        <v>1</v>
      </c>
      <c r="AD377">
        <v>0</v>
      </c>
      <c r="AE377">
        <v>0</v>
      </c>
      <c r="AF377">
        <v>0</v>
      </c>
      <c r="AG377">
        <v>0</v>
      </c>
      <c r="AH377">
        <v>0</v>
      </c>
    </row>
    <row r="378" spans="1:34" x14ac:dyDescent="0.3">
      <c r="A378" s="42">
        <f t="shared" si="29"/>
        <v>56</v>
      </c>
      <c r="B378" s="44">
        <f t="shared" si="28"/>
        <v>0.15625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1</v>
      </c>
      <c r="R378">
        <v>0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</row>
    <row r="379" spans="1:34" x14ac:dyDescent="0.3">
      <c r="A379" s="42">
        <f t="shared" si="29"/>
        <v>57</v>
      </c>
      <c r="B379" s="44">
        <f t="shared" si="28"/>
        <v>0.125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</row>
    <row r="380" spans="1:34" x14ac:dyDescent="0.3">
      <c r="A380" s="42">
        <f t="shared" si="29"/>
        <v>58</v>
      </c>
      <c r="B380" s="44">
        <f t="shared" si="28"/>
        <v>9.375E-2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1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</row>
    <row r="381" spans="1:34" x14ac:dyDescent="0.3">
      <c r="A381" s="42">
        <f t="shared" si="29"/>
        <v>59</v>
      </c>
      <c r="B381" s="44">
        <f t="shared" si="28"/>
        <v>0.125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1</v>
      </c>
      <c r="AE381">
        <v>0</v>
      </c>
      <c r="AF381">
        <v>0</v>
      </c>
      <c r="AG381">
        <v>0</v>
      </c>
      <c r="AH381">
        <v>0</v>
      </c>
    </row>
    <row r="382" spans="1:34" x14ac:dyDescent="0.3">
      <c r="A382" s="42">
        <f t="shared" si="29"/>
        <v>60</v>
      </c>
      <c r="B382" s="44">
        <f t="shared" si="28"/>
        <v>6.25E-2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</row>
    <row r="383" spans="1:34" x14ac:dyDescent="0.3">
      <c r="A383" s="42">
        <f t="shared" si="29"/>
        <v>61</v>
      </c>
      <c r="B383" s="44">
        <f t="shared" si="28"/>
        <v>0.1875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0</v>
      </c>
      <c r="O383">
        <v>1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1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v>0</v>
      </c>
    </row>
    <row r="384" spans="1:34" x14ac:dyDescent="0.3">
      <c r="A384" s="42">
        <f t="shared" si="29"/>
        <v>62</v>
      </c>
      <c r="B384" s="44">
        <f t="shared" si="28"/>
        <v>0.125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1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0</v>
      </c>
      <c r="AF384">
        <v>1</v>
      </c>
      <c r="AG384">
        <v>0</v>
      </c>
      <c r="AH384">
        <v>0</v>
      </c>
    </row>
    <row r="385" spans="1:34" x14ac:dyDescent="0.3">
      <c r="A385" s="42">
        <f t="shared" si="29"/>
        <v>63</v>
      </c>
      <c r="B385" s="44">
        <f t="shared" si="28"/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</row>
    <row r="386" spans="1:34" x14ac:dyDescent="0.3">
      <c r="A386" s="42">
        <f t="shared" si="29"/>
        <v>64</v>
      </c>
      <c r="B386" s="44">
        <f t="shared" si="28"/>
        <v>9.375E-2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</row>
    <row r="387" spans="1:34" x14ac:dyDescent="0.3">
      <c r="A387" s="42">
        <f t="shared" si="29"/>
        <v>65</v>
      </c>
      <c r="B387" s="44">
        <f t="shared" si="28"/>
        <v>6.25E-2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</row>
    <row r="388" spans="1:34" x14ac:dyDescent="0.3">
      <c r="A388" s="42">
        <f t="shared" si="29"/>
        <v>66</v>
      </c>
      <c r="B388" s="44">
        <f t="shared" ref="B388:B394" si="30" xml:space="preserve"> AVERAGE($C388:$AH388)</f>
        <v>9.375E-2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0</v>
      </c>
      <c r="AF388">
        <v>0</v>
      </c>
      <c r="AG388">
        <v>0</v>
      </c>
      <c r="AH388">
        <v>0</v>
      </c>
    </row>
    <row r="389" spans="1:34" x14ac:dyDescent="0.3">
      <c r="A389" s="42">
        <f t="shared" ref="A389:A394" si="31" xml:space="preserve"> A388 + 1</f>
        <v>67</v>
      </c>
      <c r="B389" s="44">
        <f t="shared" si="30"/>
        <v>3.125E-2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</row>
    <row r="390" spans="1:34" x14ac:dyDescent="0.3">
      <c r="A390" s="42">
        <f t="shared" si="31"/>
        <v>68</v>
      </c>
      <c r="B390" s="44">
        <f t="shared" si="30"/>
        <v>0.15625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</v>
      </c>
      <c r="V390">
        <v>0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0</v>
      </c>
      <c r="AF390">
        <v>0</v>
      </c>
      <c r="AG390">
        <v>0</v>
      </c>
      <c r="AH390">
        <v>0</v>
      </c>
    </row>
    <row r="391" spans="1:34" x14ac:dyDescent="0.3">
      <c r="A391" s="42">
        <f t="shared" si="31"/>
        <v>69</v>
      </c>
      <c r="B391" s="44">
        <f t="shared" si="30"/>
        <v>0.125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1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1</v>
      </c>
      <c r="AE391">
        <v>0</v>
      </c>
      <c r="AF391">
        <v>0</v>
      </c>
      <c r="AG391">
        <v>0</v>
      </c>
      <c r="AH391">
        <v>0</v>
      </c>
    </row>
    <row r="392" spans="1:34" x14ac:dyDescent="0.3">
      <c r="A392" s="42">
        <f t="shared" si="31"/>
        <v>70</v>
      </c>
      <c r="B392" s="44">
        <f t="shared" si="30"/>
        <v>0.15625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1</v>
      </c>
      <c r="AE392">
        <v>0</v>
      </c>
      <c r="AF392">
        <v>0</v>
      </c>
      <c r="AG392">
        <v>0</v>
      </c>
      <c r="AH392">
        <v>0</v>
      </c>
    </row>
    <row r="393" spans="1:34" x14ac:dyDescent="0.3">
      <c r="A393" s="42">
        <f t="shared" si="31"/>
        <v>71</v>
      </c>
      <c r="B393" s="44">
        <f t="shared" si="30"/>
        <v>0.125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0</v>
      </c>
      <c r="V393">
        <v>0</v>
      </c>
      <c r="W393">
        <v>1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1</v>
      </c>
      <c r="AE393">
        <v>0</v>
      </c>
      <c r="AF393">
        <v>0</v>
      </c>
      <c r="AG393">
        <v>0</v>
      </c>
      <c r="AH393">
        <v>0</v>
      </c>
    </row>
    <row r="394" spans="1:34" x14ac:dyDescent="0.3">
      <c r="A394" s="42">
        <f t="shared" si="31"/>
        <v>72</v>
      </c>
      <c r="B394" s="44">
        <f t="shared" si="30"/>
        <v>0.1875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</v>
      </c>
      <c r="T394">
        <v>0</v>
      </c>
      <c r="U394">
        <v>0</v>
      </c>
      <c r="V394">
        <v>0</v>
      </c>
      <c r="W394">
        <v>1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1</v>
      </c>
      <c r="AE394">
        <v>0</v>
      </c>
      <c r="AF394">
        <v>0</v>
      </c>
      <c r="AG394">
        <v>0</v>
      </c>
      <c r="AH394">
        <v>0</v>
      </c>
    </row>
    <row r="401" spans="1:34" x14ac:dyDescent="0.3">
      <c r="A401" s="45"/>
      <c r="B401" s="71" t="s">
        <v>178</v>
      </c>
      <c r="C401" s="71"/>
      <c r="D401" s="48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</row>
    <row r="402" spans="1:34" s="49" customFormat="1" x14ac:dyDescent="0.3">
      <c r="A402" s="49" t="s">
        <v>141</v>
      </c>
      <c r="B402" s="52" t="s">
        <v>116</v>
      </c>
      <c r="C402" s="49" t="s">
        <v>142</v>
      </c>
      <c r="D402" s="49" t="s">
        <v>143</v>
      </c>
      <c r="E402" s="49" t="s">
        <v>144</v>
      </c>
      <c r="F402" s="49" t="s">
        <v>145</v>
      </c>
      <c r="G402" s="49" t="s">
        <v>146</v>
      </c>
      <c r="H402" s="49" t="s">
        <v>147</v>
      </c>
      <c r="I402" s="49" t="s">
        <v>148</v>
      </c>
      <c r="J402" s="49" t="s">
        <v>149</v>
      </c>
      <c r="K402" s="49" t="s">
        <v>150</v>
      </c>
      <c r="L402" s="49" t="s">
        <v>151</v>
      </c>
      <c r="M402" s="49" t="s">
        <v>152</v>
      </c>
      <c r="N402" s="49" t="s">
        <v>153</v>
      </c>
      <c r="O402" s="49" t="s">
        <v>154</v>
      </c>
      <c r="P402" s="49" t="s">
        <v>155</v>
      </c>
      <c r="Q402" s="49" t="s">
        <v>156</v>
      </c>
      <c r="R402" s="49" t="s">
        <v>157</v>
      </c>
      <c r="S402" s="49" t="s">
        <v>158</v>
      </c>
      <c r="T402" s="49" t="s">
        <v>159</v>
      </c>
      <c r="U402" s="49" t="s">
        <v>160</v>
      </c>
      <c r="V402" s="49" t="s">
        <v>161</v>
      </c>
      <c r="W402" s="49" t="s">
        <v>162</v>
      </c>
      <c r="X402" s="49" t="s">
        <v>163</v>
      </c>
      <c r="Y402" s="49" t="s">
        <v>164</v>
      </c>
      <c r="Z402" s="49" t="s">
        <v>165</v>
      </c>
      <c r="AA402" s="49" t="s">
        <v>166</v>
      </c>
      <c r="AB402" s="49" t="s">
        <v>167</v>
      </c>
      <c r="AC402" s="49" t="s">
        <v>168</v>
      </c>
      <c r="AD402" s="49" t="s">
        <v>173</v>
      </c>
      <c r="AE402" s="49" t="s">
        <v>169</v>
      </c>
      <c r="AF402" s="49" t="s">
        <v>170</v>
      </c>
      <c r="AG402" s="49" t="s">
        <v>171</v>
      </c>
      <c r="AH402" s="49" t="s">
        <v>172</v>
      </c>
    </row>
    <row r="403" spans="1:34" x14ac:dyDescent="0.3">
      <c r="A403" s="42">
        <v>1</v>
      </c>
      <c r="B403" s="44">
        <f xml:space="preserve"> AVERAGE($C403:$AH403)</f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</row>
    <row r="404" spans="1:34" x14ac:dyDescent="0.3">
      <c r="A404" s="42">
        <f xml:space="preserve"> A403 + 1</f>
        <v>2</v>
      </c>
      <c r="B404" s="44">
        <f t="shared" ref="B404:B467" si="32" xml:space="preserve"> AVERAGE($C404:$AH404)</f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</row>
    <row r="405" spans="1:34" x14ac:dyDescent="0.3">
      <c r="A405" s="42">
        <f t="shared" ref="A405:A468" si="33" xml:space="preserve"> A404 + 1</f>
        <v>3</v>
      </c>
      <c r="B405" s="44">
        <f t="shared" si="32"/>
        <v>6.25E-2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1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</row>
    <row r="406" spans="1:34" x14ac:dyDescent="0.3">
      <c r="A406" s="42">
        <f t="shared" si="33"/>
        <v>4</v>
      </c>
      <c r="B406" s="44">
        <f t="shared" si="32"/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</row>
    <row r="407" spans="1:34" x14ac:dyDescent="0.3">
      <c r="A407" s="42">
        <f t="shared" si="33"/>
        <v>5</v>
      </c>
      <c r="B407" s="44">
        <f t="shared" si="32"/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</row>
    <row r="408" spans="1:34" x14ac:dyDescent="0.3">
      <c r="A408" s="42">
        <f t="shared" si="33"/>
        <v>6</v>
      </c>
      <c r="B408" s="44">
        <f t="shared" si="32"/>
        <v>6.25E-2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1</v>
      </c>
      <c r="AC408">
        <v>0</v>
      </c>
      <c r="AD408">
        <v>0</v>
      </c>
      <c r="AE408">
        <v>0</v>
      </c>
      <c r="AF408">
        <v>0</v>
      </c>
      <c r="AG408">
        <v>1</v>
      </c>
      <c r="AH408">
        <v>0</v>
      </c>
    </row>
    <row r="409" spans="1:34" x14ac:dyDescent="0.3">
      <c r="A409" s="42">
        <f t="shared" si="33"/>
        <v>7</v>
      </c>
      <c r="B409" s="44">
        <f t="shared" si="32"/>
        <v>9.375E-2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1</v>
      </c>
      <c r="Y409">
        <v>0</v>
      </c>
      <c r="Z409">
        <v>0</v>
      </c>
      <c r="AA409">
        <v>0</v>
      </c>
      <c r="AB409">
        <v>1</v>
      </c>
      <c r="AC409">
        <v>0</v>
      </c>
      <c r="AD409">
        <v>0</v>
      </c>
      <c r="AE409">
        <v>1</v>
      </c>
      <c r="AF409">
        <v>0</v>
      </c>
      <c r="AG409">
        <v>0</v>
      </c>
      <c r="AH409">
        <v>0</v>
      </c>
    </row>
    <row r="410" spans="1:34" x14ac:dyDescent="0.3">
      <c r="A410" s="42">
        <f t="shared" si="33"/>
        <v>8</v>
      </c>
      <c r="B410" s="44">
        <f t="shared" si="32"/>
        <v>6.25E-2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1</v>
      </c>
      <c r="Y410">
        <v>0</v>
      </c>
      <c r="Z410">
        <v>1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</row>
    <row r="411" spans="1:34" x14ac:dyDescent="0.3">
      <c r="A411" s="42">
        <f t="shared" si="33"/>
        <v>9</v>
      </c>
      <c r="B411" s="44">
        <f t="shared" si="32"/>
        <v>6.25E-2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</row>
    <row r="412" spans="1:34" x14ac:dyDescent="0.3">
      <c r="A412" s="42">
        <f t="shared" si="33"/>
        <v>10</v>
      </c>
      <c r="B412" s="44">
        <f t="shared" si="32"/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</row>
    <row r="413" spans="1:34" x14ac:dyDescent="0.3">
      <c r="A413" s="42">
        <f t="shared" si="33"/>
        <v>11</v>
      </c>
      <c r="B413" s="44">
        <f t="shared" si="32"/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</row>
    <row r="414" spans="1:34" x14ac:dyDescent="0.3">
      <c r="A414" s="42">
        <f t="shared" si="33"/>
        <v>12</v>
      </c>
      <c r="B414" s="44">
        <f t="shared" si="32"/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</row>
    <row r="415" spans="1:34" x14ac:dyDescent="0.3">
      <c r="A415" s="42">
        <f t="shared" si="33"/>
        <v>13</v>
      </c>
      <c r="B415" s="44">
        <f t="shared" si="32"/>
        <v>3.125E-2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</row>
    <row r="416" spans="1:34" x14ac:dyDescent="0.3">
      <c r="A416" s="42">
        <f t="shared" si="33"/>
        <v>14</v>
      </c>
      <c r="B416" s="44">
        <f t="shared" si="32"/>
        <v>6.25E-2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1</v>
      </c>
      <c r="Y416">
        <v>0</v>
      </c>
      <c r="Z416">
        <v>0</v>
      </c>
      <c r="AA416">
        <v>0</v>
      </c>
      <c r="AB416">
        <v>1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</row>
    <row r="417" spans="1:34" x14ac:dyDescent="0.3">
      <c r="A417" s="42">
        <f t="shared" si="33"/>
        <v>15</v>
      </c>
      <c r="B417" s="44">
        <f t="shared" si="32"/>
        <v>3.125E-2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</row>
    <row r="418" spans="1:34" x14ac:dyDescent="0.3">
      <c r="A418" s="42">
        <f t="shared" si="33"/>
        <v>16</v>
      </c>
      <c r="B418" s="44">
        <f t="shared" si="32"/>
        <v>3.125E-2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</row>
    <row r="419" spans="1:34" x14ac:dyDescent="0.3">
      <c r="A419" s="42">
        <f t="shared" si="33"/>
        <v>17</v>
      </c>
      <c r="B419" s="44">
        <f t="shared" si="32"/>
        <v>6.25E-2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0</v>
      </c>
      <c r="AA419">
        <v>0</v>
      </c>
      <c r="AB419">
        <v>1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</row>
    <row r="420" spans="1:34" x14ac:dyDescent="0.3">
      <c r="A420" s="42">
        <f t="shared" si="33"/>
        <v>18</v>
      </c>
      <c r="B420" s="44">
        <f t="shared" si="32"/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</row>
    <row r="421" spans="1:34" x14ac:dyDescent="0.3">
      <c r="A421" s="42">
        <f t="shared" si="33"/>
        <v>19</v>
      </c>
      <c r="B421" s="44">
        <f t="shared" si="32"/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</row>
    <row r="422" spans="1:34" x14ac:dyDescent="0.3">
      <c r="A422" s="42">
        <f t="shared" si="33"/>
        <v>20</v>
      </c>
      <c r="B422" s="44">
        <f t="shared" si="32"/>
        <v>9.375E-2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1</v>
      </c>
      <c r="Y422">
        <v>0</v>
      </c>
      <c r="Z422">
        <v>0</v>
      </c>
      <c r="AA422">
        <v>0</v>
      </c>
      <c r="AB422">
        <v>1</v>
      </c>
      <c r="AC422">
        <v>0</v>
      </c>
      <c r="AD422">
        <v>0</v>
      </c>
      <c r="AE422">
        <v>0</v>
      </c>
      <c r="AF422">
        <v>0</v>
      </c>
      <c r="AG422">
        <v>1</v>
      </c>
      <c r="AH422">
        <v>0</v>
      </c>
    </row>
    <row r="423" spans="1:34" x14ac:dyDescent="0.3">
      <c r="A423" s="42">
        <f t="shared" si="33"/>
        <v>21</v>
      </c>
      <c r="B423" s="44">
        <f t="shared" si="32"/>
        <v>3.125E-2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</row>
    <row r="424" spans="1:34" x14ac:dyDescent="0.3">
      <c r="A424" s="42">
        <f t="shared" si="33"/>
        <v>22</v>
      </c>
      <c r="B424" s="44">
        <f t="shared" si="32"/>
        <v>6.25E-2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1</v>
      </c>
      <c r="AC424">
        <v>0</v>
      </c>
      <c r="AD424">
        <v>0</v>
      </c>
      <c r="AE424">
        <v>0</v>
      </c>
      <c r="AF424">
        <v>0</v>
      </c>
      <c r="AG424">
        <v>1</v>
      </c>
      <c r="AH424">
        <v>0</v>
      </c>
    </row>
    <row r="425" spans="1:34" x14ac:dyDescent="0.3">
      <c r="A425" s="42">
        <f t="shared" si="33"/>
        <v>23</v>
      </c>
      <c r="B425" s="44">
        <f t="shared" si="32"/>
        <v>3.125E-2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</row>
    <row r="426" spans="1:34" x14ac:dyDescent="0.3">
      <c r="A426" s="42">
        <f t="shared" si="33"/>
        <v>24</v>
      </c>
      <c r="B426" s="44">
        <f t="shared" si="32"/>
        <v>6.25E-2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1</v>
      </c>
      <c r="AH426">
        <v>0</v>
      </c>
    </row>
    <row r="427" spans="1:34" x14ac:dyDescent="0.3">
      <c r="A427" s="42">
        <f t="shared" si="33"/>
        <v>25</v>
      </c>
      <c r="B427" s="44">
        <f t="shared" si="32"/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</row>
    <row r="428" spans="1:34" x14ac:dyDescent="0.3">
      <c r="A428" s="42">
        <f t="shared" si="33"/>
        <v>26</v>
      </c>
      <c r="B428" s="44">
        <f t="shared" si="32"/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</row>
    <row r="429" spans="1:34" x14ac:dyDescent="0.3">
      <c r="A429" s="42">
        <f t="shared" si="33"/>
        <v>27</v>
      </c>
      <c r="B429" s="44">
        <f t="shared" si="32"/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</row>
    <row r="430" spans="1:34" x14ac:dyDescent="0.3">
      <c r="A430" s="42">
        <f t="shared" si="33"/>
        <v>28</v>
      </c>
      <c r="B430" s="44">
        <f t="shared" si="32"/>
        <v>6.25E-2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</row>
    <row r="431" spans="1:34" x14ac:dyDescent="0.3">
      <c r="A431" s="42">
        <f t="shared" si="33"/>
        <v>29</v>
      </c>
      <c r="B431" s="44">
        <f t="shared" si="32"/>
        <v>3.125E-2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</row>
    <row r="432" spans="1:34" x14ac:dyDescent="0.3">
      <c r="A432" s="42">
        <f t="shared" si="33"/>
        <v>30</v>
      </c>
      <c r="B432" s="44">
        <f t="shared" si="32"/>
        <v>3.125E-2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1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</row>
    <row r="433" spans="1:34" x14ac:dyDescent="0.3">
      <c r="A433" s="42">
        <f t="shared" si="33"/>
        <v>31</v>
      </c>
      <c r="B433" s="44">
        <f t="shared" si="32"/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</row>
    <row r="434" spans="1:34" x14ac:dyDescent="0.3">
      <c r="A434" s="42">
        <f t="shared" si="33"/>
        <v>32</v>
      </c>
      <c r="B434" s="44">
        <f t="shared" si="32"/>
        <v>3.125E-2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</row>
    <row r="435" spans="1:34" x14ac:dyDescent="0.3">
      <c r="A435" s="42">
        <f t="shared" si="33"/>
        <v>33</v>
      </c>
      <c r="B435" s="44">
        <f t="shared" si="32"/>
        <v>3.125E-2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1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</row>
    <row r="436" spans="1:34" x14ac:dyDescent="0.3">
      <c r="A436" s="42">
        <f t="shared" si="33"/>
        <v>34</v>
      </c>
      <c r="B436" s="44">
        <f t="shared" si="32"/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</row>
    <row r="437" spans="1:34" x14ac:dyDescent="0.3">
      <c r="A437" s="42">
        <f t="shared" si="33"/>
        <v>35</v>
      </c>
      <c r="B437" s="44">
        <f t="shared" si="32"/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</row>
    <row r="438" spans="1:34" x14ac:dyDescent="0.3">
      <c r="A438" s="42">
        <f t="shared" si="33"/>
        <v>36</v>
      </c>
      <c r="B438" s="44">
        <f t="shared" si="32"/>
        <v>3.125E-2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1</v>
      </c>
      <c r="AH438">
        <v>0</v>
      </c>
    </row>
    <row r="439" spans="1:34" x14ac:dyDescent="0.3">
      <c r="A439" s="42">
        <f t="shared" si="33"/>
        <v>37</v>
      </c>
      <c r="B439" s="44">
        <f t="shared" si="32"/>
        <v>3.125E-2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</row>
    <row r="440" spans="1:34" x14ac:dyDescent="0.3">
      <c r="A440" s="42">
        <f t="shared" si="33"/>
        <v>38</v>
      </c>
      <c r="B440" s="44">
        <f t="shared" si="32"/>
        <v>6.25E-2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1</v>
      </c>
      <c r="Y440">
        <v>0</v>
      </c>
      <c r="Z440">
        <v>0</v>
      </c>
      <c r="AA440">
        <v>0</v>
      </c>
      <c r="AB440">
        <v>1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</row>
    <row r="441" spans="1:34" x14ac:dyDescent="0.3">
      <c r="A441" s="42">
        <f t="shared" si="33"/>
        <v>39</v>
      </c>
      <c r="B441" s="44">
        <f t="shared" si="32"/>
        <v>3.125E-2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1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</row>
    <row r="442" spans="1:34" x14ac:dyDescent="0.3">
      <c r="A442" s="42">
        <f t="shared" si="33"/>
        <v>40</v>
      </c>
      <c r="B442" s="44">
        <f t="shared" si="32"/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</row>
    <row r="443" spans="1:34" x14ac:dyDescent="0.3">
      <c r="A443" s="42">
        <f t="shared" si="33"/>
        <v>41</v>
      </c>
      <c r="B443" s="44">
        <f t="shared" si="32"/>
        <v>3.125E-2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</row>
    <row r="444" spans="1:34" x14ac:dyDescent="0.3">
      <c r="A444" s="42">
        <f t="shared" si="33"/>
        <v>42</v>
      </c>
      <c r="B444" s="44">
        <f t="shared" si="32"/>
        <v>6.25E-2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1</v>
      </c>
      <c r="Y444">
        <v>0</v>
      </c>
      <c r="Z444">
        <v>0</v>
      </c>
      <c r="AA444">
        <v>0</v>
      </c>
      <c r="AB444">
        <v>1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</row>
    <row r="445" spans="1:34" x14ac:dyDescent="0.3">
      <c r="A445" s="42">
        <f t="shared" si="33"/>
        <v>43</v>
      </c>
      <c r="B445" s="44">
        <f t="shared" si="32"/>
        <v>6.25E-2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1</v>
      </c>
      <c r="Y445">
        <v>0</v>
      </c>
      <c r="Z445">
        <v>0</v>
      </c>
      <c r="AA445">
        <v>0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</row>
    <row r="446" spans="1:34" x14ac:dyDescent="0.3">
      <c r="A446" s="42">
        <f t="shared" si="33"/>
        <v>44</v>
      </c>
      <c r="B446" s="44">
        <f t="shared" si="32"/>
        <v>6.25E-2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1</v>
      </c>
      <c r="Y446">
        <v>0</v>
      </c>
      <c r="Z446">
        <v>0</v>
      </c>
      <c r="AA446">
        <v>0</v>
      </c>
      <c r="AB446">
        <v>1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</row>
    <row r="447" spans="1:34" x14ac:dyDescent="0.3">
      <c r="A447" s="42">
        <f t="shared" si="33"/>
        <v>45</v>
      </c>
      <c r="B447" s="44">
        <f t="shared" si="32"/>
        <v>6.25E-2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1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</row>
    <row r="448" spans="1:34" x14ac:dyDescent="0.3">
      <c r="A448" s="42">
        <f t="shared" si="33"/>
        <v>46</v>
      </c>
      <c r="B448" s="44">
        <f t="shared" si="32"/>
        <v>3.125E-2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1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</row>
    <row r="449" spans="1:34" x14ac:dyDescent="0.3">
      <c r="A449" s="42">
        <f t="shared" si="33"/>
        <v>47</v>
      </c>
      <c r="B449" s="44">
        <f t="shared" si="32"/>
        <v>3.125E-2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1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</row>
    <row r="450" spans="1:34" x14ac:dyDescent="0.3">
      <c r="A450" s="42">
        <f t="shared" si="33"/>
        <v>48</v>
      </c>
      <c r="B450" s="44">
        <f t="shared" si="32"/>
        <v>3.125E-2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1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</row>
    <row r="451" spans="1:34" x14ac:dyDescent="0.3">
      <c r="A451" s="42">
        <f t="shared" si="33"/>
        <v>49</v>
      </c>
      <c r="B451" s="44">
        <f t="shared" si="32"/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</row>
    <row r="452" spans="1:34" x14ac:dyDescent="0.3">
      <c r="A452" s="42">
        <f t="shared" si="33"/>
        <v>50</v>
      </c>
      <c r="B452" s="44">
        <f t="shared" si="32"/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</row>
    <row r="453" spans="1:34" x14ac:dyDescent="0.3">
      <c r="A453" s="42">
        <f t="shared" si="33"/>
        <v>51</v>
      </c>
      <c r="B453" s="44">
        <f t="shared" si="32"/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</row>
    <row r="454" spans="1:34" x14ac:dyDescent="0.3">
      <c r="A454" s="42">
        <f t="shared" si="33"/>
        <v>52</v>
      </c>
      <c r="B454" s="44">
        <f t="shared" si="32"/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</row>
    <row r="455" spans="1:34" x14ac:dyDescent="0.3">
      <c r="A455" s="42">
        <f t="shared" si="33"/>
        <v>53</v>
      </c>
      <c r="B455" s="44">
        <f t="shared" si="32"/>
        <v>3.125E-2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</row>
    <row r="456" spans="1:34" x14ac:dyDescent="0.3">
      <c r="A456" s="42">
        <f t="shared" si="33"/>
        <v>54</v>
      </c>
      <c r="B456" s="44">
        <f t="shared" si="32"/>
        <v>3.125E-2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1</v>
      </c>
      <c r="AH456">
        <v>0</v>
      </c>
    </row>
    <row r="457" spans="1:34" x14ac:dyDescent="0.3">
      <c r="A457" s="42">
        <f t="shared" si="33"/>
        <v>55</v>
      </c>
      <c r="B457" s="44">
        <f t="shared" si="32"/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</row>
    <row r="458" spans="1:34" x14ac:dyDescent="0.3">
      <c r="A458" s="42">
        <f t="shared" si="33"/>
        <v>56</v>
      </c>
      <c r="B458" s="44">
        <f t="shared" si="32"/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</row>
    <row r="459" spans="1:34" x14ac:dyDescent="0.3">
      <c r="A459" s="42">
        <f t="shared" si="33"/>
        <v>57</v>
      </c>
      <c r="B459" s="44">
        <f t="shared" si="32"/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</row>
    <row r="460" spans="1:34" x14ac:dyDescent="0.3">
      <c r="A460" s="42">
        <f t="shared" si="33"/>
        <v>58</v>
      </c>
      <c r="B460" s="44">
        <f t="shared" si="32"/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</row>
    <row r="461" spans="1:34" x14ac:dyDescent="0.3">
      <c r="A461" s="42">
        <f t="shared" si="33"/>
        <v>59</v>
      </c>
      <c r="B461" s="44">
        <f t="shared" si="32"/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</row>
    <row r="462" spans="1:34" x14ac:dyDescent="0.3">
      <c r="A462" s="42">
        <f t="shared" si="33"/>
        <v>60</v>
      </c>
      <c r="B462" s="44">
        <f t="shared" si="32"/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</row>
    <row r="463" spans="1:34" x14ac:dyDescent="0.3">
      <c r="A463" s="42">
        <f t="shared" si="33"/>
        <v>61</v>
      </c>
      <c r="B463" s="44">
        <f t="shared" si="32"/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</row>
    <row r="464" spans="1:34" x14ac:dyDescent="0.3">
      <c r="A464" s="42">
        <f t="shared" si="33"/>
        <v>62</v>
      </c>
      <c r="B464" s="44">
        <f t="shared" si="32"/>
        <v>3.125E-2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1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</row>
    <row r="465" spans="1:34" x14ac:dyDescent="0.3">
      <c r="A465" s="42">
        <f t="shared" si="33"/>
        <v>63</v>
      </c>
      <c r="B465" s="44">
        <f t="shared" si="32"/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</row>
    <row r="466" spans="1:34" x14ac:dyDescent="0.3">
      <c r="A466" s="42">
        <f t="shared" si="33"/>
        <v>64</v>
      </c>
      <c r="B466" s="44">
        <f t="shared" si="32"/>
        <v>3.125E-2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1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</row>
    <row r="467" spans="1:34" x14ac:dyDescent="0.3">
      <c r="A467" s="42">
        <f t="shared" si="33"/>
        <v>65</v>
      </c>
      <c r="B467" s="44">
        <f t="shared" si="32"/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</row>
    <row r="468" spans="1:34" x14ac:dyDescent="0.3">
      <c r="A468" s="42">
        <f t="shared" si="33"/>
        <v>66</v>
      </c>
      <c r="B468" s="44">
        <f t="shared" ref="B468:B474" si="34" xml:space="preserve"> AVERAGE($C468:$AH468)</f>
        <v>3.125E-2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</row>
    <row r="469" spans="1:34" x14ac:dyDescent="0.3">
      <c r="A469" s="42">
        <f t="shared" ref="A469:A474" si="35" xml:space="preserve"> A468 + 1</f>
        <v>67</v>
      </c>
      <c r="B469" s="44">
        <f t="shared" si="34"/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</row>
    <row r="470" spans="1:34" x14ac:dyDescent="0.3">
      <c r="A470" s="42">
        <f t="shared" si="35"/>
        <v>68</v>
      </c>
      <c r="B470" s="44">
        <f t="shared" si="34"/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</row>
    <row r="471" spans="1:34" x14ac:dyDescent="0.3">
      <c r="A471" s="42">
        <f t="shared" si="35"/>
        <v>69</v>
      </c>
      <c r="B471" s="44">
        <f t="shared" si="34"/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</row>
    <row r="472" spans="1:34" x14ac:dyDescent="0.3">
      <c r="A472" s="42">
        <f t="shared" si="35"/>
        <v>70</v>
      </c>
      <c r="B472" s="44">
        <f t="shared" si="34"/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</row>
    <row r="473" spans="1:34" x14ac:dyDescent="0.3">
      <c r="A473" s="42">
        <f t="shared" si="35"/>
        <v>71</v>
      </c>
      <c r="B473" s="44">
        <f t="shared" si="34"/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</row>
    <row r="474" spans="1:34" x14ac:dyDescent="0.3">
      <c r="A474" s="42">
        <f t="shared" si="35"/>
        <v>72</v>
      </c>
      <c r="B474" s="44">
        <f t="shared" si="34"/>
        <v>6.25E-2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</v>
      </c>
      <c r="AC474">
        <v>0</v>
      </c>
      <c r="AD474">
        <v>0</v>
      </c>
      <c r="AE474">
        <v>1</v>
      </c>
      <c r="AF474">
        <v>0</v>
      </c>
      <c r="AG474">
        <v>0</v>
      </c>
      <c r="AH474">
        <v>0</v>
      </c>
    </row>
  </sheetData>
  <mergeCells count="5">
    <mergeCell ref="B321:C321"/>
    <mergeCell ref="B401:C401"/>
    <mergeCell ref="B81:C81"/>
    <mergeCell ref="B161:C161"/>
    <mergeCell ref="B241:C24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BaseFeat_HoE</vt:lpstr>
      <vt:lpstr>PCA_HoE</vt:lpstr>
      <vt:lpstr>BaseFeat_ELR</vt:lpstr>
      <vt:lpstr>PCA_ELR</vt:lpstr>
      <vt:lpstr>TEMPLATE</vt:lpstr>
      <vt:lpstr>CHARTS</vt:lpstr>
      <vt:lpstr>HoE Chart</vt:lpstr>
      <vt:lpstr>HoE Chart (5-Act)</vt:lpstr>
      <vt:lpstr>ELR Chart</vt:lpstr>
      <vt:lpstr>ELR Chart (5-Act)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ERDT</cp:lastModifiedBy>
  <dcterms:created xsi:type="dcterms:W3CDTF">2017-03-11T13:45:57Z</dcterms:created>
  <dcterms:modified xsi:type="dcterms:W3CDTF">2017-03-28T22:04:54Z</dcterms:modified>
</cp:coreProperties>
</file>