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86" activeTab="88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27" i="92"/>
  <c r="BM37"/>
  <c r="BN36"/>
  <c r="BM40" s="1"/>
  <c r="BN40" s="1"/>
  <c r="BM36"/>
  <c r="AK28"/>
  <c r="AH28"/>
  <c r="AG28"/>
  <c r="AE28"/>
  <c r="AD28"/>
  <c r="Z28"/>
  <c r="CQ27"/>
  <c r="AM27"/>
  <c r="AP27" s="1"/>
  <c r="AK27"/>
  <c r="AJ27"/>
  <c r="AJ28" s="1"/>
  <c r="AH27"/>
  <c r="AG27"/>
  <c r="AE27"/>
  <c r="Y27"/>
  <c r="Y28" s="1"/>
  <c r="W27"/>
  <c r="V27"/>
  <c r="CP27" s="1"/>
  <c r="L27"/>
  <c r="M27" s="1"/>
  <c r="H27"/>
  <c r="H28" s="1"/>
  <c r="I30" s="1"/>
  <c r="CQ26"/>
  <c r="CP26"/>
  <c r="AM26"/>
  <c r="AP26" s="1"/>
  <c r="AK26"/>
  <c r="AJ26"/>
  <c r="AO26" s="1"/>
  <c r="AH26"/>
  <c r="AG26"/>
  <c r="AE26"/>
  <c r="Y26"/>
  <c r="CS26" s="1"/>
  <c r="W26"/>
  <c r="V26"/>
  <c r="L26"/>
  <c r="M26" s="1"/>
  <c r="H26"/>
  <c r="CS25"/>
  <c r="CQ25"/>
  <c r="CP25"/>
  <c r="AW25"/>
  <c r="AM25"/>
  <c r="AK25"/>
  <c r="AP25" s="1"/>
  <c r="AH25"/>
  <c r="AJ25" s="1"/>
  <c r="AO25" s="1"/>
  <c r="AG25"/>
  <c r="AE25"/>
  <c r="Y25"/>
  <c r="W25"/>
  <c r="V25"/>
  <c r="H25"/>
  <c r="CP24"/>
  <c r="AM24"/>
  <c r="AW24" s="1"/>
  <c r="AK24"/>
  <c r="AP24" s="1"/>
  <c r="AH24"/>
  <c r="AJ24" s="1"/>
  <c r="AO24" s="1"/>
  <c r="AG24"/>
  <c r="AE24"/>
  <c r="Y24"/>
  <c r="CS24" s="1"/>
  <c r="W24"/>
  <c r="V24"/>
  <c r="M24"/>
  <c r="L24"/>
  <c r="H24"/>
  <c r="DB23"/>
  <c r="CU23"/>
  <c r="CX23" s="1"/>
  <c r="CS23"/>
  <c r="AY23"/>
  <c r="AW23"/>
  <c r="BP23" s="1"/>
  <c r="AM23"/>
  <c r="AK23"/>
  <c r="AP23" s="1"/>
  <c r="AH23"/>
  <c r="AG23"/>
  <c r="AJ23" s="1"/>
  <c r="AO23" s="1"/>
  <c r="AE23"/>
  <c r="Y23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19" s="1"/>
  <c r="H8"/>
  <c r="H7"/>
  <c r="H6"/>
  <c r="H5"/>
  <c r="H4"/>
  <c r="CD26" i="93"/>
  <c r="CC26"/>
  <c r="BM37"/>
  <c r="BN36"/>
  <c r="BM36"/>
  <c r="AD28"/>
  <c r="AE27" s="1"/>
  <c r="AE28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G24"/>
  <c r="Y24"/>
  <c r="CS24" s="1"/>
  <c r="H24"/>
  <c r="L24" s="1"/>
  <c r="M24" s="1"/>
  <c r="DB23"/>
  <c r="CU23"/>
  <c r="CX23" s="1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CS27" s="1"/>
  <c r="X27"/>
  <c r="CR27" s="1"/>
  <c r="H27"/>
  <c r="H28" s="1"/>
  <c r="I30" s="1"/>
  <c r="AM26"/>
  <c r="AW26" s="1"/>
  <c r="AK26"/>
  <c r="AE26"/>
  <c r="Y26"/>
  <c r="CS26" s="1"/>
  <c r="X26"/>
  <c r="CR26" s="1"/>
  <c r="H26"/>
  <c r="AM25"/>
  <c r="AW25" s="1"/>
  <c r="AK25"/>
  <c r="Y25"/>
  <c r="CS25" s="1"/>
  <c r="X25"/>
  <c r="CR25" s="1"/>
  <c r="H25"/>
  <c r="L25" s="1"/>
  <c r="M25" s="1"/>
  <c r="AM24"/>
  <c r="AW24" s="1"/>
  <c r="AK24"/>
  <c r="Y24"/>
  <c r="CS24" s="1"/>
  <c r="X24"/>
  <c r="CR24" s="1"/>
  <c r="H24"/>
  <c r="L24" s="1"/>
  <c r="M24" s="1"/>
  <c r="DB23"/>
  <c r="CU23"/>
  <c r="CX23" s="1"/>
  <c r="AM23"/>
  <c r="AW23" s="1"/>
  <c r="BP23" s="1"/>
  <c r="AK23"/>
  <c r="Y23"/>
  <c r="CS23" s="1"/>
  <c r="X23"/>
  <c r="H23"/>
  <c r="H18"/>
  <c r="H17"/>
  <c r="H16"/>
  <c r="H15"/>
  <c r="H14"/>
  <c r="H13"/>
  <c r="H12"/>
  <c r="H11"/>
  <c r="H10"/>
  <c r="H9"/>
  <c r="H8"/>
  <c r="H7"/>
  <c r="H6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W28" i="92" l="1"/>
  <c r="N26"/>
  <c r="N27"/>
  <c r="AY24"/>
  <c r="BP24"/>
  <c r="N23"/>
  <c r="AY25"/>
  <c r="N24"/>
  <c r="CQ24"/>
  <c r="CS27"/>
  <c r="AW27"/>
  <c r="L25"/>
  <c r="M25" s="1"/>
  <c r="V28"/>
  <c r="AW26"/>
  <c r="BP25"/>
  <c r="CZ23"/>
  <c r="AO27"/>
  <c r="AH24" i="90"/>
  <c r="AE23" i="93"/>
  <c r="AG25"/>
  <c r="AH23" i="90"/>
  <c r="AE24"/>
  <c r="AH25"/>
  <c r="AG26" i="93"/>
  <c r="AE23" i="90"/>
  <c r="AE25"/>
  <c r="AH26"/>
  <c r="AH23" i="93"/>
  <c r="AJ23" s="1"/>
  <c r="AO23" s="1"/>
  <c r="AE27" i="90"/>
  <c r="AE28" s="1"/>
  <c r="AH27" i="93"/>
  <c r="AY25" i="90"/>
  <c r="BP25"/>
  <c r="AP24"/>
  <c r="AP25"/>
  <c r="AG26"/>
  <c r="AH27"/>
  <c r="AJ27" s="1"/>
  <c r="AJ28" s="1"/>
  <c r="AG24"/>
  <c r="AJ24" s="1"/>
  <c r="AO24" s="1"/>
  <c r="AG25"/>
  <c r="AJ25" s="1"/>
  <c r="AO25" s="1"/>
  <c r="AH28"/>
  <c r="AH28" i="93"/>
  <c r="AG23" i="90"/>
  <c r="AJ23" s="1"/>
  <c r="AO23" s="1"/>
  <c r="AG23" i="93"/>
  <c r="AE24"/>
  <c r="AH25"/>
  <c r="AH26"/>
  <c r="AE25"/>
  <c r="AE26"/>
  <c r="AP27" i="90"/>
  <c r="H19"/>
  <c r="AK28"/>
  <c r="CZ23"/>
  <c r="L27"/>
  <c r="M27" s="1"/>
  <c r="N27" s="1"/>
  <c r="O27" s="1"/>
  <c r="AY26"/>
  <c r="BP26"/>
  <c r="AG28"/>
  <c r="Y28"/>
  <c r="BM40"/>
  <c r="BN40" s="1"/>
  <c r="AP26"/>
  <c r="AP23"/>
  <c r="AH24" i="93"/>
  <c r="AJ24" s="1"/>
  <c r="AO24" s="1"/>
  <c r="AP25"/>
  <c r="BM40"/>
  <c r="BN40" s="1"/>
  <c r="AP24"/>
  <c r="AJ26"/>
  <c r="AO26" s="1"/>
  <c r="N27"/>
  <c r="H19"/>
  <c r="AP26"/>
  <c r="AG27"/>
  <c r="AP23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L23"/>
  <c r="M23" s="1"/>
  <c r="N23" s="1"/>
  <c r="N25"/>
  <c r="BP24"/>
  <c r="AY24"/>
  <c r="CR23"/>
  <c r="AY23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G26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CS27"/>
  <c r="BP24"/>
  <c r="L25"/>
  <c r="M25" s="1"/>
  <c r="N23"/>
  <c r="BP25"/>
  <c r="AP27"/>
  <c r="BP27"/>
  <c r="CZ23" i="85"/>
  <c r="AY23" i="84"/>
  <c r="BP23"/>
  <c r="N23"/>
  <c r="Y24"/>
  <c r="H24"/>
  <c r="I26" s="1"/>
  <c r="O24" i="92" l="1"/>
  <c r="P24" s="1"/>
  <c r="Q24" s="1"/>
  <c r="O23"/>
  <c r="O27"/>
  <c r="P27"/>
  <c r="Q27" s="1"/>
  <c r="BP27"/>
  <c r="AY27"/>
  <c r="N25"/>
  <c r="O26"/>
  <c r="P26"/>
  <c r="Q26" s="1"/>
  <c r="BP26"/>
  <c r="AY26"/>
  <c r="AJ26" i="90"/>
  <c r="AO26" s="1"/>
  <c r="AJ25" i="93"/>
  <c r="AO25" s="1"/>
  <c r="AJ27" i="97"/>
  <c r="AJ28" s="1"/>
  <c r="P27" i="90"/>
  <c r="Q27" s="1"/>
  <c r="R27" s="1"/>
  <c r="S27" s="1"/>
  <c r="AO27"/>
  <c r="AJ25" i="97"/>
  <c r="AO25" s="1"/>
  <c r="AJ26"/>
  <c r="AO26" s="1"/>
  <c r="O27" i="93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O24"/>
  <c r="N26"/>
  <c r="AJ24" i="97"/>
  <c r="AO24" s="1"/>
  <c r="N25"/>
  <c r="O23"/>
  <c r="O26"/>
  <c r="P26" s="1"/>
  <c r="Q26" s="1"/>
  <c r="O24"/>
  <c r="O27"/>
  <c r="P27" s="1"/>
  <c r="Q27" s="1"/>
  <c r="AJ24" i="84"/>
  <c r="AO23"/>
  <c r="O23"/>
  <c r="O25" i="92" l="1"/>
  <c r="R24"/>
  <c r="S24" s="1"/>
  <c r="R23"/>
  <c r="S23" s="1"/>
  <c r="P23"/>
  <c r="Q23" s="1"/>
  <c r="R26"/>
  <c r="S26" s="1"/>
  <c r="R27"/>
  <c r="AO27" i="97"/>
  <c r="W27" i="90"/>
  <c r="CQ27" s="1"/>
  <c r="AA27"/>
  <c r="CT27" s="1"/>
  <c r="AC27"/>
  <c r="AI27"/>
  <c r="AI28" s="1"/>
  <c r="R28"/>
  <c r="I31" s="1"/>
  <c r="S28"/>
  <c r="I32" s="1"/>
  <c r="V27"/>
  <c r="R27" i="93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O26"/>
  <c r="P26" s="1"/>
  <c r="Q26" s="1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AA24" i="92" l="1"/>
  <c r="CT24" s="1"/>
  <c r="CC24"/>
  <c r="AX28"/>
  <c r="AI24"/>
  <c r="AN24" s="1"/>
  <c r="AR24" s="1"/>
  <c r="AX24" s="1"/>
  <c r="AZ24" s="1"/>
  <c r="BO24" s="1"/>
  <c r="X24"/>
  <c r="AI23"/>
  <c r="AN23" s="1"/>
  <c r="AR23" s="1"/>
  <c r="AX23" s="1"/>
  <c r="AZ23" s="1"/>
  <c r="BO23" s="1"/>
  <c r="X23"/>
  <c r="AA23"/>
  <c r="CT23" s="1"/>
  <c r="X26"/>
  <c r="AI26"/>
  <c r="AN26" s="1"/>
  <c r="AR26" s="1"/>
  <c r="AX26" s="1"/>
  <c r="AZ26" s="1"/>
  <c r="BO26" s="1"/>
  <c r="AA26"/>
  <c r="CT26" s="1"/>
  <c r="R28"/>
  <c r="I31" s="1"/>
  <c r="S27"/>
  <c r="R25"/>
  <c r="S25" s="1"/>
  <c r="P25"/>
  <c r="Q25" s="1"/>
  <c r="AN27" i="90"/>
  <c r="AR27" s="1"/>
  <c r="AX27" s="1"/>
  <c r="AZ27" s="1"/>
  <c r="BO27" s="1"/>
  <c r="AA28"/>
  <c r="AB27"/>
  <c r="CP27"/>
  <c r="AA27" i="93"/>
  <c r="CT27" s="1"/>
  <c r="S28"/>
  <c r="I32" s="1"/>
  <c r="R28"/>
  <c r="I31" s="1"/>
  <c r="AI27"/>
  <c r="CR23"/>
  <c r="V24"/>
  <c r="AX28"/>
  <c r="AI24"/>
  <c r="AN24" s="1"/>
  <c r="AR24" s="1"/>
  <c r="AX24" s="1"/>
  <c r="AZ24" s="1"/>
  <c r="BO24" s="1"/>
  <c r="CC24"/>
  <c r="AA24"/>
  <c r="CT24" s="1"/>
  <c r="W24"/>
  <c r="CQ24" s="1"/>
  <c r="R26"/>
  <c r="S26" s="1"/>
  <c r="X26" s="1"/>
  <c r="CR26" s="1"/>
  <c r="AA28"/>
  <c r="AI23"/>
  <c r="AN23" s="1"/>
  <c r="AR23" s="1"/>
  <c r="AX23" s="1"/>
  <c r="AZ23" s="1"/>
  <c r="BO23" s="1"/>
  <c r="V23"/>
  <c r="AA23"/>
  <c r="CT23" s="1"/>
  <c r="W23"/>
  <c r="AI28"/>
  <c r="AN27"/>
  <c r="AR27" s="1"/>
  <c r="AX27" s="1"/>
  <c r="AZ27" s="1"/>
  <c r="BO27" s="1"/>
  <c r="CP27"/>
  <c r="AB27"/>
  <c r="AC27" s="1"/>
  <c r="V25"/>
  <c r="W25"/>
  <c r="CQ25" s="1"/>
  <c r="AA25"/>
  <c r="CT25" s="1"/>
  <c r="AI25"/>
  <c r="AN25" s="1"/>
  <c r="AR25" s="1"/>
  <c r="AX25" s="1"/>
  <c r="AZ25" s="1"/>
  <c r="BO25" s="1"/>
  <c r="AB23" i="90"/>
  <c r="W25"/>
  <c r="CQ25" s="1"/>
  <c r="AI25"/>
  <c r="AN25" s="1"/>
  <c r="AR25" s="1"/>
  <c r="AX25" s="1"/>
  <c r="AZ25" s="1"/>
  <c r="BO25" s="1"/>
  <c r="AA25"/>
  <c r="CT25" s="1"/>
  <c r="V25"/>
  <c r="CP25" s="1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CC23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P25"/>
  <c r="Q25" s="1"/>
  <c r="R25" s="1"/>
  <c r="S25" s="1"/>
  <c r="R28"/>
  <c r="I31" s="1"/>
  <c r="S27"/>
  <c r="R24" i="84"/>
  <c r="I27" s="1"/>
  <c r="S23"/>
  <c r="BM33" i="83"/>
  <c r="BN32"/>
  <c r="BM32"/>
  <c r="AX24"/>
  <c r="AW24"/>
  <c r="AD24"/>
  <c r="AH23" s="1"/>
  <c r="Z24"/>
  <c r="AM23"/>
  <c r="AW23" s="1"/>
  <c r="AK23"/>
  <c r="AK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R23" i="92" l="1"/>
  <c r="AB23"/>
  <c r="CR24"/>
  <c r="AB24"/>
  <c r="AC24" s="1"/>
  <c r="S28"/>
  <c r="I32" s="1"/>
  <c r="AI27"/>
  <c r="X27"/>
  <c r="AA27"/>
  <c r="AI25"/>
  <c r="AN25" s="1"/>
  <c r="AR25" s="1"/>
  <c r="AX25" s="1"/>
  <c r="AZ25" s="1"/>
  <c r="BO25" s="1"/>
  <c r="X25"/>
  <c r="AA25"/>
  <c r="CT25" s="1"/>
  <c r="AW28"/>
  <c r="CC23"/>
  <c r="CR26"/>
  <c r="AB26"/>
  <c r="AC26" s="1"/>
  <c r="AH24" i="83"/>
  <c r="AE23"/>
  <c r="AE24" s="1"/>
  <c r="AG23"/>
  <c r="AJ23" s="1"/>
  <c r="CC23" i="93"/>
  <c r="AW28"/>
  <c r="X28"/>
  <c r="CC25" s="1"/>
  <c r="W26"/>
  <c r="CQ26" s="1"/>
  <c r="AI26"/>
  <c r="AN26" s="1"/>
  <c r="AR26" s="1"/>
  <c r="AX26" s="1"/>
  <c r="AZ26" s="1"/>
  <c r="BO26" s="1"/>
  <c r="AA26"/>
  <c r="CT26" s="1"/>
  <c r="V26"/>
  <c r="V28" s="1"/>
  <c r="CQ23"/>
  <c r="CP24"/>
  <c r="AB24"/>
  <c r="AC24" s="1"/>
  <c r="CP25"/>
  <c r="AB25"/>
  <c r="AC25" s="1"/>
  <c r="AB23"/>
  <c r="AC23" s="1"/>
  <c r="CP23"/>
  <c r="AI26" i="90"/>
  <c r="AN26" s="1"/>
  <c r="AR26" s="1"/>
  <c r="AX26" s="1"/>
  <c r="AZ26" s="1"/>
  <c r="BO26" s="1"/>
  <c r="AA26"/>
  <c r="CT26" s="1"/>
  <c r="V26"/>
  <c r="CP26" s="1"/>
  <c r="W26"/>
  <c r="CQ26" s="1"/>
  <c r="AB24"/>
  <c r="AB25"/>
  <c r="AC25" s="1"/>
  <c r="AW28"/>
  <c r="BM36" i="83"/>
  <c r="BN36" s="1"/>
  <c r="V25" i="97"/>
  <c r="W25"/>
  <c r="H19" i="83"/>
  <c r="Y24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BP23" i="83"/>
  <c r="AY23"/>
  <c r="N23"/>
  <c r="H24"/>
  <c r="I26" s="1"/>
  <c r="AN27" i="92" l="1"/>
  <c r="AR27" s="1"/>
  <c r="AX27" s="1"/>
  <c r="AZ27" s="1"/>
  <c r="BO27" s="1"/>
  <c r="AI28"/>
  <c r="CR27"/>
  <c r="AB27"/>
  <c r="AC27" s="1"/>
  <c r="X28"/>
  <c r="CC25" s="1"/>
  <c r="AA28"/>
  <c r="CT27"/>
  <c r="AC23"/>
  <c r="CR25"/>
  <c r="AB25"/>
  <c r="AC25" s="1"/>
  <c r="AO23" i="83"/>
  <c r="AJ24"/>
  <c r="AG24"/>
  <c r="V28" i="90"/>
  <c r="CC25" s="1"/>
  <c r="CD28" s="1"/>
  <c r="W28"/>
  <c r="CC26" s="1"/>
  <c r="CD29" s="1"/>
  <c r="W28" i="93"/>
  <c r="CP26"/>
  <c r="AB26"/>
  <c r="AB28" i="90"/>
  <c r="I33" s="1"/>
  <c r="I34" s="1"/>
  <c r="AC24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H24"/>
  <c r="AD24"/>
  <c r="AE23" s="1"/>
  <c r="AE24" s="1"/>
  <c r="Z24"/>
  <c r="AM23"/>
  <c r="AW23" s="1"/>
  <c r="AK23"/>
  <c r="AK24" s="1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H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AG27"/>
  <c r="AG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3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2"/>
  <c r="BN32"/>
  <c r="BM32"/>
  <c r="AD24"/>
  <c r="AE23" s="1"/>
  <c r="AE24" s="1"/>
  <c r="Z24"/>
  <c r="AM23"/>
  <c r="AW23" s="1"/>
  <c r="AY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0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7" i="108"/>
  <c r="BN36"/>
  <c r="BM36"/>
  <c r="AD28"/>
  <c r="AG27" s="1"/>
  <c r="Z28"/>
  <c r="AM27"/>
  <c r="AW27" s="1"/>
  <c r="AK27"/>
  <c r="Y27"/>
  <c r="Y28" s="1"/>
  <c r="H27"/>
  <c r="AM26"/>
  <c r="AK26"/>
  <c r="Y26"/>
  <c r="H26"/>
  <c r="AM25"/>
  <c r="AK25"/>
  <c r="Y25"/>
  <c r="H25"/>
  <c r="L25" s="1"/>
  <c r="M25" s="1"/>
  <c r="AM24"/>
  <c r="AW24" s="1"/>
  <c r="AK24"/>
  <c r="Y24"/>
  <c r="H24"/>
  <c r="AM23"/>
  <c r="AW23" s="1"/>
  <c r="AK23"/>
  <c r="Y23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AD28"/>
  <c r="AH28" s="1"/>
  <c r="Z28"/>
  <c r="AM27"/>
  <c r="AW27" s="1"/>
  <c r="AK27"/>
  <c r="AK28" s="1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C28" i="92" l="1"/>
  <c r="AT28" s="1"/>
  <c r="AB28"/>
  <c r="I33" s="1"/>
  <c r="I34" s="1"/>
  <c r="AB28" i="93"/>
  <c r="I33" s="1"/>
  <c r="I34" s="1"/>
  <c r="AC26"/>
  <c r="AC28" s="1"/>
  <c r="AT28" s="1"/>
  <c r="AH23" i="82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AG24" s="1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O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J27" s="1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H23" i="113"/>
  <c r="AJ23" s="1"/>
  <c r="AO23" s="1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E26" i="108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E23" i="108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BM36" i="110"/>
  <c r="BN36" s="1"/>
  <c r="AG23" i="108"/>
  <c r="AH28"/>
  <c r="AH23" i="112"/>
  <c r="AH23" i="121"/>
  <c r="AE23" i="111"/>
  <c r="AE24" s="1"/>
  <c r="AE23" i="121"/>
  <c r="AE24" s="1"/>
  <c r="AH24" i="108"/>
  <c r="AG24"/>
  <c r="AH24" i="112"/>
  <c r="L23" i="115"/>
  <c r="M23" s="1"/>
  <c r="N23" s="1"/>
  <c r="O23" s="1"/>
  <c r="BM36"/>
  <c r="BN36" s="1"/>
  <c r="AP23" i="107"/>
  <c r="AH23"/>
  <c r="AJ23" s="1"/>
  <c r="AO23" s="1"/>
  <c r="AE24" i="108"/>
  <c r="AG25"/>
  <c r="AE23" i="113"/>
  <c r="AE24" s="1"/>
  <c r="BM36" i="122"/>
  <c r="BN36" s="1"/>
  <c r="AE23" i="107"/>
  <c r="AE24" s="1"/>
  <c r="AE25" i="108"/>
  <c r="H19" i="110"/>
  <c r="AE23" i="106"/>
  <c r="AE24" s="1"/>
  <c r="AG26" i="108"/>
  <c r="BM36" i="116"/>
  <c r="BN36" s="1"/>
  <c r="AE23" i="123"/>
  <c r="AE24" s="1"/>
  <c r="AH27" i="108"/>
  <c r="AJ27" s="1"/>
  <c r="AG23" i="112"/>
  <c r="AG24" s="1"/>
  <c r="AH23" i="108"/>
  <c r="AE27"/>
  <c r="AE28" s="1"/>
  <c r="AE23" i="114"/>
  <c r="AE24" s="1"/>
  <c r="AH23" i="119"/>
  <c r="BM36" i="107"/>
  <c r="BN36" s="1"/>
  <c r="AP23" i="115"/>
  <c r="AH23" i="118"/>
  <c r="BM36" i="119"/>
  <c r="BN36" s="1"/>
  <c r="BM36" i="121"/>
  <c r="BN36" s="1"/>
  <c r="AP27" i="108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AP23" i="108"/>
  <c r="AP24"/>
  <c r="AH25"/>
  <c r="AJ25" s="1"/>
  <c r="AO25" s="1"/>
  <c r="AH26"/>
  <c r="BM40"/>
  <c r="BN40" s="1"/>
  <c r="AP23" i="109"/>
  <c r="AG23" i="113"/>
  <c r="AG24" s="1"/>
  <c r="BM36" i="114"/>
  <c r="BN36" s="1"/>
  <c r="AK24" i="115"/>
  <c r="AE23" i="116"/>
  <c r="AE24" s="1"/>
  <c r="AH24"/>
  <c r="AG23" i="119"/>
  <c r="AG24" s="1"/>
  <c r="AG23" i="123"/>
  <c r="AG24" s="1"/>
  <c r="AH23" i="109"/>
  <c r="H19" i="118"/>
  <c r="AK24" i="120"/>
  <c r="AG23" i="109"/>
  <c r="AG24" s="1"/>
  <c r="BM36"/>
  <c r="BN36" s="1"/>
  <c r="H19" i="111"/>
  <c r="BP23" i="112"/>
  <c r="H19" i="116"/>
  <c r="AH23" i="120"/>
  <c r="H19" i="107"/>
  <c r="AE23" i="109"/>
  <c r="AE24" s="1"/>
  <c r="H19" i="112"/>
  <c r="H19" i="113"/>
  <c r="BM36" i="117"/>
  <c r="BN36" s="1"/>
  <c r="H19" i="119"/>
  <c r="H19" i="123"/>
  <c r="H19" i="114"/>
  <c r="H19" i="117"/>
  <c r="H19" i="109"/>
  <c r="AE23" i="110"/>
  <c r="AP23" i="111"/>
  <c r="AP23" i="114"/>
  <c r="H19" i="115"/>
  <c r="AP23" i="116"/>
  <c r="H19" i="121"/>
  <c r="AP23" i="122"/>
  <c r="H19" i="108"/>
  <c r="AP25"/>
  <c r="BM36" i="111"/>
  <c r="BN36" s="1"/>
  <c r="AP23" i="112"/>
  <c r="BM36"/>
  <c r="BN36" s="1"/>
  <c r="BM36" i="113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Y23" i="113"/>
  <c r="L23"/>
  <c r="M23" s="1"/>
  <c r="N23" s="1"/>
  <c r="AK24" i="112"/>
  <c r="L23"/>
  <c r="M23" s="1"/>
  <c r="N23" s="1"/>
  <c r="H24"/>
  <c r="I26" s="1"/>
  <c r="AK24" i="111"/>
  <c r="L23"/>
  <c r="M23" s="1"/>
  <c r="N23" s="1"/>
  <c r="H24"/>
  <c r="I26" s="1"/>
  <c r="BP23"/>
  <c r="AY23" i="110"/>
  <c r="AH23"/>
  <c r="L23"/>
  <c r="M23" s="1"/>
  <c r="N23" s="1"/>
  <c r="AG23"/>
  <c r="AY23" i="109"/>
  <c r="AK24"/>
  <c r="L23"/>
  <c r="M23" s="1"/>
  <c r="N23" s="1"/>
  <c r="H24"/>
  <c r="I26" s="1"/>
  <c r="BP23"/>
  <c r="BP27" i="108"/>
  <c r="AY27"/>
  <c r="N25"/>
  <c r="BP24"/>
  <c r="AY24"/>
  <c r="L23"/>
  <c r="M23" s="1"/>
  <c r="N23" s="1"/>
  <c r="L24"/>
  <c r="M24" s="1"/>
  <c r="N24" s="1"/>
  <c r="AG28"/>
  <c r="AW26"/>
  <c r="AK28"/>
  <c r="AY23"/>
  <c r="AW25"/>
  <c r="L27"/>
  <c r="M27" s="1"/>
  <c r="H28"/>
  <c r="I30" s="1"/>
  <c r="BP23"/>
  <c r="L26"/>
  <c r="M26" s="1"/>
  <c r="N26" s="1"/>
  <c r="AP26"/>
  <c r="AY23" i="107"/>
  <c r="AK24"/>
  <c r="L23"/>
  <c r="M23" s="1"/>
  <c r="N23" s="1"/>
  <c r="AG26" i="105"/>
  <c r="AE25"/>
  <c r="AH26"/>
  <c r="AH27"/>
  <c r="AG27"/>
  <c r="AG28" s="1"/>
  <c r="AE27"/>
  <c r="AE28" s="1"/>
  <c r="AH23"/>
  <c r="AE23"/>
  <c r="H19" i="104"/>
  <c r="L23"/>
  <c r="M23" s="1"/>
  <c r="N23" s="1"/>
  <c r="BM40" i="105"/>
  <c r="BN40" s="1"/>
  <c r="H28"/>
  <c r="I30" s="1"/>
  <c r="AG24"/>
  <c r="AP25"/>
  <c r="H24" i="106"/>
  <c r="I26" s="1"/>
  <c r="AP23" i="104"/>
  <c r="AH25" i="105"/>
  <c r="AP26"/>
  <c r="H19" i="103"/>
  <c r="H19" i="105"/>
  <c r="AP23"/>
  <c r="AH24"/>
  <c r="AG25"/>
  <c r="AE26"/>
  <c r="H19" i="106"/>
  <c r="AP23"/>
  <c r="AY23" i="104"/>
  <c r="AE24" i="105"/>
  <c r="AP27"/>
  <c r="BM36" i="106"/>
  <c r="BN36" s="1"/>
  <c r="AP23" i="103"/>
  <c r="AG23" i="105"/>
  <c r="N23" i="106"/>
  <c r="AY23"/>
  <c r="BP27" i="105"/>
  <c r="AY27"/>
  <c r="BP26"/>
  <c r="AY26"/>
  <c r="N25"/>
  <c r="AY25"/>
  <c r="BP25"/>
  <c r="AY24"/>
  <c r="BP24"/>
  <c r="L24"/>
  <c r="M24" s="1"/>
  <c r="N24" s="1"/>
  <c r="AP24"/>
  <c r="N27"/>
  <c r="N26"/>
  <c r="AY23"/>
  <c r="L23"/>
  <c r="M23" s="1"/>
  <c r="N23" s="1"/>
  <c r="AK24" i="104"/>
  <c r="BP23" i="103"/>
  <c r="AY23"/>
  <c r="AK24"/>
  <c r="N23"/>
  <c r="H24"/>
  <c r="CD28" i="92" l="1"/>
  <c r="AU28"/>
  <c r="CD27" i="93"/>
  <c r="AU28"/>
  <c r="AJ23" i="137"/>
  <c r="AO23" s="1"/>
  <c r="AJ23" i="82"/>
  <c r="AJ24" s="1"/>
  <c r="AU28" i="90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J28" i="134"/>
  <c r="AO27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4" i="108"/>
  <c r="AO24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4" i="113"/>
  <c r="AJ23" i="131"/>
  <c r="AO23" s="1"/>
  <c r="AJ26"/>
  <c r="AO26" s="1"/>
  <c r="AJ25" i="124"/>
  <c r="AO25" s="1"/>
  <c r="AJ23" i="130"/>
  <c r="AO23" s="1"/>
  <c r="AY26" i="132"/>
  <c r="AJ23" i="112"/>
  <c r="AO23" s="1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K23" i="113"/>
  <c r="AP23" s="1"/>
  <c r="AO27" i="128"/>
  <c r="AJ26"/>
  <c r="AO26" s="1"/>
  <c r="AJ26" i="124"/>
  <c r="AO26" s="1"/>
  <c r="AJ23" i="108"/>
  <c r="AO23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3" i="109"/>
  <c r="AJ24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6" i="108"/>
  <c r="AO26" s="1"/>
  <c r="AJ25" i="128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8" i="108"/>
  <c r="AO27"/>
  <c r="AJ23" i="120"/>
  <c r="AJ23" i="111"/>
  <c r="AO23" s="1"/>
  <c r="AJ23" i="119"/>
  <c r="AJ24" s="1"/>
  <c r="AJ23" i="105"/>
  <c r="AO23" s="1"/>
  <c r="AJ23" i="116"/>
  <c r="AO23" s="1"/>
  <c r="AJ27" i="105"/>
  <c r="AJ28" s="1"/>
  <c r="P23" i="115"/>
  <c r="Q23" s="1"/>
  <c r="R23" s="1"/>
  <c r="R24" s="1"/>
  <c r="I27" s="1"/>
  <c r="AJ23" i="123"/>
  <c r="AJ24" s="1"/>
  <c r="AE24" i="110"/>
  <c r="AK23"/>
  <c r="AJ26" i="105"/>
  <c r="AO26" s="1"/>
  <c r="N23" i="1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3"/>
  <c r="O23" i="112"/>
  <c r="O23" i="111"/>
  <c r="P23" s="1"/>
  <c r="Q23" s="1"/>
  <c r="O23" i="110"/>
  <c r="AG24"/>
  <c r="AJ23"/>
  <c r="O23" i="109"/>
  <c r="O23" i="108"/>
  <c r="P23" s="1"/>
  <c r="Q23" s="1"/>
  <c r="R23" s="1"/>
  <c r="S23" s="1"/>
  <c r="X23" s="1"/>
  <c r="O26"/>
  <c r="P26" s="1"/>
  <c r="Q26" s="1"/>
  <c r="O24"/>
  <c r="P24" s="1"/>
  <c r="Q24" s="1"/>
  <c r="R24" s="1"/>
  <c r="S24" s="1"/>
  <c r="X24" s="1"/>
  <c r="BP26"/>
  <c r="AY26"/>
  <c r="O25"/>
  <c r="P25" s="1"/>
  <c r="Q25" s="1"/>
  <c r="AY25"/>
  <c r="BP25"/>
  <c r="N27"/>
  <c r="O23" i="107"/>
  <c r="AJ24" i="105"/>
  <c r="AO24" s="1"/>
  <c r="AJ25"/>
  <c r="AO25" s="1"/>
  <c r="O23" i="106"/>
  <c r="O23" i="105"/>
  <c r="P23" s="1"/>
  <c r="Q23" s="1"/>
  <c r="O24"/>
  <c r="P24" s="1"/>
  <c r="Q24" s="1"/>
  <c r="R24" s="1"/>
  <c r="S24" s="1"/>
  <c r="O27"/>
  <c r="O25"/>
  <c r="P25" s="1"/>
  <c r="Q25" s="1"/>
  <c r="O26"/>
  <c r="P26" s="1"/>
  <c r="Q26" s="1"/>
  <c r="O23" i="104"/>
  <c r="O23" i="103"/>
  <c r="CC26" i="92" l="1"/>
  <c r="CD26"/>
  <c r="CC27" i="97"/>
  <c r="CD27"/>
  <c r="DB23" s="1"/>
  <c r="CC27" i="90"/>
  <c r="CD27"/>
  <c r="AO23" i="82"/>
  <c r="AO23" i="81"/>
  <c r="AO27" i="137"/>
  <c r="AJ24" i="86"/>
  <c r="R28" i="135"/>
  <c r="I31" s="1"/>
  <c r="AJ24" i="88"/>
  <c r="AO23"/>
  <c r="AO23" i="109"/>
  <c r="AJ25" i="85"/>
  <c r="AK28" i="138"/>
  <c r="AP27"/>
  <c r="CR23" i="83"/>
  <c r="X24"/>
  <c r="CC24" s="1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J24" i="112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AK24" i="113"/>
  <c r="AO27" i="105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R26" i="108"/>
  <c r="S26" s="1"/>
  <c r="X26" s="1"/>
  <c r="S23" i="115"/>
  <c r="V23" s="1"/>
  <c r="AP23" i="110"/>
  <c r="AK24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P23" i="113"/>
  <c r="Q23" s="1"/>
  <c r="R23" s="1"/>
  <c r="P23" i="112"/>
  <c r="Q23" s="1"/>
  <c r="R23" s="1"/>
  <c r="R23" i="111"/>
  <c r="S23" s="1"/>
  <c r="AJ24" i="110"/>
  <c r="AO23"/>
  <c r="P23"/>
  <c r="Q23" s="1"/>
  <c r="R23" s="1"/>
  <c r="P23" i="109"/>
  <c r="Q23" s="1"/>
  <c r="R23" s="1"/>
  <c r="AI23" i="108"/>
  <c r="AN23" s="1"/>
  <c r="AR23" s="1"/>
  <c r="AX23" s="1"/>
  <c r="AZ23" s="1"/>
  <c r="BO23" s="1"/>
  <c r="AC23"/>
  <c r="AA23"/>
  <c r="W23"/>
  <c r="V23"/>
  <c r="V26"/>
  <c r="W26"/>
  <c r="O27"/>
  <c r="P27" s="1"/>
  <c r="Q27" s="1"/>
  <c r="R25"/>
  <c r="S25" s="1"/>
  <c r="X25" s="1"/>
  <c r="W24"/>
  <c r="AI24"/>
  <c r="AN24" s="1"/>
  <c r="AR24" s="1"/>
  <c r="AX24" s="1"/>
  <c r="AZ24" s="1"/>
  <c r="BO24" s="1"/>
  <c r="AC24"/>
  <c r="AA24"/>
  <c r="V24"/>
  <c r="P23" i="107"/>
  <c r="Q23" s="1"/>
  <c r="R23" s="1"/>
  <c r="P23" i="106"/>
  <c r="Q23" s="1"/>
  <c r="R23" s="1"/>
  <c r="AI24" i="105"/>
  <c r="AN24" s="1"/>
  <c r="AR24" s="1"/>
  <c r="AX24" s="1"/>
  <c r="AZ24" s="1"/>
  <c r="BO24" s="1"/>
  <c r="AC24"/>
  <c r="AA24"/>
  <c r="V24"/>
  <c r="W24"/>
  <c r="R23"/>
  <c r="S23" s="1"/>
  <c r="R26"/>
  <c r="S26" s="1"/>
  <c r="P27"/>
  <c r="Q27" s="1"/>
  <c r="R27" s="1"/>
  <c r="R25"/>
  <c r="S25" s="1"/>
  <c r="P23" i="104"/>
  <c r="Q23" s="1"/>
  <c r="R23" s="1"/>
  <c r="P23" i="103"/>
  <c r="Q23" s="1"/>
  <c r="R23" s="1"/>
  <c r="CX23" i="97" l="1"/>
  <c r="W23" i="115"/>
  <c r="W24" s="1"/>
  <c r="V24" i="85"/>
  <c r="CP24" s="1"/>
  <c r="W24"/>
  <c r="CQ24" s="1"/>
  <c r="CD26" i="82"/>
  <c r="CU23" s="1"/>
  <c r="CZ23" s="1"/>
  <c r="CD26" i="83"/>
  <c r="CU23"/>
  <c r="S23" i="85"/>
  <c r="AA23" s="1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4" i="85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AI26" i="108"/>
  <c r="AN26" s="1"/>
  <c r="AR26" s="1"/>
  <c r="AX26" s="1"/>
  <c r="AZ26" s="1"/>
  <c r="BO26" s="1"/>
  <c r="V25" i="126"/>
  <c r="CP25" s="1"/>
  <c r="W25"/>
  <c r="CQ25" s="1"/>
  <c r="AA26" i="108"/>
  <c r="AB26" s="1"/>
  <c r="AC26"/>
  <c r="W24" i="126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R24" i="113"/>
  <c r="I27" s="1"/>
  <c r="S23"/>
  <c r="R24" i="112"/>
  <c r="I27" s="1"/>
  <c r="S23"/>
  <c r="W23" s="1"/>
  <c r="W24" s="1"/>
  <c r="V23" i="111"/>
  <c r="V24" s="1"/>
  <c r="Y23"/>
  <c r="Y24" s="1"/>
  <c r="R24"/>
  <c r="I27" s="1"/>
  <c r="S24"/>
  <c r="I28" s="1"/>
  <c r="AI23"/>
  <c r="AA23"/>
  <c r="R24" i="110"/>
  <c r="I27" s="1"/>
  <c r="S23"/>
  <c r="R24" i="109"/>
  <c r="I27" s="1"/>
  <c r="S23"/>
  <c r="V25" i="108"/>
  <c r="W25"/>
  <c r="AI25"/>
  <c r="AN25" s="1"/>
  <c r="AR25" s="1"/>
  <c r="AX25" s="1"/>
  <c r="AZ25" s="1"/>
  <c r="BO25" s="1"/>
  <c r="AA25"/>
  <c r="AC25"/>
  <c r="AB23"/>
  <c r="AB24"/>
  <c r="R27"/>
  <c r="R24" i="107"/>
  <c r="I27" s="1"/>
  <c r="S23"/>
  <c r="X23" s="1"/>
  <c r="X24" s="1"/>
  <c r="R24" i="106"/>
  <c r="I27" s="1"/>
  <c r="S23"/>
  <c r="V26" i="105"/>
  <c r="W26"/>
  <c r="AI26"/>
  <c r="AN26" s="1"/>
  <c r="AR26" s="1"/>
  <c r="AX26" s="1"/>
  <c r="AZ26" s="1"/>
  <c r="BO26" s="1"/>
  <c r="AA26"/>
  <c r="AC26"/>
  <c r="W25"/>
  <c r="AI25"/>
  <c r="AN25" s="1"/>
  <c r="AR25" s="1"/>
  <c r="AX25" s="1"/>
  <c r="AZ25" s="1"/>
  <c r="BO25" s="1"/>
  <c r="AA25"/>
  <c r="V25"/>
  <c r="AC25"/>
  <c r="R28"/>
  <c r="I31" s="1"/>
  <c r="S27"/>
  <c r="AC23"/>
  <c r="V23"/>
  <c r="AA23"/>
  <c r="W23"/>
  <c r="AI23"/>
  <c r="AN23" s="1"/>
  <c r="AR23" s="1"/>
  <c r="AX23" s="1"/>
  <c r="AZ23" s="1"/>
  <c r="BO23" s="1"/>
  <c r="AB24"/>
  <c r="R24" i="104"/>
  <c r="S23"/>
  <c r="R24" i="103"/>
  <c r="S23"/>
  <c r="AI23" i="85" l="1"/>
  <c r="AI25" s="1"/>
  <c r="AW28" i="136"/>
  <c r="CD25" i="135"/>
  <c r="CD27" i="82"/>
  <c r="CX23" s="1"/>
  <c r="AA25" i="85"/>
  <c r="CX23" i="83"/>
  <c r="V23" i="85"/>
  <c r="W23"/>
  <c r="AB23" s="1"/>
  <c r="AC23" s="1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AB25" i="108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C23" i="113"/>
  <c r="AC24" s="1"/>
  <c r="AT24" s="1"/>
  <c r="V23"/>
  <c r="W23"/>
  <c r="W24" s="1"/>
  <c r="S24"/>
  <c r="I28" s="1"/>
  <c r="AI23"/>
  <c r="AA23"/>
  <c r="AA24" s="1"/>
  <c r="V23" i="112"/>
  <c r="S24"/>
  <c r="I28" s="1"/>
  <c r="AI23"/>
  <c r="Y23"/>
  <c r="Y24" s="1"/>
  <c r="AA23"/>
  <c r="AA24" s="1"/>
  <c r="AN23" i="111"/>
  <c r="AR23" s="1"/>
  <c r="AX23" s="1"/>
  <c r="AZ23" s="1"/>
  <c r="BO23" s="1"/>
  <c r="AI24"/>
  <c r="AA24"/>
  <c r="AB23"/>
  <c r="V23" i="110"/>
  <c r="W23"/>
  <c r="W24" s="1"/>
  <c r="S24"/>
  <c r="I28" s="1"/>
  <c r="AI23"/>
  <c r="AA23"/>
  <c r="AA24" s="1"/>
  <c r="V23" i="109"/>
  <c r="W23"/>
  <c r="W24" s="1"/>
  <c r="S24"/>
  <c r="I28" s="1"/>
  <c r="AI23"/>
  <c r="AA23"/>
  <c r="AA24" s="1"/>
  <c r="R28" i="108"/>
  <c r="I31" s="1"/>
  <c r="S27"/>
  <c r="X27" s="1"/>
  <c r="X28" s="1"/>
  <c r="V23" i="107"/>
  <c r="W23"/>
  <c r="W24" s="1"/>
  <c r="AC23"/>
  <c r="AC24" s="1"/>
  <c r="AT24" s="1"/>
  <c r="S24"/>
  <c r="I28" s="1"/>
  <c r="AI23"/>
  <c r="AA23"/>
  <c r="AA24" s="1"/>
  <c r="AB26" i="105"/>
  <c r="V23" i="106"/>
  <c r="W23"/>
  <c r="W24" s="1"/>
  <c r="S24"/>
  <c r="I28" s="1"/>
  <c r="AI23"/>
  <c r="AA23"/>
  <c r="AA24" s="1"/>
  <c r="AC23"/>
  <c r="AC24" s="1"/>
  <c r="AT24" s="1"/>
  <c r="AB25" i="105"/>
  <c r="V27"/>
  <c r="W27"/>
  <c r="W28" s="1"/>
  <c r="S28"/>
  <c r="I32" s="1"/>
  <c r="AI27"/>
  <c r="AA27"/>
  <c r="AA28" s="1"/>
  <c r="AC27"/>
  <c r="AC28" s="1"/>
  <c r="AT28" s="1"/>
  <c r="AU28" s="1"/>
  <c r="AB23"/>
  <c r="S24" i="104"/>
  <c r="AE23" s="1"/>
  <c r="AE24" s="1"/>
  <c r="AI23"/>
  <c r="X23"/>
  <c r="AA23"/>
  <c r="V23" i="103"/>
  <c r="W23"/>
  <c r="W24" s="1"/>
  <c r="S24"/>
  <c r="AH23" s="1"/>
  <c r="AH24" s="1"/>
  <c r="AI23"/>
  <c r="AA23"/>
  <c r="AN23" i="85" l="1"/>
  <c r="AW28" i="137"/>
  <c r="AC28" i="138"/>
  <c r="AT28" s="1"/>
  <c r="AU28" s="1"/>
  <c r="CD27" i="133"/>
  <c r="CP23" i="85"/>
  <c r="V25"/>
  <c r="CC25" s="1"/>
  <c r="CQ23"/>
  <c r="W25"/>
  <c r="CC26" s="1"/>
  <c r="AR23"/>
  <c r="AX23" s="1"/>
  <c r="AZ23" s="1"/>
  <c r="BO23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AC25" i="85"/>
  <c r="I29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3" i="113"/>
  <c r="AB24" s="1"/>
  <c r="I29" s="1"/>
  <c r="I30" s="1"/>
  <c r="V24"/>
  <c r="AN23"/>
  <c r="AR23" s="1"/>
  <c r="AX23" s="1"/>
  <c r="AZ23" s="1"/>
  <c r="BO23" s="1"/>
  <c r="AI24"/>
  <c r="AB23" i="112"/>
  <c r="V24"/>
  <c r="AN23"/>
  <c r="AR23" s="1"/>
  <c r="AX23" s="1"/>
  <c r="AZ23" s="1"/>
  <c r="BO23" s="1"/>
  <c r="AI24"/>
  <c r="AB24" i="111"/>
  <c r="I29" s="1"/>
  <c r="I30" s="1"/>
  <c r="AC23"/>
  <c r="AC24" s="1"/>
  <c r="AT24" s="1"/>
  <c r="AN23" i="110"/>
  <c r="AR23" s="1"/>
  <c r="AX23" s="1"/>
  <c r="AZ23" s="1"/>
  <c r="BO23" s="1"/>
  <c r="AI24"/>
  <c r="AB23"/>
  <c r="V24"/>
  <c r="AN23" i="109"/>
  <c r="AR23" s="1"/>
  <c r="AX23" s="1"/>
  <c r="AZ23" s="1"/>
  <c r="BO23" s="1"/>
  <c r="AI24"/>
  <c r="AB23"/>
  <c r="V24"/>
  <c r="AC27" i="108"/>
  <c r="AC28" s="1"/>
  <c r="AT28" s="1"/>
  <c r="AU28" s="1"/>
  <c r="V27"/>
  <c r="W27"/>
  <c r="W28" s="1"/>
  <c r="S28"/>
  <c r="I32" s="1"/>
  <c r="AI27"/>
  <c r="AA27"/>
  <c r="AA28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8" i="105"/>
  <c r="AN27"/>
  <c r="AR27" s="1"/>
  <c r="AX27" s="1"/>
  <c r="AZ27" s="1"/>
  <c r="BO27" s="1"/>
  <c r="V28"/>
  <c r="AB27"/>
  <c r="AB28" s="1"/>
  <c r="I33" s="1"/>
  <c r="I34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4" i="109"/>
  <c r="I29" s="1"/>
  <c r="I30" s="1"/>
  <c r="AC23"/>
  <c r="AC24" s="1"/>
  <c r="AT2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B24" i="112"/>
  <c r="I29" s="1"/>
  <c r="I30" s="1"/>
  <c r="AC23"/>
  <c r="AC24" s="1"/>
  <c r="AT24" s="1"/>
  <c r="AB24" i="110"/>
  <c r="I29" s="1"/>
  <c r="I30" s="1"/>
  <c r="AC23"/>
  <c r="AC24" s="1"/>
  <c r="AT24" s="1"/>
  <c r="V28" i="108"/>
  <c r="AB27"/>
  <c r="AB28" s="1"/>
  <c r="I33" s="1"/>
  <c r="I34" s="1"/>
  <c r="AN27"/>
  <c r="AR27" s="1"/>
  <c r="AX27" s="1"/>
  <c r="AZ27" s="1"/>
  <c r="BO27" s="1"/>
  <c r="AI28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C26" s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101"/>
  <c r="BN32"/>
  <c r="BM32"/>
  <c r="AD24"/>
  <c r="AH24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X23" i="125" l="1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3" i="101"/>
  <c r="AP27" i="102"/>
  <c r="AH23" i="101"/>
  <c r="AK28" i="102"/>
  <c r="BM36" i="99"/>
  <c r="BN36" s="1"/>
  <c r="AG23" i="101"/>
  <c r="AG24" s="1"/>
  <c r="AE23"/>
  <c r="AE24" s="1"/>
  <c r="BM36"/>
  <c r="BN36" s="1"/>
  <c r="AP23" i="102"/>
  <c r="H19" i="100"/>
  <c r="BM40" i="102"/>
  <c r="BN40" s="1"/>
  <c r="H19" i="10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BP23" i="101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H25" i="91"/>
  <c r="AG23" i="95"/>
  <c r="AG24" s="1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BM36" i="95"/>
  <c r="BN36" s="1"/>
  <c r="AH23" i="91"/>
  <c r="AG24"/>
  <c r="AE25"/>
  <c r="AE24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4" i="94"/>
  <c r="CY24" i="89"/>
  <c r="AP27" i="91"/>
  <c r="AW24" i="94"/>
  <c r="AY24" s="1"/>
  <c r="AH25"/>
  <c r="AE25"/>
  <c r="AH23" i="96"/>
  <c r="AJ23" s="1"/>
  <c r="H19" i="91"/>
  <c r="AE23" i="89"/>
  <c r="AE24" s="1"/>
  <c r="AP24" i="91"/>
  <c r="BM36" i="96"/>
  <c r="BN36" s="1"/>
  <c r="H19" i="89"/>
  <c r="AP23" i="91"/>
  <c r="H19" i="94"/>
  <c r="AH24"/>
  <c r="AK24" i="96"/>
  <c r="BY19" i="89"/>
  <c r="DG23"/>
  <c r="N23" i="94"/>
  <c r="O23" s="1"/>
  <c r="AG24"/>
  <c r="H19" i="95"/>
  <c r="H19" i="98"/>
  <c r="CY23" i="89"/>
  <c r="AH23" i="94"/>
  <c r="AE24"/>
  <c r="AP25"/>
  <c r="AP26"/>
  <c r="CX23" i="89"/>
  <c r="CX24" s="1"/>
  <c r="AH24"/>
  <c r="ED36"/>
  <c r="EE36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101"/>
  <c r="AO23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N23" i="101"/>
  <c r="O24" i="100"/>
  <c r="P24" s="1"/>
  <c r="Q24" s="1"/>
  <c r="O23"/>
  <c r="AG24" i="99"/>
  <c r="AJ23"/>
  <c r="N23"/>
  <c r="AJ25" i="94"/>
  <c r="AO25" s="1"/>
  <c r="AJ23" i="91"/>
  <c r="AO23" s="1"/>
  <c r="AJ26"/>
  <c r="AO26" s="1"/>
  <c r="AJ24"/>
  <c r="AO24" s="1"/>
  <c r="BP24" i="94"/>
  <c r="AJ23" i="89"/>
  <c r="AJ24" i="94"/>
  <c r="AO24" s="1"/>
  <c r="DA23" i="89"/>
  <c r="AJ26" i="94"/>
  <c r="AO26" s="1"/>
  <c r="AJ23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1"/>
  <c r="P27" s="1"/>
  <c r="Q27" s="1"/>
  <c r="O24"/>
  <c r="P24" s="1"/>
  <c r="Q24" s="1"/>
  <c r="O26"/>
  <c r="R23"/>
  <c r="S23" s="1"/>
  <c r="O25"/>
  <c r="AJ27"/>
  <c r="AG28"/>
  <c r="O23" i="89"/>
  <c r="CE23"/>
  <c r="AJ24" i="101" l="1"/>
  <c r="AO23" i="95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O23" i="10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N23" i="10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B24" i="101"/>
  <c r="I29" s="1"/>
  <c r="I30" s="1"/>
  <c r="AC23"/>
  <c r="AC24" s="1"/>
  <c r="AT24" s="1"/>
  <c r="AO23" i="100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<sst xmlns="http://schemas.openxmlformats.org/spreadsheetml/2006/main" count="28327" uniqueCount="705">
  <si>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</si>
  <si>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</si>
  <si>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</si>
  <si>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</si>
  <si>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</si>
  <si>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</si>
  <si>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</si>
  <si>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</si>
  <si>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</si>
  <si>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</si>
  <si>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</si>
  <si>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</si>
  <si>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</si>
  <si>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</si>
  <si>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</si>
  <si>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</si>
  <si>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</si>
  <si>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</si>
  <si>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</si>
  <si>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</si>
  <si>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</si>
  <si>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</si>
  <si>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</si>
  <si>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</si>
  <si>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</si>
  <si>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</si>
  <si>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</si>
  <si>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</si>
  <si>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</si>
  <si>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</si>
  <si>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</si>
  <si>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</si>
  <si>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</si>
  <si>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</si>
  <si>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</si>
  <si>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</si>
  <si>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</si>
  <si>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</si>
  <si>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</si>
  <si>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</si>
  <si>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</si>
  <si>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</si>
  <si>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</si>
  <si>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</si>
  <si>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</si>
  <si>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</si>
  <si>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</si>
  <si>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</si>
  <si>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</si>
  <si>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</si>
  <si>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</si>
  <si>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</si>
  <si>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</si>
  <si>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</si>
  <si>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</si>
  <si>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</si>
  <si>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</si>
  <si>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</si>
  <si>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</si>
  <si>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</si>
  <si>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</si>
  <si>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</si>
  <si>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</si>
  <si>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</si>
  <si>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</si>
  <si>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</si>
  <si>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</si>
  <si>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</si>
  <si>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</si>
  <si>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</si>
  <si>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</si>
  <si>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</si>
  <si>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</si>
  <si>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</si>
  <si>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</si>
  <si>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</si>
  <si>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</si>
  <si>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</si>
  <si>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</si>
  <si>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</si>
  <si>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</si>
  <si>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</si>
  <si>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</si>
  <si>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</si>
  <si>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</si>
  <si>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</si>
  <si>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</si>
  <si>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</si>
  <si>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</si>
  <si>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</si>
  <si>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</si>
  <si>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</si>
  <si>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</si>
  <si>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</si>
  <si>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</si>
  <si>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</si>
  <si>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</si>
  <si>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</si>
  <si>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</si>
  <si>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</si>
  <si>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</si>
  <si>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</si>
  <si>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</si>
  <si>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</si>
  <si>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</si>
  <si>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</si>
  <si>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</si>
  <si>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</si>
  <si>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</si>
  <si>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</si>
  <si>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</si>
  <si>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</si>
  <si>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</si>
  <si>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</si>
  <si>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</si>
  <si>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</si>
  <si>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</si>
  <si>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</si>
  <si>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</si>
  <si>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</si>
  <si>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</si>
  <si>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</si>
  <si>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</si>
  <si>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</si>
  <si>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</si>
  <si>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</si>
  <si>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</si>
  <si>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</si>
  <si>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</si>
  <si>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</si>
  <si>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</si>
  <si>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</si>
  <si>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</si>
  <si>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</si>
  <si>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</si>
  <si>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</si>
  <si>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</si>
  <si>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</si>
  <si>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</si>
  <si>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</si>
  <si>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</si>
  <si>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</si>
  <si>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</si>
  <si>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</si>
  <si>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</si>
  <si>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</si>
  <si>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</si>
  <si>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</si>
  <si>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</si>
  <si>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</si>
  <si>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</si>
  <si>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</si>
  <si>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</si>
  <si>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</si>
  <si>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</si>
  <si>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</si>
  <si>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</si>
  <si>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</si>
  <si>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</si>
  <si>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</si>
  <si>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</si>
  <si>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</si>
  <si>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</si>
  <si>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</si>
  <si>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</si>
  <si>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</si>
  <si>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</si>
  <si>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</si>
  <si>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</si>
  <si>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</si>
  <si>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</si>
  <si>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</si>
  <si>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</si>
  <si>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</si>
  <si>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</si>
  <si>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</si>
  <si>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</si>
  <si>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</si>
  <si>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</si>
  <si>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</si>
  <si>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</si>
  <si>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</si>
  <si>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</si>
  <si>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</si>
  <si>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</si>
  <si>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</si>
  <si>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</si>
  <si>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</si>
  <si>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</si>
  <si>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</si>
  <si>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</si>
  <si>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</si>
  <si>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</si>
  <si>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</si>
  <si>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</si>
  <si>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</si>
  <si>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</si>
  <si>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</si>
  <si>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</si>
  <si>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</si>
  <si>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</si>
  <si>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</si>
  <si>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</si>
  <si>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</si>
  <si>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</si>
  <si>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</si>
  <si>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</si>
  <si>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</si>
  <si>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</si>
  <si>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</si>
  <si>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</si>
  <si>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</si>
  <si>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</si>
  <si>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</si>
  <si>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</si>
  <si>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</si>
  <si>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</si>
  <si>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</si>
  <si>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</si>
  <si>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</si>
  <si>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</si>
  <si>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</si>
  <si>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</si>
  <si>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</si>
  <si>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</si>
  <si>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</si>
  <si>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</si>
  <si>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</si>
  <si>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</si>
  <si>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</si>
  <si>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</si>
  <si>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</si>
  <si>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</si>
  <si>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</si>
  <si>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</si>
  <si>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</si>
  <si>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</si>
  <si>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</si>
  <si>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</si>
  <si>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</si>
  <si>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</si>
  <si>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</si>
  <si>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</si>
  <si>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</si>
  <si>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</si>
  <si>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</si>
  <si>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</si>
  <si>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</si>
  <si>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</si>
  <si>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</si>
  <si>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</si>
  <si>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</si>
  <si>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</si>
  <si>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</si>
  <si>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</si>
  <si>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</si>
  <si>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</si>
  <si>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</si>
  <si>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</si>
  <si>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</si>
  <si>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</si>
  <si>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</si>
  <si>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</si>
  <si>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</si>
  <si>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</si>
  <si>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</si>
  <si>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</si>
  <si>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</si>
  <si>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</si>
  <si>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</si>
  <si>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</si>
  <si>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</si>
  <si>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</si>
  <si>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</si>
  <si>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</si>
  <si>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</si>
  <si>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</si>
  <si>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</si>
  <si>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</si>
  <si>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</si>
  <si>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</si>
  <si>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</si>
  <si>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</si>
  <si>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</si>
  <si>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</si>
  <si>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</si>
  <si>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</si>
  <si>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</si>
  <si>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</si>
  <si>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</si>
  <si>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</si>
  <si>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</si>
  <si>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</si>
  <si>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</si>
  <si>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</si>
  <si>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</si>
  <si>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</si>
  <si>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</si>
  <si>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</si>
  <si>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</si>
  <si>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</si>
  <si>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</si>
  <si>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</si>
  <si>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</si>
  <si>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</si>
  <si>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</si>
  <si>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</si>
  <si>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</si>
  <si>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</si>
  <si>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</si>
  <si>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</si>
  <si>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</si>
  <si>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</si>
  <si>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</si>
  <si>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</si>
  <si>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</si>
  <si>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</si>
  <si>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</si>
  <si>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</si>
  <si>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</si>
  <si>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</si>
  <si>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</si>
  <si>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</si>
  <si>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</si>
  <si>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</si>
  <si>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</si>
  <si>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</si>
  <si>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</si>
  <si>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</si>
  <si>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</si>
  <si>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</si>
  <si>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</si>
  <si>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</si>
  <si>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</si>
  <si>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</si>
  <si>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</si>
  <si>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</si>
  <si>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</si>
  <si>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</si>
  <si>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</si>
  <si>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</si>
  <si>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</si>
  <si>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</si>
  <si>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</si>
  <si>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</si>
  <si>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</si>
  <si>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</si>
  <si>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</si>
  <si>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</si>
  <si>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</si>
  <si>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</si>
  <si>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</si>
  <si>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</si>
  <si>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</si>
  <si>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</si>
  <si>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</si>
  <si>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</si>
  <si>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</si>
  <si>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</si>
  <si>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</si>
  <si>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</si>
  <si>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</si>
  <si>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</si>
  <si>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</si>
  <si>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</si>
  <si>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</si>
  <si>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</si>
  <si>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</si>
  <si>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</si>
  <si>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</si>
  <si>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</si>
  <si>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</si>
  <si>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</si>
  <si>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</si>
  <si>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</si>
  <si>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</si>
  <si>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</si>
  <si>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</si>
  <si>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</si>
  <si>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</si>
  <si>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</si>
  <si>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</si>
  <si>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</si>
  <si>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</si>
  <si>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</si>
  <si>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</si>
  <si>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</si>
  <si>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</si>
  <si>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</si>
  <si>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</si>
  <si>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</si>
  <si>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</si>
  <si>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</si>
  <si>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</si>
  <si>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</si>
  <si>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</si>
  <si>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</si>
  <si>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</si>
  <si>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</si>
  <si>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</si>
  <si>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</si>
  <si>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</si>
  <si>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</si>
  <si>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</si>
  <si>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</si>
  <si>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</si>
  <si>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</si>
  <si>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</si>
  <si>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</si>
  <si>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</si>
  <si>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</si>
  <si>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</si>
  <si>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</si>
  <si>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</si>
  <si>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</si>
  <si>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</si>
  <si>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</si>
  <si>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</si>
  <si>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</si>
  <si>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</si>
  <si>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</si>
  <si>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</si>
  <si>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</si>
  <si>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</si>
  <si>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</si>
  <si>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</si>
  <si>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</si>
  <si>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</si>
  <si>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</si>
  <si>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</si>
  <si>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</si>
  <si>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</si>
  <si>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</si>
  <si>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</si>
  <si>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</si>
  <si>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</si>
  <si>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</si>
  <si>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</si>
  <si>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</si>
  <si>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</si>
  <si>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</si>
  <si>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</si>
  <si>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</si>
  <si>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</si>
  <si>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</si>
  <si>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</si>
  <si>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</si>
  <si>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</si>
  <si>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</si>
  <si>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</si>
  <si>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</si>
  <si>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</si>
  <si>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</si>
  <si>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</si>
  <si>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</si>
  <si>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</si>
  <si>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</si>
  <si>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</si>
  <si>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</si>
  <si>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</si>
  <si>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</si>
  <si>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</si>
  <si>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</si>
  <si>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</si>
  <si>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</si>
  <si>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</si>
  <si>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</si>
  <si>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</si>
  <si>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</si>
  <si>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</si>
  <si>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</si>
  <si>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</si>
  <si>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</si>
  <si>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</si>
  <si>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</si>
  <si>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</si>
  <si>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</si>
  <si>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</si>
  <si>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</si>
  <si>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</si>
  <si>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</si>
  <si>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</si>
  <si>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</si>
  <si>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</si>
  <si>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</si>
  <si>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</si>
  <si>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</si>
  <si>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</si>
  <si>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</si>
  <si>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</si>
  <si>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</si>
  <si>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</si>
  <si>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</si>
  <si>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</si>
  <si>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</si>
  <si>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</si>
  <si>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</si>
  <si>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</si>
  <si>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</si>
  <si>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</si>
  <si>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</si>
  <si>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</si>
  <si>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</si>
  <si>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</si>
  <si>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</si>
  <si>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</si>
  <si>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</si>
  <si>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</si>
  <si>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</si>
  <si>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</si>
  <si>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</si>
  <si>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</si>
  <si>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</si>
  <si>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</si>
  <si>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</si>
  <si>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</si>
  <si>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</si>
  <si>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</si>
  <si>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</si>
  <si>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</si>
  <si>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</si>
  <si>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</si>
  <si>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</si>
  <si>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</si>
  <si>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</si>
  <si>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</si>
  <si>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</si>
  <si>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</si>
  <si>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</si>
  <si>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</si>
  <si>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</si>
  <si>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</si>
  <si>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</si>
  <si>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</si>
  <si>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</si>
  <si>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</si>
  <si>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</si>
  <si>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</si>
  <si>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</si>
  <si>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</si>
  <si>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</si>
  <si>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</si>
  <si>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</si>
  <si>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</si>
  <si>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</si>
  <si>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</si>
  <si>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</si>
  <si>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</si>
  <si>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</si>
  <si>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</si>
  <si>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</si>
  <si>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</si>
  <si>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</si>
  <si>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</si>
  <si>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</si>
  <si>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</si>
  <si>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</si>
  <si>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</si>
  <si>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</si>
  <si>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</si>
  <si>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19</t>
  </si>
  <si>
    <t>475.85788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</si>
  <si>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</si>
  <si>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</si>
  <si>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</si>
  <si>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</si>
  <si>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</si>
  <si>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</si>
  <si>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</si>
  <si>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</si>
  <si>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</si>
  <si>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67</t>
  </si>
  <si>
    <t>INS-WH-SU!</t>
  </si>
  <si>
    <t>RMWH-SU1</t>
  </si>
  <si>
    <t>23</t>
  </si>
  <si>
    <t>235</t>
  </si>
  <si>
    <t>INS-UT-2</t>
  </si>
  <si>
    <t>RM-UT-2</t>
  </si>
  <si>
    <t>445.9</t>
  </si>
  <si>
    <t>DU1-INS WH</t>
  </si>
  <si>
    <t>DU1-RM WH</t>
  </si>
  <si>
    <t>437.03</t>
  </si>
  <si>
    <t>439.98667</t>
  </si>
  <si>
    <t>DU3-INS WH</t>
  </si>
  <si>
    <t>DU3-RM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</si>
  <si>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</si>
  <si>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</si>
  <si>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</si>
  <si>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</si>
  <si>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</si>
  <si>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</si>
  <si>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</si>
  <si>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</si>
  <si>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</si>
  <si>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</si>
  <si>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</si>
  <si>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</si>
  <si>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</si>
  <si>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</si>
  <si>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</si>
  <si>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</si>
  <si>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</si>
  <si>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</si>
  <si>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</si>
  <si>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</si>
  <si>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</si>
  <si>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</si>
  <si>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</si>
  <si>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</si>
  <si>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</si>
  <si>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</si>
  <si>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</si>
  <si>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</si>
  <si>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</si>
  <si>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</si>
  <si>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</si>
  <si>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</si>
  <si>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</si>
  <si>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</si>
  <si>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</si>
  <si>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</si>
  <si>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</si>
  <si>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</si>
  <si>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</si>
  <si>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</si>
  <si>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</si>
  <si>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</si>
  <si>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</si>
  <si>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</si>
  <si>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</si>
  <si>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</si>
  <si>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</si>
  <si>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</si>
  <si>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</si>
  <si>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</si>
  <si>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</si>
  <si>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</si>
  <si>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</si>
  <si>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</si>
  <si>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</si>
  <si>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</si>
  <si>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</si>
  <si>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</si>
  <si>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</si>
  <si>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</si>
  <si>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</si>
  <si>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</si>
  <si>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</si>
  <si>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</si>
  <si>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</si>
  <si>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</si>
  <si>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</si>
  <si>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</si>
  <si>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</si>
  <si>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</si>
  <si>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</si>
  <si>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</si>
  <si>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</si>
  <si>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</si>
  <si>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</si>
  <si>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</si>
  <si>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</si>
  <si>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</si>
  <si>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</si>
  <si>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</si>
  <si>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</si>
  <si>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</si>
  <si>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</si>
  <si>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</si>
  <si>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4700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</si>
  <si>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</si>
  <si>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</si>
  <si>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</si>
  <si>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</si>
  <si>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</si>
  <si>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</si>
  <si>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</si>
  <si>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</si>
  <si>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5834.78</t>
  </si>
  <si>
    <t>477</t>
  </si>
  <si>
    <t>2578.89079</t>
  </si>
  <si>
    <t>RM-U5</t>
  </si>
  <si>
    <t>RM-U6</t>
  </si>
  <si>
    <t>RM-U7</t>
  </si>
  <si>
    <t>RM-U8</t>
  </si>
  <si>
    <t>BENNY ASSOCIATES(AP)</t>
  </si>
  <si>
    <t>0.28</t>
  </si>
  <si>
    <t>INPUT CGST 14%</t>
  </si>
  <si>
    <t>INPUT SGST 14%</t>
  </si>
  <si>
    <t>5740.67</t>
  </si>
  <si>
    <t>515</t>
  </si>
  <si>
    <t>2811.45641</t>
  </si>
  <si>
    <t>6000</t>
  </si>
  <si>
    <t>5646.56</t>
  </si>
  <si>
    <t>519</t>
  </si>
  <si>
    <t>2833.1256</t>
  </si>
  <si>
    <t>558.95</t>
  </si>
  <si>
    <t>835</t>
  </si>
  <si>
    <t>567.15266</t>
  </si>
  <si>
    <t>6211.22</t>
  </si>
  <si>
    <t>521</t>
  </si>
  <si>
    <t>2845.00953</t>
  </si>
  <si>
    <t>6800</t>
  </si>
  <si>
    <t>837</t>
  </si>
  <si>
    <t>567.13306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</si>
</sst>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3" fillId="0" borderId="0">
      <alignment vertical="center"/>
    </xf>
    <xf numFmtId="0" fontId="13" fillId="0" borderId="0">
      <alignment vertical="center"/>
    </xf>
  </cellStyleXfs>
  <cellXfs count="310">
    <xf numFmtId="0" fontId="0" fillId="0" borderId="0" xfId="0"/>
    <xf numFmtId="0" fontId="6" fillId="0" borderId="0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/>
    <xf numFmtId="0" fontId="8" fillId="0" borderId="5" xfId="0" applyFont="1" applyFill="1" applyBorder="1" applyAlignment="1"/>
    <xf numFmtId="164" fontId="8" fillId="0" borderId="5" xfId="0" applyNumberFormat="1" applyFont="1" applyFill="1" applyBorder="1" applyAlignment="1"/>
    <xf numFmtId="2" fontId="8" fillId="0" borderId="5" xfId="0" applyNumberFormat="1" applyFont="1" applyFill="1" applyBorder="1" applyAlignment="1"/>
    <xf numFmtId="2" fontId="8" fillId="0" borderId="6" xfId="0" applyNumberFormat="1" applyFont="1" applyFill="1" applyBorder="1" applyAlignment="1"/>
    <xf numFmtId="0" fontId="8" fillId="0" borderId="7" xfId="0" applyFont="1" applyFill="1" applyBorder="1" applyAlignment="1"/>
    <xf numFmtId="0" fontId="8" fillId="0" borderId="8" xfId="0" applyFont="1" applyFill="1" applyBorder="1" applyAlignment="1"/>
    <xf numFmtId="164" fontId="8" fillId="0" borderId="8" xfId="0" applyNumberFormat="1" applyFont="1" applyFill="1" applyBorder="1" applyAlignment="1"/>
    <xf numFmtId="2" fontId="8" fillId="0" borderId="8" xfId="0" applyNumberFormat="1" applyFont="1" applyFill="1" applyBorder="1" applyAlignment="1"/>
    <xf numFmtId="2" fontId="8" fillId="0" borderId="9" xfId="0" applyNumberFormat="1" applyFont="1" applyFill="1" applyBorder="1" applyAlignment="1"/>
    <xf numFmtId="0" fontId="8" fillId="0" borderId="0" xfId="0" applyFont="1" applyFill="1" applyAlignment="1"/>
    <xf numFmtId="0" fontId="7" fillId="3" borderId="11" xfId="0" applyFont="1" applyFill="1" applyBorder="1" applyAlignment="1">
      <alignment vertical="top"/>
    </xf>
    <xf numFmtId="0" fontId="7" fillId="0" borderId="0" xfId="0" applyFont="1" applyFill="1" applyBorder="1" applyAlignment="1"/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/>
    <xf numFmtId="0" fontId="8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7" fillId="3" borderId="14" xfId="0" applyFont="1" applyFill="1" applyBorder="1" applyAlignment="1"/>
    <xf numFmtId="0" fontId="7" fillId="3" borderId="15" xfId="0" applyFont="1" applyFill="1" applyBorder="1" applyAlignment="1"/>
    <xf numFmtId="0" fontId="7" fillId="3" borderId="13" xfId="0" applyFont="1" applyFill="1" applyBorder="1" applyAlignment="1"/>
    <xf numFmtId="10" fontId="8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8" fillId="0" borderId="0" xfId="0" applyFont="1" applyFill="1" applyBorder="1" applyAlignment="1"/>
    <xf numFmtId="0" fontId="7" fillId="4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7" fillId="6" borderId="12" xfId="0" applyFont="1" applyFill="1" applyBorder="1" applyAlignment="1">
      <alignment horizontal="center" vertical="center"/>
    </xf>
    <xf numFmtId="0" fontId="7" fillId="3" borderId="13" xfId="0" applyNumberFormat="1" applyFont="1" applyFill="1" applyBorder="1" applyAlignment="1"/>
    <xf numFmtId="2" fontId="7" fillId="3" borderId="13" xfId="0" applyNumberFormat="1" applyFont="1" applyFill="1" applyBorder="1" applyAlignment="1"/>
    <xf numFmtId="0" fontId="7" fillId="7" borderId="1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 wrapText="1"/>
    </xf>
    <xf numFmtId="10" fontId="8" fillId="0" borderId="13" xfId="0" applyNumberFormat="1" applyFont="1" applyFill="1" applyBorder="1" applyAlignment="1"/>
    <xf numFmtId="0" fontId="7" fillId="7" borderId="13" xfId="0" applyFont="1" applyFill="1" applyBorder="1" applyAlignment="1"/>
    <xf numFmtId="2" fontId="7" fillId="7" borderId="13" xfId="0" applyNumberFormat="1" applyFont="1" applyFill="1" applyBorder="1" applyAlignment="1"/>
    <xf numFmtId="0" fontId="7" fillId="8" borderId="12" xfId="0" applyFont="1" applyFill="1" applyBorder="1" applyAlignment="1">
      <alignment horizontal="center" vertical="center"/>
    </xf>
    <xf numFmtId="0" fontId="8" fillId="2" borderId="2" xfId="0" applyFont="1" applyFill="1" applyBorder="1" applyAlignment="1"/>
    <xf numFmtId="0" fontId="8" fillId="0" borderId="5" xfId="0" applyNumberFormat="1" applyFont="1" applyFill="1" applyBorder="1" applyAlignment="1"/>
    <xf numFmtId="0" fontId="8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0" applyFont="1" applyBorder="1" applyAlignment="1">
      <alignment horizontal="left" vertical="top"/>
    </xf>
    <xf numFmtId="0" fontId="8" fillId="0" borderId="4" xfId="0" applyFont="1" applyBorder="1"/>
    <xf numFmtId="0" fontId="8" fillId="0" borderId="5" xfId="0" applyFont="1" applyBorder="1"/>
    <xf numFmtId="164" fontId="8" fillId="0" borderId="5" xfId="0" applyNumberFormat="1" applyFont="1" applyBorder="1"/>
    <xf numFmtId="2" fontId="8" fillId="0" borderId="5" xfId="0" applyNumberFormat="1" applyFont="1" applyBorder="1"/>
    <xf numFmtId="2" fontId="8" fillId="0" borderId="6" xfId="0" applyNumberFormat="1" applyFont="1" applyBorder="1"/>
    <xf numFmtId="0" fontId="8" fillId="0" borderId="7" xfId="0" applyFont="1" applyBorder="1"/>
    <xf numFmtId="0" fontId="8" fillId="0" borderId="8" xfId="0" applyFont="1" applyBorder="1"/>
    <xf numFmtId="164" fontId="8" fillId="0" borderId="8" xfId="0" applyNumberFormat="1" applyFont="1" applyBorder="1"/>
    <xf numFmtId="2" fontId="8" fillId="0" borderId="8" xfId="0" applyNumberFormat="1" applyFont="1" applyBorder="1"/>
    <xf numFmtId="2" fontId="8" fillId="0" borderId="9" xfId="0" applyNumberFormat="1" applyFont="1" applyBorder="1"/>
    <xf numFmtId="0" fontId="8" fillId="0" borderId="0" xfId="0" applyFont="1"/>
    <xf numFmtId="0" fontId="7" fillId="0" borderId="0" xfId="0" applyFont="1" applyFill="1" applyBorder="1"/>
    <xf numFmtId="0" fontId="8" fillId="0" borderId="13" xfId="0" applyFont="1" applyBorder="1"/>
    <xf numFmtId="0" fontId="8" fillId="0" borderId="13" xfId="0" applyNumberFormat="1" applyFont="1" applyBorder="1"/>
    <xf numFmtId="0" fontId="0" fillId="0" borderId="0" xfId="0" applyBorder="1" applyAlignment="1"/>
    <xf numFmtId="0" fontId="7" fillId="3" borderId="13" xfId="0" applyFont="1" applyFill="1" applyBorder="1"/>
    <xf numFmtId="10" fontId="8" fillId="0" borderId="0" xfId="0" applyNumberFormat="1" applyFont="1" applyFill="1" applyBorder="1"/>
    <xf numFmtId="2" fontId="8" fillId="0" borderId="0" xfId="0" applyNumberFormat="1" applyFont="1" applyFill="1" applyBorder="1"/>
    <xf numFmtId="0" fontId="8" fillId="0" borderId="0" xfId="0" applyFont="1" applyBorder="1"/>
    <xf numFmtId="0" fontId="8" fillId="0" borderId="0" xfId="0" applyFont="1" applyFill="1" applyBorder="1"/>
    <xf numFmtId="0" fontId="9" fillId="0" borderId="0" xfId="0" applyFont="1"/>
    <xf numFmtId="0" fontId="7" fillId="3" borderId="13" xfId="0" applyNumberFormat="1" applyFont="1" applyFill="1" applyBorder="1"/>
    <xf numFmtId="2" fontId="7" fillId="3" borderId="13" xfId="0" applyNumberFormat="1" applyFont="1" applyFill="1" applyBorder="1"/>
    <xf numFmtId="10" fontId="8" fillId="0" borderId="13" xfId="0" applyNumberFormat="1" applyFont="1" applyBorder="1"/>
    <xf numFmtId="0" fontId="7" fillId="7" borderId="13" xfId="0" applyFont="1" applyFill="1" applyBorder="1"/>
    <xf numFmtId="2" fontId="7" fillId="7" borderId="13" xfId="0" applyNumberFormat="1" applyFont="1" applyFill="1" applyBorder="1"/>
    <xf numFmtId="0" fontId="8" fillId="2" borderId="2" xfId="0" applyFont="1" applyFill="1" applyBorder="1"/>
    <xf numFmtId="0" fontId="8" fillId="0" borderId="5" xfId="0" applyNumberFormat="1" applyFont="1" applyBorder="1"/>
    <xf numFmtId="0" fontId="8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8" fillId="0" borderId="13" xfId="0" applyNumberFormat="1" applyFont="1" applyBorder="1"/>
    <xf numFmtId="0" fontId="8" fillId="2" borderId="21" xfId="0" applyFont="1" applyFill="1" applyBorder="1"/>
    <xf numFmtId="0" fontId="8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0" fillId="9" borderId="22" xfId="0" applyFont="1" applyFill="1" applyBorder="1"/>
    <xf numFmtId="0" fontId="10" fillId="10" borderId="22" xfId="0" applyFont="1" applyFill="1" applyBorder="1"/>
    <xf numFmtId="0" fontId="0" fillId="0" borderId="17" xfId="0" applyNumberFormat="1" applyBorder="1"/>
    <xf numFmtId="0" fontId="7" fillId="2" borderId="13" xfId="0" applyFont="1" applyFill="1" applyBorder="1" applyAlignment="1">
      <alignment horizontal="center" vertical="center"/>
    </xf>
    <xf numFmtId="0" fontId="7" fillId="3" borderId="24" xfId="0" applyFont="1" applyFill="1" applyBorder="1" applyAlignment="1"/>
    <xf numFmtId="0" fontId="7" fillId="4" borderId="13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8" fillId="0" borderId="0" xfId="0" applyFont="1" applyAlignment="1"/>
    <xf numFmtId="0" fontId="8" fillId="0" borderId="12" xfId="0" applyFont="1" applyBorder="1"/>
    <xf numFmtId="0" fontId="7" fillId="6" borderId="13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8" fillId="0" borderId="13" xfId="0" applyNumberFormat="1" applyFont="1" applyBorder="1"/>
    <xf numFmtId="9" fontId="8" fillId="0" borderId="13" xfId="0" applyNumberFormat="1" applyFont="1" applyBorder="1"/>
    <xf numFmtId="9" fontId="7" fillId="3" borderId="13" xfId="0" applyNumberFormat="1" applyFont="1" applyFill="1" applyBorder="1"/>
    <xf numFmtId="0" fontId="8" fillId="0" borderId="5" xfId="1" applyFont="1" applyBorder="1" applyAlignment="1"/>
    <xf numFmtId="0" fontId="1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7" borderId="13" xfId="0" applyFont="1" applyFill="1" applyBorder="1" applyAlignment="1">
      <alignment horizontal="center" vertical="center" wrapText="1"/>
    </xf>
    <xf numFmtId="165" fontId="8" fillId="0" borderId="13" xfId="0" applyNumberFormat="1" applyFont="1" applyBorder="1"/>
    <xf numFmtId="0" fontId="7" fillId="7" borderId="13" xfId="0" applyNumberFormat="1" applyFont="1" applyFill="1" applyBorder="1"/>
    <xf numFmtId="0" fontId="8" fillId="0" borderId="2" xfId="0" applyFont="1" applyBorder="1"/>
    <xf numFmtId="0" fontId="0" fillId="0" borderId="17" xfId="0" applyBorder="1"/>
    <xf numFmtId="0" fontId="0" fillId="0" borderId="25" xfId="0" applyBorder="1"/>
    <xf numFmtId="0" fontId="8" fillId="0" borderId="3" xfId="0" applyFont="1" applyBorder="1"/>
    <xf numFmtId="0" fontId="8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8" fillId="0" borderId="0" xfId="0" applyNumberFormat="1" applyFont="1"/>
    <xf numFmtId="0" fontId="8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8" fillId="0" borderId="0" xfId="0" quotePrefix="1" applyFont="1"/>
    <xf numFmtId="0" fontId="14" fillId="0" borderId="0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Border="1" applyAlignment="1">
      <alignment horizontal="left" vertical="top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5" fillId="0" borderId="4" xfId="0" applyFont="1" applyBorder="1"/>
    <xf numFmtId="0" fontId="15" fillId="0" borderId="5" xfId="0" applyFont="1" applyBorder="1"/>
    <xf numFmtId="164" fontId="15" fillId="0" borderId="5" xfId="0" applyNumberFormat="1" applyFont="1" applyBorder="1"/>
    <xf numFmtId="2" fontId="15" fillId="0" borderId="5" xfId="0" applyNumberFormat="1" applyFont="1" applyBorder="1"/>
    <xf numFmtId="2" fontId="15" fillId="0" borderId="6" xfId="0" applyNumberFormat="1" applyFont="1" applyBorder="1"/>
    <xf numFmtId="0" fontId="15" fillId="0" borderId="7" xfId="0" applyFont="1" applyBorder="1"/>
    <xf numFmtId="0" fontId="15" fillId="0" borderId="8" xfId="0" applyFont="1" applyBorder="1"/>
    <xf numFmtId="164" fontId="15" fillId="0" borderId="8" xfId="0" applyNumberFormat="1" applyFont="1" applyBorder="1"/>
    <xf numFmtId="2" fontId="15" fillId="0" borderId="8" xfId="0" applyNumberFormat="1" applyFont="1" applyBorder="1"/>
    <xf numFmtId="2" fontId="15" fillId="0" borderId="9" xfId="0" applyNumberFormat="1" applyFont="1" applyBorder="1"/>
    <xf numFmtId="0" fontId="16" fillId="3" borderId="11" xfId="0" applyFont="1" applyFill="1" applyBorder="1" applyAlignment="1">
      <alignment vertical="top"/>
    </xf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/>
    <xf numFmtId="0" fontId="16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6" borderId="13" xfId="0" applyFont="1" applyFill="1" applyBorder="1" applyAlignment="1">
      <alignment horizontal="center" vertical="center"/>
    </xf>
    <xf numFmtId="0" fontId="16" fillId="6" borderId="12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6" fillId="8" borderId="13" xfId="0" applyFont="1" applyFill="1" applyBorder="1" applyAlignment="1">
      <alignment horizontal="center" vertical="center" wrapText="1"/>
    </xf>
    <xf numFmtId="0" fontId="15" fillId="2" borderId="2" xfId="0" applyFont="1" applyFill="1" applyBorder="1"/>
    <xf numFmtId="0" fontId="15" fillId="2" borderId="16" xfId="0" applyFont="1" applyFill="1" applyBorder="1"/>
    <xf numFmtId="0" fontId="15" fillId="2" borderId="2" xfId="0" applyFont="1" applyFill="1" applyBorder="1" applyAlignment="1"/>
    <xf numFmtId="0" fontId="15" fillId="0" borderId="13" xfId="0" applyFont="1" applyBorder="1"/>
    <xf numFmtId="0" fontId="15" fillId="0" borderId="13" xfId="0" applyNumberFormat="1" applyFont="1" applyBorder="1"/>
    <xf numFmtId="2" fontId="15" fillId="0" borderId="13" xfId="0" applyNumberFormat="1" applyFont="1" applyBorder="1"/>
    <xf numFmtId="10" fontId="15" fillId="0" borderId="13" xfId="0" applyNumberFormat="1" applyFont="1" applyBorder="1"/>
    <xf numFmtId="9" fontId="15" fillId="0" borderId="13" xfId="0" applyNumberFormat="1" applyFont="1" applyBorder="1"/>
    <xf numFmtId="164" fontId="15" fillId="0" borderId="13" xfId="0" applyNumberFormat="1" applyFont="1" applyBorder="1"/>
    <xf numFmtId="0" fontId="15" fillId="0" borderId="5" xfId="0" applyNumberFormat="1" applyFont="1" applyBorder="1"/>
    <xf numFmtId="0" fontId="15" fillId="0" borderId="5" xfId="1" applyFont="1" applyBorder="1" applyAlignment="1"/>
    <xf numFmtId="0" fontId="16" fillId="3" borderId="24" xfId="0" applyFont="1" applyFill="1" applyBorder="1" applyAlignment="1"/>
    <xf numFmtId="0" fontId="16" fillId="3" borderId="14" xfId="0" applyFont="1" applyFill="1" applyBorder="1" applyAlignment="1"/>
    <xf numFmtId="0" fontId="16" fillId="3" borderId="15" xfId="0" applyFont="1" applyFill="1" applyBorder="1" applyAlignment="1"/>
    <xf numFmtId="0" fontId="16" fillId="3" borderId="13" xfId="0" applyFont="1" applyFill="1" applyBorder="1"/>
    <xf numFmtId="0" fontId="16" fillId="3" borderId="13" xfId="0" applyNumberFormat="1" applyFont="1" applyFill="1" applyBorder="1"/>
    <xf numFmtId="9" fontId="16" fillId="3" borderId="13" xfId="0" applyNumberFormat="1" applyFont="1" applyFill="1" applyBorder="1"/>
    <xf numFmtId="0" fontId="16" fillId="7" borderId="13" xfId="0" applyFont="1" applyFill="1" applyBorder="1"/>
    <xf numFmtId="2" fontId="16" fillId="7" borderId="13" xfId="0" applyNumberFormat="1" applyFont="1" applyFill="1" applyBorder="1"/>
    <xf numFmtId="0" fontId="15" fillId="0" borderId="0" xfId="0" applyFont="1" applyAlignment="1"/>
    <xf numFmtId="0" fontId="15" fillId="0" borderId="0" xfId="0" quotePrefix="1" applyFont="1"/>
    <xf numFmtId="0" fontId="15" fillId="0" borderId="12" xfId="0" applyFont="1" applyBorder="1"/>
    <xf numFmtId="0" fontId="15" fillId="2" borderId="2" xfId="1" applyFont="1" applyFill="1" applyBorder="1" applyAlignment="1"/>
    <xf numFmtId="0" fontId="15" fillId="2" borderId="21" xfId="1" applyFont="1" applyFill="1" applyBorder="1" applyAlignment="1"/>
    <xf numFmtId="0" fontId="13" fillId="0" borderId="0" xfId="1" applyFont="1" applyAlignment="1">
      <alignment vertical="center"/>
    </xf>
    <xf numFmtId="49" fontId="13" fillId="0" borderId="0" xfId="1" applyNumberFormat="1" applyFont="1" applyAlignment="1">
      <alignment horizontal="left"/>
    </xf>
    <xf numFmtId="0" fontId="17" fillId="0" borderId="0" xfId="1" applyFont="1" applyAlignment="1">
      <alignment vertical="center"/>
    </xf>
    <xf numFmtId="0" fontId="13" fillId="0" borderId="0" xfId="1" applyFont="1" applyAlignment="1"/>
    <xf numFmtId="0" fontId="17" fillId="0" borderId="0" xfId="1" applyFont="1" applyAlignment="1"/>
    <xf numFmtId="0" fontId="6" fillId="0" borderId="0" xfId="0" applyFont="1" applyBorder="1" applyAlignment="1">
      <alignment horizontal="left" vertical="top"/>
    </xf>
    <xf numFmtId="10" fontId="15" fillId="0" borderId="0" xfId="0" applyNumberFormat="1" applyFont="1" applyFill="1" applyBorder="1"/>
    <xf numFmtId="2" fontId="15" fillId="0" borderId="0" xfId="0" applyNumberFormat="1" applyFont="1" applyFill="1" applyBorder="1"/>
    <xf numFmtId="0" fontId="18" fillId="0" borderId="0" xfId="0" applyFont="1"/>
    <xf numFmtId="0" fontId="15" fillId="0" borderId="0" xfId="0" applyFont="1" applyBorder="1"/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/>
    </xf>
    <xf numFmtId="0" fontId="16" fillId="2" borderId="12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/>
    </xf>
    <xf numFmtId="2" fontId="16" fillId="3" borderId="13" xfId="0" applyNumberFormat="1" applyFont="1" applyFill="1" applyBorder="1"/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5" fillId="2" borderId="26" xfId="1" applyFont="1" applyFill="1" applyBorder="1" applyAlignment="1"/>
    <xf numFmtId="0" fontId="15" fillId="2" borderId="17" xfId="1" applyFont="1" applyFill="1" applyBorder="1" applyAlignment="1"/>
    <xf numFmtId="0" fontId="15" fillId="2" borderId="27" xfId="1" applyFont="1" applyFill="1" applyBorder="1" applyAlignment="1"/>
    <xf numFmtId="0" fontId="5" fillId="0" borderId="0" xfId="0" applyFont="1"/>
    <xf numFmtId="0" fontId="0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4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8" fillId="2" borderId="17" xfId="1" applyFont="1" applyFill="1" applyBorder="1" applyAlignment="1"/>
    <xf numFmtId="0" fontId="8" fillId="2" borderId="27" xfId="1" applyFont="1" applyFill="1" applyBorder="1" applyAlignment="1"/>
    <xf numFmtId="0" fontId="6" fillId="0" borderId="0" xfId="0" applyFont="1" applyBorder="1" applyAlignment="1">
      <alignment horizontal="left" vertical="top"/>
    </xf>
    <xf numFmtId="0" fontId="7" fillId="13" borderId="13" xfId="0" applyFont="1" applyFill="1" applyBorder="1" applyAlignment="1">
      <alignment horizontal="center" vertical="center"/>
    </xf>
    <xf numFmtId="0" fontId="8" fillId="2" borderId="2" xfId="1" applyFont="1" applyFill="1" applyBorder="1" applyAlignment="1"/>
    <xf numFmtId="0" fontId="8" fillId="2" borderId="26" xfId="1" applyFont="1" applyFill="1" applyBorder="1" applyAlignment="1"/>
    <xf numFmtId="0" fontId="3" fillId="0" borderId="0" xfId="1" applyFont="1" applyAlignment="1">
      <alignment vertical="center"/>
    </xf>
    <xf numFmtId="49" fontId="3" fillId="0" borderId="0" xfId="1" applyNumberFormat="1" applyFont="1" applyAlignment="1">
      <alignment horizontal="left"/>
    </xf>
    <xf numFmtId="0" fontId="3" fillId="0" borderId="0" xfId="1" applyFont="1" applyAlignment="1"/>
    <xf numFmtId="0" fontId="3" fillId="0" borderId="0" xfId="0" applyFont="1"/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9" fillId="0" borderId="0" xfId="0" applyFont="1"/>
    <xf numFmtId="0" fontId="20" fillId="0" borderId="0" xfId="0" applyFont="1"/>
    <xf numFmtId="0" fontId="2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21" fillId="0" borderId="0" xfId="0" applyFont="1"/>
    <xf numFmtId="0" fontId="14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2" fontId="7" fillId="0" borderId="0" xfId="0" applyNumberFormat="1" applyFont="1" applyFill="1" applyBorder="1" applyAlignment="1">
      <alignment horizontal="right"/>
    </xf>
    <xf numFmtId="0" fontId="8" fillId="0" borderId="0" xfId="0" applyFont="1" applyFill="1" applyBorder="1" applyAlignment="1">
      <alignment horizontal="left"/>
    </xf>
    <xf numFmtId="0" fontId="6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8" fillId="0" borderId="0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7" fillId="7" borderId="13" xfId="0" applyFont="1" applyFill="1" applyBorder="1" applyAlignment="1">
      <alignment horizontal="right"/>
    </xf>
    <xf numFmtId="0" fontId="7" fillId="0" borderId="13" xfId="0" applyFont="1" applyBorder="1" applyAlignment="1">
      <alignment horizontal="right"/>
    </xf>
    <xf numFmtId="0" fontId="6" fillId="0" borderId="23" xfId="0" applyFont="1" applyBorder="1" applyAlignment="1">
      <alignment horizontal="center" vertical="center"/>
    </xf>
    <xf numFmtId="0" fontId="7" fillId="3" borderId="13" xfId="0" applyFont="1" applyFill="1" applyBorder="1" applyAlignment="1">
      <alignment horizontal="center"/>
    </xf>
    <xf numFmtId="0" fontId="7" fillId="11" borderId="24" xfId="0" applyFont="1" applyFill="1" applyBorder="1" applyAlignment="1">
      <alignment horizontal="center"/>
    </xf>
    <xf numFmtId="0" fontId="7" fillId="11" borderId="14" xfId="0" applyFont="1" applyFill="1" applyBorder="1" applyAlignment="1">
      <alignment horizontal="center"/>
    </xf>
    <xf numFmtId="0" fontId="7" fillId="11" borderId="15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12" borderId="13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3" borderId="20" xfId="0" applyFont="1" applyFill="1" applyBorder="1" applyAlignment="1">
      <alignment horizontal="center" vertical="top"/>
    </xf>
    <xf numFmtId="0" fontId="7" fillId="7" borderId="24" xfId="0" applyFont="1" applyFill="1" applyBorder="1" applyAlignment="1">
      <alignment horizontal="right"/>
    </xf>
    <xf numFmtId="0" fontId="7" fillId="7" borderId="15" xfId="0" applyFont="1" applyFill="1" applyBorder="1" applyAlignment="1">
      <alignment horizontal="right"/>
    </xf>
    <xf numFmtId="0" fontId="7" fillId="0" borderId="24" xfId="0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0" fontId="8" fillId="0" borderId="23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top"/>
    </xf>
    <xf numFmtId="0" fontId="16" fillId="11" borderId="24" xfId="0" applyFont="1" applyFill="1" applyBorder="1" applyAlignment="1">
      <alignment horizontal="center"/>
    </xf>
    <xf numFmtId="0" fontId="16" fillId="11" borderId="14" xfId="0" applyFont="1" applyFill="1" applyBorder="1" applyAlignment="1">
      <alignment horizontal="center"/>
    </xf>
    <xf numFmtId="0" fontId="16" fillId="11" borderId="15" xfId="0" applyFont="1" applyFill="1" applyBorder="1" applyAlignment="1">
      <alignment horizontal="center"/>
    </xf>
    <xf numFmtId="0" fontId="14" fillId="0" borderId="23" xfId="0" applyFont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top"/>
    </xf>
    <xf numFmtId="0" fontId="15" fillId="0" borderId="0" xfId="0" applyFont="1" applyFill="1" applyBorder="1" applyAlignment="1">
      <alignment horizontal="left" vertical="center"/>
    </xf>
    <xf numFmtId="0" fontId="15" fillId="0" borderId="24" xfId="0" applyFont="1" applyBorder="1" applyAlignment="1">
      <alignment horizontal="left"/>
    </xf>
    <xf numFmtId="0" fontId="15" fillId="0" borderId="15" xfId="0" applyFont="1" applyBorder="1" applyAlignment="1">
      <alignment horizontal="left"/>
    </xf>
    <xf numFmtId="0" fontId="16" fillId="0" borderId="13" xfId="0" applyFont="1" applyBorder="1" applyAlignment="1">
      <alignment horizontal="right"/>
    </xf>
    <xf numFmtId="0" fontId="16" fillId="7" borderId="13" xfId="0" applyFont="1" applyFill="1" applyBorder="1" applyAlignment="1">
      <alignment horizontal="right"/>
    </xf>
    <xf numFmtId="0" fontId="14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externalLinks/externalLink1.xml" Type="http://schemas.openxmlformats.org/officeDocument/2006/relationships/externalLink"/><Relationship Id="rId136" Target="theme/theme1.xml" Type="http://schemas.openxmlformats.org/officeDocument/2006/relationships/theme"/><Relationship Id="rId137" Target="styles.xml" Type="http://schemas.openxmlformats.org/officeDocument/2006/relationships/styles"/><Relationship Id="rId138" Target="sharedStrings.xml" Type="http://schemas.openxmlformats.org/officeDocument/2006/relationships/sharedStrings"/><Relationship Id="rId139" Target="calcChain.xml" Type="http://schemas.openxmlformats.org/officeDocument/2006/relationships/calcChain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externalLinks/_rels/externalLink1.xml.rels><?xml version="1.0" encoding="UTF-8" standalone="yes"?><Relationships xmlns="http://schemas.openxmlformats.org/package/2006/relationships"><Relationship Id="rId1" Target="DBDETAILS1712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81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9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https://webappqc.roadmaperp.com:8765/ords/r/autojen27/scm-us9011/warehouse1?p367019101_rowid=AABFg5AAJAAEIFuAAT&amp;p367019101_store_id=DU3-INS%20WH&amp;session=6019243164867" TargetMode="External" Type="http://schemas.openxmlformats.org/officeDocument/2006/relationships/hyperlink"/><Relationship Id="rId2" Target="../printerSettings/printerSettings24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https://webappqc.roadmaperp.com:8765/ords/r/autojen27/scm-us9011/warehouse1?p367019101_rowid=AABFg5AAJAAEIFvAAL&amp;p367019101_store_id=INS%20WH-DC1&amp;session=16961274983825" TargetMode="External" Type="http://schemas.openxmlformats.org/officeDocument/2006/relationships/hyperlink"/><Relationship Id="rId2" Target="../printerSettings/printerSettings36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customWidth="true" width="15.42578125"/>
    <col min="2" max="2" customWidth="true" width="16.140625"/>
    <col min="3" max="3" customWidth="true" width="10.7109375"/>
    <col min="4" max="4" customWidth="true" width="15.5703125"/>
    <col min="5" max="5" customWidth="true" width="8.7109375"/>
    <col min="6" max="6" customWidth="true" width="13.7109375"/>
    <col min="7" max="7" customWidth="true" width="26.85546875"/>
    <col min="8" max="8" customWidth="true" width="11.140625"/>
    <col min="9" max="9" customWidth="true" width="13.140625"/>
    <col min="10" max="10" customWidth="true" width="15.7109375"/>
    <col min="22" max="22" customWidth="true" width="13.5703125"/>
    <col min="23" max="23" customWidth="true" width="12.42578125"/>
    <col min="24" max="24" customWidth="true" width="17.85546875"/>
    <col min="25" max="25" customWidth="true" width="8.140625"/>
    <col min="26" max="26" customWidth="true" width="21.140625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 s="0">
        <v>26</v>
      </c>
      <c r="B2" t="s" s="0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 s="0">
        <v>35</v>
      </c>
      <c r="B3" t="s" s="0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 s="0">
        <v>42</v>
      </c>
      <c r="B4" t="s" s="0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customWidth="true" width="21.42578125"/>
    <col min="3" max="3" customWidth="true" width="26.85546875"/>
    <col min="4" max="4" customWidth="true" width="62.7109375"/>
    <col min="5" max="5" customWidth="true" width="11.28515625"/>
    <col min="6" max="6" customWidth="true" width="17.5703125"/>
    <col min="9" max="9" customWidth="true" width="15.28515625"/>
    <col min="12" max="12" customWidth="true" width="16.28515625"/>
    <col min="13" max="13" customWidth="true" width="13.85546875"/>
    <col min="14" max="14" customWidth="true" width="18.85546875"/>
    <col min="15" max="15" customWidth="true" width="19.0"/>
    <col min="16" max="16" customWidth="true" width="21.7109375"/>
    <col min="17" max="17" customWidth="true" width="37.7109375"/>
    <col min="18" max="18" customWidth="true" width="13.7109375"/>
    <col min="19" max="19" customWidth="true" width="12.42578125"/>
    <col min="20" max="20" customWidth="true" width="12.5703125"/>
    <col min="22" max="22" customWidth="true" width="30.5703125"/>
    <col min="23" max="23" customWidth="true" width="9.42578125"/>
    <col min="24" max="24" customWidth="true" width="10.7109375"/>
    <col min="27" max="27" customWidth="true" width="12.85546875"/>
    <col min="28" max="28" customWidth="true" width="10.7109375"/>
    <col min="30" max="31" customWidth="true" width="10.7109375"/>
    <col min="32" max="32" customWidth="true" width="14.28515625"/>
    <col min="33" max="33" customWidth="true" width="10.7109375"/>
    <col min="35" max="35" customWidth="true" width="13.5703125"/>
    <col min="36" max="36" customWidth="true" width="15.5703125"/>
    <col min="40" max="40" customWidth="true" width="11.85546875"/>
    <col min="41" max="41" customWidth="true" width="23.28515625"/>
    <col min="42" max="42" customWidth="true" width="9.425781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5703125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 s="0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 s="0">
        <v>147</v>
      </c>
      <c r="AS23" t="s" s="0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 s="0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 s="0">
        <v>150</v>
      </c>
      <c r="AS24" t="s" s="0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 s="0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 s="0">
        <v>42</v>
      </c>
      <c r="AS25" t="s" s="0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73"/>
      <c r="J33" s="273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73"/>
      <c r="J34" s="273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73"/>
      <c r="J35" s="273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74"/>
      <c r="H36" s="274"/>
      <c r="I36" s="273"/>
      <c r="J36" s="273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74"/>
      <c r="H37" s="274"/>
      <c r="I37" s="273"/>
      <c r="J37" s="273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customWidth="true" width="11.85546875"/>
    <col min="12" max="12" customWidth="true" width="13.85546875"/>
    <col min="14" max="14" customWidth="true" width="13.7109375"/>
    <col min="19" max="19" customWidth="true" width="11.5703125"/>
    <col min="25" max="25" customWidth="true" width="9.7109375"/>
    <col min="28" max="29" customWidth="true" width="9.140625"/>
    <col min="30" max="30" customWidth="true" width="9.42578125"/>
    <col min="31" max="31" customWidth="true" width="9.140625"/>
    <col min="35" max="35" customWidth="true" width="14.28515625"/>
    <col min="36" max="36" customWidth="true" width="17.28515625"/>
    <col min="37" max="37" customWidth="true" width="13.7109375"/>
    <col min="38" max="38" customWidth="true" width="12.42578125"/>
    <col min="39" max="39" customWidth="true" width="12.5703125"/>
    <col min="40" max="40" customWidth="true" width="21.7109375"/>
    <col min="41" max="41" customWidth="true" width="30.5703125"/>
  </cols>
  <sheetData>
    <row r="21" spans="1:42" ht="18">
      <c r="A21" s="282" t="s">
        <v>154</v>
      </c>
      <c r="B21" s="282"/>
      <c r="C21" s="282"/>
      <c r="D21" s="282"/>
      <c r="E21" s="282"/>
      <c r="F21" s="282"/>
      <c r="G21" s="282"/>
      <c r="H21" s="282"/>
      <c r="I21" s="282"/>
      <c r="J21" s="282"/>
      <c r="K21" s="282"/>
      <c r="L21" s="282"/>
      <c r="M21" s="282"/>
      <c r="N21" s="282"/>
      <c r="O21" s="282"/>
      <c r="P21" s="282"/>
      <c r="Q21" s="282"/>
      <c r="R21" s="282"/>
      <c r="S21" s="282"/>
      <c r="T21" s="282"/>
      <c r="U21" s="282"/>
      <c r="V21" s="282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 s="0">
        <v>1152.5999999999999</v>
      </c>
      <c r="AA23" s="0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 s="0">
        <v>150</v>
      </c>
      <c r="AA24" t="s" s="0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 s="0">
        <v>42</v>
      </c>
      <c r="AA25" t="s" s="0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83" t="s">
        <v>87</v>
      </c>
      <c r="C38" s="283"/>
      <c r="D38" s="283"/>
      <c r="E38" s="283"/>
      <c r="F38" s="283"/>
      <c r="G38" s="283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78" t="s">
        <v>194</v>
      </c>
      <c r="H40" s="279"/>
      <c r="I40" s="281">
        <f>H38</f>
        <v>75435.260000000009</v>
      </c>
      <c r="J40" s="281"/>
      <c r="K40" s="100"/>
      <c r="L40" s="66"/>
      <c r="M40" s="284" t="s">
        <v>195</v>
      </c>
      <c r="N40" s="285"/>
      <c r="O40" s="285"/>
      <c r="P40" s="286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78" t="s">
        <v>196</v>
      </c>
      <c r="H41" s="279"/>
      <c r="I41" s="281">
        <f>R38</f>
        <v>4077.7</v>
      </c>
      <c r="J41" s="281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78" t="s">
        <v>197</v>
      </c>
      <c r="H42" s="279"/>
      <c r="I42" s="281">
        <f>S38</f>
        <v>71357.56</v>
      </c>
      <c r="J42" s="281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78" t="s">
        <v>198</v>
      </c>
      <c r="H43" s="279"/>
      <c r="I43" s="281">
        <f>U38</f>
        <v>12844.370000000004</v>
      </c>
      <c r="J43" s="281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78" t="s">
        <v>199</v>
      </c>
      <c r="H44" s="279"/>
      <c r="I44" s="280">
        <f>I42+I43</f>
        <v>84201.930000000008</v>
      </c>
      <c r="J44" s="280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customWidth="true" width="8.5703125"/>
    <col min="13" max="13" customWidth="true" width="13.7109375"/>
    <col min="14" max="14" customWidth="true" width="9.0"/>
    <col min="15" max="15" customWidth="true" width="13.5703125"/>
    <col min="17" max="17" customWidth="true" width="14.42578125"/>
    <col min="18" max="18" customWidth="true" width="19.5703125"/>
    <col min="19" max="19" customWidth="true" width="7.140625"/>
    <col min="20" max="21" customWidth="true" width="11.5703125"/>
    <col min="22" max="22" customWidth="true" width="16.0"/>
    <col min="23" max="23" customWidth="true" width="12.42578125"/>
  </cols>
  <sheetData>
    <row r="4" spans="1:23" ht="18">
      <c r="A4" s="282" t="s">
        <v>200</v>
      </c>
      <c r="B4" s="282"/>
      <c r="C4" s="282"/>
      <c r="D4" s="282"/>
      <c r="E4" s="282"/>
      <c r="F4" s="282"/>
      <c r="G4" s="282"/>
      <c r="H4" s="282"/>
      <c r="I4" s="282"/>
      <c r="J4" s="282"/>
      <c r="K4" s="282"/>
      <c r="L4" s="282"/>
      <c r="M4" s="282"/>
      <c r="N4" s="282"/>
      <c r="O4" s="282"/>
      <c r="P4" s="282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83" t="s">
        <v>87</v>
      </c>
      <c r="C21" s="283"/>
      <c r="D21" s="283"/>
      <c r="E21" s="283"/>
      <c r="F21" s="283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89" t="s">
        <v>206</v>
      </c>
      <c r="G23" s="289"/>
      <c r="H23" s="289"/>
      <c r="I23" s="289"/>
      <c r="J23" s="66"/>
      <c r="K23" s="289" t="s">
        <v>207</v>
      </c>
      <c r="L23" s="289"/>
      <c r="M23" s="289"/>
      <c r="N23" s="289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78" t="s">
        <v>194</v>
      </c>
      <c r="G24" s="279"/>
      <c r="H24" s="287">
        <f>G21</f>
        <v>71856.759999999995</v>
      </c>
      <c r="I24" s="287"/>
      <c r="J24" s="100"/>
      <c r="K24" s="278" t="s">
        <v>194</v>
      </c>
      <c r="L24" s="279"/>
      <c r="M24" s="287">
        <f>H24*$T$4</f>
        <v>5958362.5391999995</v>
      </c>
      <c r="N24" s="287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78" t="s">
        <v>196</v>
      </c>
      <c r="G25" s="279"/>
      <c r="H25" s="287">
        <f>Q21</f>
        <v>3884.27</v>
      </c>
      <c r="I25" s="287"/>
      <c r="J25" s="66"/>
      <c r="K25" s="278" t="s">
        <v>196</v>
      </c>
      <c r="L25" s="279"/>
      <c r="M25" s="287">
        <f t="shared" ref="M25:M28" si="14">H25*$T$4</f>
        <v>322083.66840000002</v>
      </c>
      <c r="N25" s="287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78" t="s">
        <v>197</v>
      </c>
      <c r="G26" s="279"/>
      <c r="H26" s="287">
        <f>R21</f>
        <v>67972.490000000005</v>
      </c>
      <c r="I26" s="287"/>
      <c r="J26" s="66"/>
      <c r="K26" s="278" t="s">
        <v>197</v>
      </c>
      <c r="L26" s="279"/>
      <c r="M26" s="287">
        <f t="shared" si="14"/>
        <v>5636278.8708000006</v>
      </c>
      <c r="N26" s="287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78" t="s">
        <v>198</v>
      </c>
      <c r="G27" s="279"/>
      <c r="H27" s="287">
        <f>T21</f>
        <v>12235.060000000003</v>
      </c>
      <c r="I27" s="287"/>
      <c r="J27" s="66"/>
      <c r="K27" s="278" t="s">
        <v>198</v>
      </c>
      <c r="L27" s="279"/>
      <c r="M27" s="287">
        <f t="shared" si="14"/>
        <v>1014531.1752000003</v>
      </c>
      <c r="N27" s="287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78" t="s">
        <v>199</v>
      </c>
      <c r="G28" s="279"/>
      <c r="H28" s="288">
        <f>H26+H27</f>
        <v>80207.55</v>
      </c>
      <c r="I28" s="288"/>
      <c r="J28" s="66"/>
      <c r="K28" s="278" t="s">
        <v>199</v>
      </c>
      <c r="L28" s="279"/>
      <c r="M28" s="288">
        <f t="shared" si="14"/>
        <v>6650810.0460000001</v>
      </c>
      <c r="N28" s="288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82" t="s">
        <v>208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83" t="s">
        <v>87</v>
      </c>
      <c r="C18" s="283"/>
      <c r="D18" s="283"/>
      <c r="E18" s="283"/>
      <c r="F18" s="283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89" t="s">
        <v>206</v>
      </c>
      <c r="G20" s="289"/>
      <c r="H20" s="289"/>
      <c r="I20" s="289"/>
      <c r="J20" s="66"/>
      <c r="K20" s="289" t="s">
        <v>207</v>
      </c>
      <c r="L20" s="289"/>
      <c r="M20" s="289"/>
      <c r="N20" s="289"/>
      <c r="O20" s="66"/>
      <c r="P20" s="66"/>
      <c r="Q20" s="284" t="s">
        <v>195</v>
      </c>
      <c r="R20" s="285"/>
      <c r="S20" s="285"/>
      <c r="T20" s="286"/>
      <c r="U20" s="66"/>
      <c r="V20" s="66"/>
      <c r="W20" s="66"/>
    </row>
    <row r="21" spans="1:23">
      <c r="A21" s="66"/>
      <c r="B21" s="66"/>
      <c r="C21" s="66"/>
      <c r="D21" s="66"/>
      <c r="E21" s="66"/>
      <c r="F21" s="278" t="s">
        <v>194</v>
      </c>
      <c r="G21" s="279"/>
      <c r="H21" s="287">
        <f>G18</f>
        <v>71570.810000000012</v>
      </c>
      <c r="I21" s="287"/>
      <c r="J21" s="100"/>
      <c r="K21" s="278" t="s">
        <v>194</v>
      </c>
      <c r="L21" s="279"/>
      <c r="M21" s="287">
        <f>H21*$T$1</f>
        <v>5934651.565200001</v>
      </c>
      <c r="N21" s="287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78" t="s">
        <v>196</v>
      </c>
      <c r="G22" s="279"/>
      <c r="H22" s="287">
        <f>Q18</f>
        <v>3868.82</v>
      </c>
      <c r="I22" s="287"/>
      <c r="J22" s="66"/>
      <c r="K22" s="278" t="s">
        <v>196</v>
      </c>
      <c r="L22" s="279"/>
      <c r="M22" s="287">
        <f t="shared" ref="M22:M25" si="14">H22*$T$1</f>
        <v>320802.55440000002</v>
      </c>
      <c r="N22" s="287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78" t="s">
        <v>197</v>
      </c>
      <c r="G23" s="279"/>
      <c r="H23" s="287">
        <f>R18</f>
        <v>67701.989999999991</v>
      </c>
      <c r="I23" s="287"/>
      <c r="J23" s="66"/>
      <c r="K23" s="278" t="s">
        <v>197</v>
      </c>
      <c r="L23" s="279"/>
      <c r="M23" s="287">
        <f t="shared" si="14"/>
        <v>5613849.0107999993</v>
      </c>
      <c r="N23" s="287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78" t="s">
        <v>198</v>
      </c>
      <c r="G24" s="279"/>
      <c r="H24" s="287">
        <f>T18</f>
        <v>12186.370000000004</v>
      </c>
      <c r="I24" s="287"/>
      <c r="J24" s="66"/>
      <c r="K24" s="278" t="s">
        <v>198</v>
      </c>
      <c r="L24" s="279"/>
      <c r="M24" s="287">
        <f t="shared" si="14"/>
        <v>1010493.8004000004</v>
      </c>
      <c r="N24" s="287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78" t="s">
        <v>199</v>
      </c>
      <c r="G25" s="279"/>
      <c r="H25" s="288">
        <f>H23+H24</f>
        <v>79888.36</v>
      </c>
      <c r="I25" s="288"/>
      <c r="J25" s="66"/>
      <c r="K25" s="278" t="s">
        <v>199</v>
      </c>
      <c r="L25" s="279"/>
      <c r="M25" s="288">
        <f t="shared" si="14"/>
        <v>6624342.8112000003</v>
      </c>
      <c r="N25" s="288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 s="0">
        <v>223</v>
      </c>
      <c r="AV24" t="s" s="0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 s="0">
        <v>225</v>
      </c>
      <c r="BN24" t="s" s="0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225</v>
      </c>
      <c r="BN23" t="s" s="0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 s="0">
        <v>235</v>
      </c>
      <c r="AV23" t="s" s="0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237</v>
      </c>
      <c r="BN23" t="s" s="0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bestFit="true" customWidth="true" width="33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239</v>
      </c>
      <c r="BN23" t="s" s="0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239</v>
      </c>
      <c r="BN24" t="s" s="0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 s="0">
        <v>239</v>
      </c>
      <c r="AV23" t="s" s="0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241</v>
      </c>
      <c r="BN23" t="s" s="0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 s="0">
        <v>239</v>
      </c>
      <c r="AV24" t="s" s="0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239</v>
      </c>
      <c r="BN24" t="s" s="0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239</v>
      </c>
      <c r="AV23" t="s" s="0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246</v>
      </c>
      <c r="BN23" t="s" s="0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228</v>
      </c>
      <c r="H24" s="69">
        <f>F24*G24</f>
        <v>800</v>
      </c>
      <c r="I24" t="s" s="0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 s="0">
        <v>239</v>
      </c>
      <c r="AV24" t="s" s="0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249</v>
      </c>
      <c r="BN24" t="s" s="0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customWidth="true" width="31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251</v>
      </c>
      <c r="H23" s="69">
        <f>F23*G23</f>
        <v>910</v>
      </c>
      <c r="I23" t="s" s="0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 s="0">
        <v>651</v>
      </c>
      <c r="AV23" t="s" s="0">
        <v>652</v>
      </c>
      <c r="AW23" s="83">
        <f>AM23</f>
        <v>2</v>
      </c>
      <c r="AX23" s="83">
        <f>AR23</f>
        <v>426.97</v>
      </c>
      <c r="AY23" s="83">
        <f>AU23+AW23</f>
        <v>70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 s="0">
        <v>252</v>
      </c>
      <c r="BN23" t="s" s="0">
        <v>654</v>
      </c>
      <c r="BO23" s="83">
        <f>ROUND((((AW23*AZ23)+(BN23*BM23))/(AW23+BN23)),5)</f>
        <v>426.97</v>
      </c>
      <c r="BP23" s="87">
        <f>BN23+AW23</f>
        <v>326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254</v>
      </c>
      <c r="H24" s="69">
        <f>F24*G24</f>
        <v>1000</v>
      </c>
      <c r="I24" t="s" s="0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 s="0">
        <v>653</v>
      </c>
      <c r="AV24" t="s" s="0">
        <v>256</v>
      </c>
      <c r="AW24" s="83">
        <f>AM24</f>
        <v>2</v>
      </c>
      <c r="AX24" s="83">
        <f>AR24</f>
        <v>469.2</v>
      </c>
      <c r="AY24" s="83">
        <f>AU24+AW24</f>
        <v>92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 s="0">
        <v>256</v>
      </c>
      <c r="BN24" t="s" s="0">
        <v>655</v>
      </c>
      <c r="BO24" s="83">
        <f>ROUND((((AW24*AZ24)+(BN24*BM24))/(AW24+BN24)),5)</f>
        <v>469.2</v>
      </c>
      <c r="BP24" s="87">
        <f>BN24+AW24</f>
        <v>310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customWidth="true" width="34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258</v>
      </c>
      <c r="H23" s="69">
        <f>F23*G23</f>
        <v>1756</v>
      </c>
      <c r="I23" t="s" s="0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 s="0">
        <v>239</v>
      </c>
      <c r="AV23" t="s" s="0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 s="0">
        <v>260</v>
      </c>
      <c r="BN23" t="s" s="0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261</v>
      </c>
      <c r="H24" s="69">
        <f>F24*G24</f>
        <v>486</v>
      </c>
      <c r="I24" t="s" s="0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 s="0">
        <v>263</v>
      </c>
      <c r="AV24" t="s" s="0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 s="0">
        <v>265</v>
      </c>
      <c r="BN24" t="s" s="0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 s="0">
        <v>270</v>
      </c>
      <c r="AV23" t="s" s="0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 s="0">
        <v>272</v>
      </c>
      <c r="BN23" t="s" s="0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 s="0">
        <v>276</v>
      </c>
      <c r="AV24" t="s" s="0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 s="0">
        <v>278</v>
      </c>
      <c r="BN24" t="s" s="0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customWidth="true" width="19.71093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8" max="8" customWidth="true" width="11.85546875"/>
    <col min="10" max="10" customWidth="true" width="6.140625"/>
    <col min="11" max="11" customWidth="true" width="6.28515625"/>
    <col min="12" max="12" customWidth="true" width="13.85546875"/>
    <col min="42" max="42" customWidth="true" width="9.425781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4" max="54" customWidth="true" width="12.42578125"/>
    <col min="55" max="55" customWidth="true" width="12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281</v>
      </c>
      <c r="H23" s="69">
        <f>F23*G23</f>
        <v>1048</v>
      </c>
      <c r="I23" t="s" s="0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 s="0">
        <v>282</v>
      </c>
      <c r="AS23" t="s" s="0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284</v>
      </c>
      <c r="BK23" t="s" s="0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 s="0">
        <v>287</v>
      </c>
      <c r="H24" s="69">
        <f>F24*G24</f>
        <v>696</v>
      </c>
      <c r="I24" t="s" s="0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 s="0">
        <v>289</v>
      </c>
      <c r="AS24" t="s" s="0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292</v>
      </c>
      <c r="BK24" t="s" s="0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 s="0">
        <v>294</v>
      </c>
      <c r="AT27" t="s" s="0">
        <v>295</v>
      </c>
    </row>
    <row r="28" spans="1:66">
      <c r="AS28" s="0">
        <v>1473.6849999999999</v>
      </c>
      <c r="AT28" s="0">
        <v>1281.64708</v>
      </c>
      <c r="AU28" s="83">
        <f t="shared" ref="AU28" si="26">AK28</f>
        <v>0</v>
      </c>
    </row>
    <row r="31" spans="1:66">
      <c r="AV31" t="s" s="0">
        <v>296</v>
      </c>
    </row>
    <row r="32" spans="1:66">
      <c r="AV32" s="0">
        <v>513.38841000000002</v>
      </c>
    </row>
    <row r="33" spans="48:48">
      <c r="AV33" s="0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 s="0">
        <v>223</v>
      </c>
      <c r="AV23" t="s" s="0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298</v>
      </c>
      <c r="BN23" t="s" s="0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300</v>
      </c>
      <c r="H24" s="69">
        <f>F24*G24</f>
        <v>468</v>
      </c>
      <c r="I24" t="s" s="0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 s="0">
        <v>223</v>
      </c>
      <c r="AV24" t="s" s="0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303</v>
      </c>
      <c r="BN24" t="s" s="0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 s="0">
        <v>223</v>
      </c>
      <c r="AV23" t="s" s="0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306</v>
      </c>
      <c r="BN23" t="s" s="0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308</v>
      </c>
      <c r="H23" s="69">
        <f>F23*G23</f>
        <v>200</v>
      </c>
      <c r="I23" t="s" s="0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 s="0">
        <v>223</v>
      </c>
      <c r="AV23" t="s" s="0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310</v>
      </c>
      <c r="BN23" t="s" s="0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234</v>
      </c>
      <c r="H24" s="69">
        <f>F24*G24</f>
        <v>400</v>
      </c>
      <c r="I24" t="s" s="0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 s="0">
        <v>301</v>
      </c>
      <c r="AV24" t="s" s="0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312</v>
      </c>
      <c r="BN24" t="s" s="0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customWidth="true" width="31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239</v>
      </c>
      <c r="BN23" t="s" s="0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s="0">
        <v>1243</v>
      </c>
      <c r="H24" s="69">
        <f>F24*G24</f>
        <v>2486</v>
      </c>
      <c r="I24" s="0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239</v>
      </c>
      <c r="BN24" t="s" s="0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40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251</v>
      </c>
      <c r="H23" s="69">
        <f>F23*G23</f>
        <v>910</v>
      </c>
      <c r="I23" s="0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customWidth="true" width="34.57031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239</v>
      </c>
      <c r="AV23" t="s" s="0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316</v>
      </c>
      <c r="BN23" t="s" s="0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 s="0">
        <v>239</v>
      </c>
      <c r="AV23" t="s" s="0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245</v>
      </c>
      <c r="BN23" t="s" s="0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customWidth="true" width="34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 s="0">
        <v>319</v>
      </c>
      <c r="AV23" t="s" s="0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321</v>
      </c>
      <c r="BN23" t="s" s="0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232</v>
      </c>
      <c r="H23" s="69">
        <f>F23*G23</f>
        <v>500</v>
      </c>
      <c r="I23" t="s" s="0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315</v>
      </c>
      <c r="BN23" t="s" s="0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 s="0">
        <v>266</v>
      </c>
      <c r="AV23" t="s" s="0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325</v>
      </c>
      <c r="BN23" t="s" s="0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228</v>
      </c>
      <c r="H24" s="69">
        <f>F24*G24</f>
        <v>800</v>
      </c>
      <c r="I24" t="s" s="0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 s="0">
        <v>301</v>
      </c>
      <c r="AV24" t="s" s="0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327</v>
      </c>
      <c r="BN24" t="s" s="0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332</v>
      </c>
      <c r="BN23" t="s" s="0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335</v>
      </c>
      <c r="BN24" t="s" s="0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69" max="69" customWidth="true" width="10.1406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 s="0">
        <v>239</v>
      </c>
      <c r="AV23" t="s" s="0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336</v>
      </c>
      <c r="BN23" t="s" s="0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 s="0">
        <v>239</v>
      </c>
      <c r="AV24" t="s" s="0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 s="0">
        <v>338</v>
      </c>
      <c r="BN24" t="s" s="0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340</v>
      </c>
      <c r="H23" s="69">
        <f>F23*G23</f>
        <v>488</v>
      </c>
      <c r="I23" t="s" s="0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 s="0">
        <v>239</v>
      </c>
      <c r="AV23" t="s" s="0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341</v>
      </c>
      <c r="BN23" t="s" s="0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343</v>
      </c>
      <c r="H24" s="69">
        <f>F24*G24</f>
        <v>688</v>
      </c>
      <c r="I24" t="s" s="0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 s="0">
        <v>239</v>
      </c>
      <c r="AV24" t="s" s="0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345</v>
      </c>
      <c r="BN24" t="s" s="0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 s="0">
        <v>239</v>
      </c>
      <c r="BN23" t="s" s="0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268</v>
      </c>
      <c r="H23" s="69">
        <f>F23*G23</f>
        <v>2460</v>
      </c>
      <c r="I23" t="s" s="0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350</v>
      </c>
      <c r="BN23" t="s" s="0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275</v>
      </c>
      <c r="H24" s="69">
        <f>F24*G24</f>
        <v>506</v>
      </c>
      <c r="I24" t="s" s="0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352</v>
      </c>
      <c r="BN24" t="s" s="0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340</v>
      </c>
      <c r="H23" s="69">
        <f>F23*G23</f>
        <v>488</v>
      </c>
      <c r="I23" t="s" s="0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 s="0">
        <v>239</v>
      </c>
      <c r="AV23" t="s" s="0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 s="0">
        <v>350</v>
      </c>
      <c r="BN23" t="s" s="0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300</v>
      </c>
      <c r="H24" s="69">
        <f>F24*G24</f>
        <v>468</v>
      </c>
      <c r="I24" t="s" s="0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 s="0">
        <v>239</v>
      </c>
      <c r="AV24" t="s" s="0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 s="0">
        <v>352</v>
      </c>
      <c r="BN24" t="s" s="0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customWidth="true" width="34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234</v>
      </c>
      <c r="H23" s="69">
        <f>F23*G23</f>
        <v>400</v>
      </c>
      <c r="I23" t="s" s="0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 s="0">
        <v>223</v>
      </c>
      <c r="AV23" t="s" s="0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 s="0">
        <v>315</v>
      </c>
      <c r="BN23" t="s" s="0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254</v>
      </c>
      <c r="H23" s="69">
        <f>F23*G23</f>
        <v>1000</v>
      </c>
      <c r="I23" t="s" s="0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 s="0">
        <v>239</v>
      </c>
      <c r="AV23" t="s" s="0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 s="0">
        <v>358</v>
      </c>
      <c r="BN23" t="s" s="0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360</v>
      </c>
      <c r="H24" s="69">
        <f>F24*G24</f>
        <v>1200</v>
      </c>
      <c r="I24" t="s" s="0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 s="0">
        <v>239</v>
      </c>
      <c r="BN24" t="s" s="0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362</v>
      </c>
      <c r="H23" s="69">
        <f>F23*G23</f>
        <v>911.34</v>
      </c>
      <c r="I23" t="s" s="0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 s="0">
        <v>239</v>
      </c>
      <c r="AV23" t="s" s="0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363</v>
      </c>
      <c r="BN23" t="s" s="0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366</v>
      </c>
      <c r="H24" s="69">
        <f>F24*G24</f>
        <v>690</v>
      </c>
      <c r="I24" t="s" s="0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 s="0">
        <v>239</v>
      </c>
      <c r="AV24" t="s" s="0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367</v>
      </c>
      <c r="BN24" t="s" s="0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228</v>
      </c>
      <c r="H23" s="69">
        <f>F23*G23</f>
        <v>800</v>
      </c>
      <c r="I23" t="s" s="0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 s="0">
        <v>239</v>
      </c>
      <c r="BN23" t="s" s="0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 s="0">
        <v>239</v>
      </c>
      <c r="AV23" t="s" s="0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370</v>
      </c>
      <c r="BN23" t="s" s="0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 s="0">
        <v>239</v>
      </c>
      <c r="AV24" t="s" s="0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373</v>
      </c>
      <c r="BN24" t="s" s="0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3673.17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198.56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3474.6099999999997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625.44000000000005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4100.0499999999993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customWidth="true" width="34.71093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 s="0">
        <v>360</v>
      </c>
      <c r="H23" s="69">
        <f>F23*G23</f>
        <v>14400</v>
      </c>
      <c r="I23" t="s" s="0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 s="0">
        <v>239</v>
      </c>
      <c r="AV23" t="s" s="0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239</v>
      </c>
      <c r="BN23" t="s" s="0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14400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1123.43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13276.57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2389.7800000000002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15666.35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customWidth="true" width="30.855468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 s="0">
        <v>500</v>
      </c>
      <c r="H23" s="69">
        <f>F23*G23</f>
        <v>7500</v>
      </c>
      <c r="I23" t="s" s="0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 s="0">
        <v>0</v>
      </c>
      <c r="AV23" s="0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s="0">
        <v>1407.3065999999999</v>
      </c>
      <c r="BN23" s="0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7500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441.06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7058.94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1270.5999999999999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8329.5399999999991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388</v>
      </c>
      <c r="H23" s="69">
        <f>F23*G23</f>
        <v>5750</v>
      </c>
      <c r="I23" t="s" s="0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 s="0">
        <v>239</v>
      </c>
      <c r="AV23" t="s" s="0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273</v>
      </c>
      <c r="H24" s="69">
        <f t="shared" ref="H24" si="3">F24*G24</f>
        <v>6608</v>
      </c>
      <c r="I24" t="s" s="0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 s="0">
        <v>239</v>
      </c>
      <c r="AV24" t="s" s="0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 s="0">
        <v>239</v>
      </c>
      <c r="BN24" t="s" s="0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12358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842.29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11515.71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2072.8200000000002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13588.529999999999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 s="0">
        <v>360</v>
      </c>
      <c r="H23" s="69">
        <f>F23*G23</f>
        <v>10800</v>
      </c>
      <c r="I23" t="s" s="0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 s="0">
        <v>239</v>
      </c>
      <c r="BN23" t="s" s="0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 s="0">
        <v>254</v>
      </c>
      <c r="H24" s="69">
        <f t="shared" ref="H24" si="3">F24*G24</f>
        <v>10500</v>
      </c>
      <c r="I24" t="s" s="0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 s="0">
        <v>239</v>
      </c>
      <c r="BN24" t="s" s="0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21300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1458.09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19841.91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3571.55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23413.46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customWidth="true" width="23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343</v>
      </c>
      <c r="H23" s="69">
        <f>F23*G23</f>
        <v>8600</v>
      </c>
      <c r="I23" t="s" s="0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 s="0">
        <v>239</v>
      </c>
      <c r="AV23" t="s" s="0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 s="0">
        <v>396</v>
      </c>
      <c r="BN23" t="s" s="0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300</v>
      </c>
      <c r="H24" s="69">
        <f t="shared" ref="H24" si="3">F24*G24</f>
        <v>6552</v>
      </c>
      <c r="I24" t="s" s="0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 s="0">
        <v>239</v>
      </c>
      <c r="AV24" t="s" s="0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 s="0">
        <v>400</v>
      </c>
      <c r="BN24" t="s" s="0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15152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944.18000000000006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14207.82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2557.4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16765.22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 s="0">
        <v>360</v>
      </c>
      <c r="H23" s="69">
        <f>F23*G23</f>
        <v>9000</v>
      </c>
      <c r="I23" t="s" s="0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 s="0">
        <v>239</v>
      </c>
      <c r="BN23" t="s" s="0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 s="0">
        <v>254</v>
      </c>
      <c r="H24" s="69">
        <f t="shared" ref="H24" si="3">F24*G24</f>
        <v>15000</v>
      </c>
      <c r="I24" t="s" s="0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 s="0">
        <v>239</v>
      </c>
      <c r="BN24" t="s" s="0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24000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1526.6399999999999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22473.360000000001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4045.2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26518.560000000001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customWidth="true" width="34.71093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7" t="s">
        <v>89</v>
      </c>
      <c r="B21" s="29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 s="0">
        <v>404</v>
      </c>
      <c r="H23" s="69">
        <f>F23*G23</f>
        <v>3555</v>
      </c>
      <c r="I23" t="s" s="0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 s="0">
        <v>239</v>
      </c>
      <c r="AV23" t="s" s="0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406</v>
      </c>
      <c r="BN23" t="s" s="0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 s="0">
        <v>409</v>
      </c>
      <c r="H24" s="69">
        <f t="shared" ref="H24" si="3">F24*G24</f>
        <v>10944</v>
      </c>
      <c r="I24" t="s" s="0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 s="0">
        <v>239</v>
      </c>
      <c r="AV24" t="s" s="0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411</v>
      </c>
      <c r="BN24" t="s" s="0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95">
        <f>H25</f>
        <v>14499</v>
      </c>
      <c r="J27" s="296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95">
        <f>R25</f>
        <v>1001.74</v>
      </c>
      <c r="J28" s="29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95">
        <f>S25</f>
        <v>13497.26</v>
      </c>
      <c r="J29" s="29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95">
        <f>AB25</f>
        <v>2429.5</v>
      </c>
      <c r="J30" s="29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93">
        <f>I29+I30</f>
        <v>15926.76</v>
      </c>
      <c r="J31" s="294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customWidth="true" width="30.8554687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7" t="s">
        <v>89</v>
      </c>
      <c r="B21" s="29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 s="0">
        <v>254</v>
      </c>
      <c r="H23" s="69">
        <f>F23*G23</f>
        <v>4500</v>
      </c>
      <c r="I23" t="s" s="0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 s="0">
        <v>239</v>
      </c>
      <c r="AV23" t="s" s="0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414</v>
      </c>
      <c r="BN23" t="s" s="0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 s="0">
        <v>239</v>
      </c>
      <c r="AV24" t="s" s="0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418</v>
      </c>
      <c r="BN24" t="s" s="0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95">
        <f>H25</f>
        <v>9000</v>
      </c>
      <c r="J27" s="296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95">
        <f>R25</f>
        <v>615.49</v>
      </c>
      <c r="J28" s="29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95">
        <f>S25</f>
        <v>8384.51</v>
      </c>
      <c r="J29" s="29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95">
        <f>AB25</f>
        <v>1509.22</v>
      </c>
      <c r="J30" s="29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93">
        <f>I29+I30</f>
        <v>9893.73</v>
      </c>
      <c r="J31" s="294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customWidth="true" width="26.42578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7" t="s">
        <v>89</v>
      </c>
      <c r="B21" s="29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 s="0">
        <v>239</v>
      </c>
      <c r="AV23" t="s" s="0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 s="0">
        <v>421</v>
      </c>
      <c r="BN23" t="s" s="0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 s="0">
        <v>239</v>
      </c>
      <c r="AV24" t="s" s="0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 s="0">
        <v>424</v>
      </c>
      <c r="BN24" t="s" s="0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95">
        <f>H25</f>
        <v>6443.34</v>
      </c>
      <c r="J27" s="296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95">
        <f>R25</f>
        <v>348.28999999999996</v>
      </c>
      <c r="J28" s="296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95">
        <f>S25</f>
        <v>6095.05</v>
      </c>
      <c r="J29" s="296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95">
        <f>AB25</f>
        <v>1097.0999999999999</v>
      </c>
      <c r="J30" s="296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93">
        <f>I29+I30</f>
        <v>7192.15</v>
      </c>
      <c r="J31" s="294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 s="0">
        <v>426</v>
      </c>
      <c r="H23" s="69">
        <f>F23*G23</f>
        <v>405</v>
      </c>
      <c r="I23" t="s" s="0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 s="0">
        <v>239</v>
      </c>
      <c r="AV23" t="s" s="0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 s="0">
        <v>427</v>
      </c>
      <c r="BN23" t="s" s="0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 s="0">
        <v>366</v>
      </c>
      <c r="H24" s="69">
        <f t="shared" ref="H24" si="3">F24*G24</f>
        <v>4140</v>
      </c>
      <c r="I24" t="s" s="0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 s="0">
        <v>239</v>
      </c>
      <c r="AV24" t="s" s="0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 s="0">
        <v>428</v>
      </c>
      <c r="BN24" t="s" s="0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4545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328.67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4216.33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758.93999999999994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4975.2699999999995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9300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637.44000000000005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8662.5600000000013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1559.27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10221.830000000002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417</v>
      </c>
      <c r="H24" s="69">
        <f t="shared" ref="H24" si="3">F24*G24</f>
        <v>4500</v>
      </c>
      <c r="I24" t="s" s="0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9300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637.44000000000005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8662.5600000000013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1559.27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10221.830000000002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435</v>
      </c>
      <c r="H23" s="69">
        <f>F23*G23</f>
        <v>2796</v>
      </c>
      <c r="I23" t="s" s="0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 s="0">
        <v>251</v>
      </c>
      <c r="H24" s="69">
        <f t="shared" ref="H24" si="3">F24*G24</f>
        <v>7280</v>
      </c>
      <c r="I24" t="s" s="0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10076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710.49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9365.51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1685.79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11051.3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customWidth="true" width="36.1406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 s="0">
        <v>228</v>
      </c>
      <c r="H23" s="69">
        <f>F23*G23</f>
        <v>4800</v>
      </c>
      <c r="I23" t="s" s="0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 s="0">
        <v>319</v>
      </c>
      <c r="AV23" t="s" s="0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 s="0">
        <v>550</v>
      </c>
      <c r="BN23" t="s" s="0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 s="0">
        <v>360</v>
      </c>
      <c r="H24" s="69">
        <f t="shared" ref="H24" si="3">F24*G24</f>
        <v>9000</v>
      </c>
      <c r="I24" t="s" s="0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 s="0">
        <v>551</v>
      </c>
      <c r="AV24" t="s" s="0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 s="0">
        <v>552</v>
      </c>
      <c r="BN24" t="s" s="0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13800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963.81999999999994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12836.18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2310.52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15146.7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customWidth="true" width="36.5703125"/>
    <col min="4" max="4" customWidth="true" width="72.42578125"/>
    <col min="11" max="11" customWidth="true" width="6.140625"/>
    <col min="29" max="29" customWidth="true" width="11.5703125"/>
    <col min="35" max="35" customWidth="true" width="14.28515625"/>
    <col min="36" max="36" customWidth="true" width="17.5703125"/>
    <col min="37" max="37" customWidth="true" width="13.42578125"/>
    <col min="38" max="38" customWidth="true" width="13.5703125"/>
    <col min="45" max="45" customWidth="true" width="9.42578125"/>
    <col min="47" max="47" customWidth="true" width="15.28515625"/>
    <col min="48" max="48" customWidth="true" width="20.28515625"/>
    <col min="50" max="50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 s="0">
        <v>239</v>
      </c>
      <c r="BN23" t="s" s="0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 s="0">
        <v>239</v>
      </c>
      <c r="BN24" t="s" s="0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5349.0599999999995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289.16000000000003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5059.8999999999996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910.78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5970.6799999999994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customWidth="true" width="23.5703125"/>
    <col min="8" max="8" customWidth="true" width="30.0"/>
    <col min="32" max="32" customWidth="true" width="14.28515625"/>
    <col min="62" max="62" customWidth="true" width="41.140625"/>
    <col min="64" max="64" customWidth="true" width="18.85546875"/>
    <col min="65" max="65" customWidth="true" width="34.42578125"/>
  </cols>
  <sheetData>
    <row r="1" spans="1:64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 s="0">
        <v>438</v>
      </c>
      <c r="AS23" t="s" s="0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 s="0">
        <v>442</v>
      </c>
      <c r="BK23" t="s" s="0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 s="0">
        <v>445</v>
      </c>
      <c r="AS24" t="s" s="0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 s="0">
        <v>448</v>
      </c>
      <c r="BK24" t="s" s="0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10654.75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575.95000000000005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10078.799999999999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Y25</f>
        <v>1814.19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11892.99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customWidth="true" width="16.28515625"/>
  </cols>
  <sheetData>
    <row r="1" spans="1:64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 s="0">
        <v>239</v>
      </c>
      <c r="AS23" t="s" s="0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 s="0">
        <v>421</v>
      </c>
      <c r="BK23" t="s" s="0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 s="0">
        <v>239</v>
      </c>
      <c r="AS24" t="s" s="0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 s="0">
        <v>452</v>
      </c>
      <c r="BK24" t="s" s="0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10654.75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575.95000000000005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10078.799999999999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Y25</f>
        <v>1814.19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11892.99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customWidth="true" width="16.28515625"/>
    <col min="35" max="35" customWidth="true" width="13.5703125"/>
    <col min="36" max="36" customWidth="true" width="15.570312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1" max="51" customWidth="true" width="21.7109375"/>
    <col min="65" max="65" customWidth="true" width="34.42578125"/>
  </cols>
  <sheetData>
    <row r="1" spans="1:64" ht="18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 s="0">
        <v>455</v>
      </c>
      <c r="H23" s="69">
        <f>F23*G23</f>
        <v>1967.5</v>
      </c>
      <c r="I23" t="s" s="0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 s="0">
        <v>456</v>
      </c>
      <c r="AS23" t="s" s="0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 s="0">
        <v>239</v>
      </c>
      <c r="BK23" t="s" s="0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 s="0">
        <v>459</v>
      </c>
      <c r="H24" s="69">
        <f t="shared" ref="H24" si="4">F24*G24</f>
        <v>2380</v>
      </c>
      <c r="I24" t="s" s="0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 s="0">
        <v>460</v>
      </c>
      <c r="AS24" t="s" s="0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 s="0">
        <v>239</v>
      </c>
      <c r="BK24" t="s" s="0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4347.5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299.27999999999997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4048.22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Y25</f>
        <v>728.68000000000006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4776.8999999999996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2" max="12" customWidth="true" width="13.85546875"/>
    <col min="14" max="14" customWidth="true" width="13.5703125"/>
    <col min="16" max="16" customWidth="true" width="13.7109375"/>
    <col min="17" max="17" customWidth="true" width="37.7109375"/>
    <col min="18" max="18" customWidth="true" width="10.85546875"/>
    <col min="26" max="26" customWidth="true" width="10.28515625"/>
    <col min="27" max="27" customWidth="true" width="12.85546875"/>
    <col min="28" max="28" customWidth="true" width="8.7109375"/>
    <col min="29" max="29" customWidth="true" width="9.28515625"/>
    <col min="31" max="31" customWidth="true" width="8.42578125"/>
    <col min="32" max="32" customWidth="true" width="14.28515625"/>
    <col min="35" max="35" customWidth="true" width="13.5703125"/>
    <col min="36" max="36" customWidth="true" width="15.5703125"/>
    <col min="39" max="39" customWidth="true" width="8.5703125"/>
    <col min="40" max="40" customWidth="true" width="11.85546875"/>
    <col min="48" max="48" customWidth="true" width="13.85546875"/>
    <col min="49" max="49" customWidth="true" width="18.8554687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 s="0">
        <v>239</v>
      </c>
      <c r="AS23" t="s" s="0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224</v>
      </c>
      <c r="BK23" t="s" s="0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 s="0">
        <v>239</v>
      </c>
      <c r="AS24" t="s" s="0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 s="0">
        <v>464</v>
      </c>
      <c r="BK24" t="s" s="0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26" max="26" customWidth="true" width="10.28515625"/>
    <col min="27" max="27" customWidth="true" width="12.85546875"/>
    <col min="28" max="28" customWidth="true" width="8.7109375"/>
    <col min="48" max="48" customWidth="true" width="13.8554687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466</v>
      </c>
      <c r="H23" s="69">
        <f>F23*G23</f>
        <v>1572</v>
      </c>
      <c r="I23" t="s" s="0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 s="0">
        <v>239</v>
      </c>
      <c r="AS23" t="s" s="0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467</v>
      </c>
      <c r="BK23" t="s" s="0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 s="0">
        <v>469</v>
      </c>
      <c r="H24" s="69">
        <f t="shared" ref="H24" si="6">F24*G24</f>
        <v>1305</v>
      </c>
      <c r="I24" t="s" s="0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 s="0">
        <v>239</v>
      </c>
      <c r="AS24" t="s" s="0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470</v>
      </c>
      <c r="BK24" t="s" s="0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360</v>
      </c>
      <c r="H23" s="69">
        <f>F23*G23</f>
        <v>1200</v>
      </c>
      <c r="I23" t="s" s="0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 s="0">
        <v>239</v>
      </c>
      <c r="AV23" t="s" s="0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472</v>
      </c>
      <c r="BN23" t="s" s="0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254</v>
      </c>
      <c r="H24" s="69">
        <f>F24*G24</f>
        <v>1000</v>
      </c>
      <c r="I24" t="s" s="0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 s="0">
        <v>239</v>
      </c>
      <c r="AV24" t="s" s="0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256</v>
      </c>
      <c r="BN24" t="s" s="0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customWidth="true" width="18.85546875"/>
    <col min="60" max="60" customWidth="true" width="12.5703125"/>
    <col min="61" max="61" customWidth="true" width="21.7109375"/>
    <col min="62" max="63" customWidth="true" width="30.5703125"/>
    <col min="64" max="64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 s="0">
        <v>360</v>
      </c>
      <c r="H23" s="69">
        <f>F23*G23</f>
        <v>1200</v>
      </c>
      <c r="I23" t="s" s="0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 s="0">
        <v>239</v>
      </c>
      <c r="AV23" t="s" s="0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 s="0">
        <v>472</v>
      </c>
      <c r="BN23" t="s" s="0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 s="0">
        <v>476</v>
      </c>
      <c r="H24" s="69">
        <f>F24*G24</f>
        <v>1400</v>
      </c>
      <c r="I24" t="s" s="0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 s="0">
        <v>239</v>
      </c>
      <c r="AV24" t="s" s="0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 s="0">
        <v>477</v>
      </c>
      <c r="BN24" t="s" s="0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32" max="32" customWidth="true" width="14.28515625"/>
    <col min="40" max="40" customWidth="true" width="11.85546875"/>
    <col min="41" max="41" customWidth="true" width="23.28515625"/>
    <col min="42" max="42" customWidth="true" width="11.1406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0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77" t="s">
        <v>89</v>
      </c>
      <c r="B21" s="277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 s="0">
        <v>479</v>
      </c>
      <c r="H23" s="69">
        <f>F23*G23</f>
        <v>86325</v>
      </c>
      <c r="I23" t="s" s="0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 s="0">
        <v>239</v>
      </c>
      <c r="BK23" t="s" s="0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26" max="26" customWidth="true" width="10.28515625"/>
    <col min="27" max="27" customWidth="true" width="12.85546875"/>
    <col min="28" max="28" customWidth="true" width="8.7109375"/>
    <col min="48" max="48" customWidth="true" width="13.85546875"/>
    <col min="57" max="57" customWidth="true" width="12.5703125"/>
    <col min="58" max="58" customWidth="true" width="21.7109375"/>
    <col min="59" max="60" customWidth="true" width="30.5703125"/>
    <col min="64" max="64" customWidth="true" width="18.85546875"/>
    <col min="65" max="65" customWidth="true" width="34.42578125"/>
  </cols>
  <sheetData>
    <row r="1" spans="1:42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7" t="s">
        <v>89</v>
      </c>
      <c r="B21" s="277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 s="0">
        <v>239</v>
      </c>
      <c r="AS23" t="s" s="0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 s="0">
        <v>481</v>
      </c>
      <c r="BK23" t="s" s="0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 s="0">
        <v>239</v>
      </c>
      <c r="AS24" t="s" s="0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 s="0">
        <v>485</v>
      </c>
      <c r="BK24" t="s" s="0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72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7" max="67" customWidth="true" width="18.85546875"/>
    <col min="68" max="68" customWidth="true" width="34.42578125"/>
  </cols>
  <sheetData>
    <row r="1" spans="1:45" ht="18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239</v>
      </c>
      <c r="AV23" t="s" s="0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481</v>
      </c>
      <c r="BN23" t="s" s="0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 s="0">
        <v>223</v>
      </c>
      <c r="AV23" t="s" s="0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490</v>
      </c>
      <c r="BN23" t="s" s="0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7" max="27" width="9.425781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225</v>
      </c>
      <c r="BN23" t="s" s="0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14" max="14" customWidth="true" width="13.5703125"/>
    <col min="15" max="15" customWidth="true" width="15.28515625"/>
    <col min="16" max="16" customWidth="true" width="13.7109375"/>
    <col min="18" max="18" customWidth="true" width="10.85546875"/>
    <col min="19" max="19" customWidth="true" width="9.425781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 s="0">
        <v>223</v>
      </c>
      <c r="AV23" t="s" s="0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492</v>
      </c>
      <c r="BN23" t="s" s="0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14" max="14" customWidth="true" width="13.5703125"/>
    <col min="15" max="15" customWidth="true" width="15.28515625"/>
    <col min="16" max="16" customWidth="true" width="13.7109375"/>
    <col min="18" max="18" customWidth="true" width="10.85546875"/>
    <col min="19" max="19" customWidth="true" width="9.425781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275" t="s">
        <v>46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7" t="s">
        <v>89</v>
      </c>
      <c r="B21" s="277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 s="0">
        <v>223</v>
      </c>
      <c r="AV23" t="s" s="0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 s="0">
        <v>490</v>
      </c>
      <c r="BN23" t="s" s="0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customWidth="true" width="16.0"/>
  </cols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customWidth="true" width="26.5703125"/>
  </cols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90" t="s">
        <v>87</v>
      </c>
      <c r="C19" s="291"/>
      <c r="D19" s="291"/>
      <c r="E19" s="291"/>
      <c r="F19" s="291"/>
      <c r="G19" s="292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98" t="s">
        <v>46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7" t="s">
        <v>89</v>
      </c>
      <c r="B21" s="277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0" t="s">
        <v>47</v>
      </c>
      <c r="B2" s="260"/>
      <c r="C2" s="260"/>
      <c r="D2" s="260"/>
      <c r="E2" s="260"/>
      <c r="F2" s="260"/>
      <c r="G2" s="260"/>
      <c r="H2" s="260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5310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4500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0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4500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810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5310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bestFit="true" customWidth="true" width="24.5703125"/>
    <col min="2" max="2" bestFit="true" customWidth="true" width="14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19.5703125"/>
    <col min="79" max="79" bestFit="true" customWidth="true" width="4.28515625"/>
    <col min="80" max="80" bestFit="true" customWidth="true" width="26.570312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1" t="s">
        <v>47</v>
      </c>
      <c r="B2" s="261"/>
      <c r="C2" s="261"/>
      <c r="D2" s="261"/>
      <c r="E2" s="261"/>
      <c r="F2" s="261"/>
      <c r="G2" s="261"/>
      <c r="H2" s="261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511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658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90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616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617</v>
      </c>
      <c r="CC25" s="0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4500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660</v>
      </c>
      <c r="CC26" s="0">
        <v>0</v>
      </c>
      <c r="CD26" s="0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0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661</v>
      </c>
      <c r="CC27" s="0">
        <v>0</v>
      </c>
      <c r="CD27" s="0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4500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810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5310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27:H27"/>
    <mergeCell ref="I27:J27"/>
    <mergeCell ref="G30:H30"/>
    <mergeCell ref="I30:J30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BS16" workbookViewId="0">
      <selection activeCell="CX23" sqref="CX23"/>
    </sheetView>
  </sheetViews>
  <sheetFormatPr defaultColWidth="9" defaultRowHeight="15"/>
  <cols>
    <col min="1" max="1" bestFit="true" customWidth="true" width="24.5703125"/>
    <col min="2" max="2" bestFit="true" customWidth="true" width="14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19.5703125"/>
    <col min="79" max="79" bestFit="true" customWidth="true" width="4.28515625"/>
    <col min="80" max="80" bestFit="true" customWidth="true" width="28.570312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2" t="s">
        <v>47</v>
      </c>
      <c r="B2" s="262"/>
      <c r="C2" s="262"/>
      <c r="D2" s="262"/>
      <c r="E2" s="262"/>
      <c r="F2" s="262"/>
      <c r="G2" s="262"/>
      <c r="H2" s="262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670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671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  <c r="CU23" s="0">
        <f>CD25</f>
        <v>45</v>
      </c>
      <c r="CV23" s="0">
        <v>0</v>
      </c>
      <c r="CW23" s="0">
        <v>0</v>
      </c>
      <c r="CX23" s="0">
        <f>CU23+CD26</f>
        <v>5310</v>
      </c>
      <c r="CY23" s="0">
        <v>0</v>
      </c>
      <c r="CZ23" s="0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625</v>
      </c>
      <c r="CC24" s="0">
        <f>X24</f>
        <v>810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660</v>
      </c>
      <c r="CC25" s="0">
        <f>W24</f>
        <v>0</v>
      </c>
      <c r="CD25" s="256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4500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668</v>
      </c>
      <c r="CC26" s="0">
        <v>0</v>
      </c>
      <c r="CD26" s="0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0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4500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810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5310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A13" workbookViewId="0">
      <selection activeCell="CB26" sqref="CB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3" t="s">
        <v>47</v>
      </c>
      <c r="B2" s="263"/>
      <c r="C2" s="263"/>
      <c r="D2" s="263"/>
      <c r="E2" s="263"/>
      <c r="F2" s="263"/>
      <c r="G2" s="263"/>
      <c r="H2" s="263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 t="s">
        <v>686</v>
      </c>
      <c r="V23" s="69">
        <f>IF(OR($C$21=1,$C$21=4),ROUND(((S23*U23)/2),2),0)</f>
        <v>630</v>
      </c>
      <c r="W23" s="69">
        <f>IF($C$21=1,ROUND(((S23*U23)/2),2),0)</f>
        <v>630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1260</v>
      </c>
      <c r="AC23" s="68">
        <f>IF($V21=1,S23+AB23,S23)</f>
        <v>5760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630</v>
      </c>
      <c r="CQ23" s="0">
        <f>W23</f>
        <v>630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5760</v>
      </c>
      <c r="CV23" s="0">
        <v>0</v>
      </c>
      <c r="CW23" s="0">
        <v>0</v>
      </c>
      <c r="CX23" s="0">
        <f>CU23+CD27</f>
        <v>5760</v>
      </c>
      <c r="CY23" s="0">
        <v>0</v>
      </c>
      <c r="CZ23" s="0">
        <f>CU23</f>
        <v>5760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630</v>
      </c>
      <c r="W24" s="77">
        <f t="shared" si="1"/>
        <v>630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1260</v>
      </c>
      <c r="AC24" s="80">
        <f t="shared" si="1"/>
        <v>5760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5760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687</v>
      </c>
      <c r="CC24" s="0">
        <f>V24</f>
        <v>630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688</v>
      </c>
      <c r="CC25" s="0">
        <f>W24</f>
        <v>630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4500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5760</v>
      </c>
    </row>
    <row r="27" spans="1:104" ht="15.75" thickBot="1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0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4500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1260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5760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bestFit="true" customWidth="true" width="24.5703125"/>
    <col min="2" max="2" bestFit="true" customWidth="true" width="18.425781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0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9.0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1" bestFit="true" customWidth="true" width="5.85546875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9" t="s">
        <v>47</v>
      </c>
      <c r="B2" s="249"/>
      <c r="C2" s="249"/>
      <c r="D2" s="249"/>
      <c r="E2" s="249"/>
      <c r="F2" s="249"/>
      <c r="G2" s="249"/>
      <c r="H2" s="24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SUMIF(BZ23:BZ24,"RAW MATERIAL",S23:S24)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s="0">
        <f>CU23+CD27</f>
        <v>10620</v>
      </c>
      <c r="CY23" s="0">
        <v>0</v>
      </c>
      <c r="CZ23" s="0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 s="0">
        <v>562</v>
      </c>
      <c r="H24" s="69">
        <f>F24*G24</f>
        <v>4500</v>
      </c>
      <c r="I24" s="0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 s="0">
        <v>239</v>
      </c>
      <c r="AV24" t="s" s="0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 s="0">
        <v>531</v>
      </c>
      <c r="BN24" t="s" s="0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53" t="s">
        <v>525</v>
      </c>
      <c r="BS24" s="253" t="s">
        <v>508</v>
      </c>
      <c r="BT24" s="253">
        <v>10100</v>
      </c>
      <c r="BU24" s="253" t="s">
        <v>526</v>
      </c>
      <c r="BV24" s="254" t="s">
        <v>527</v>
      </c>
      <c r="BW24" s="253" t="s">
        <v>509</v>
      </c>
      <c r="BX24" s="194" t="s">
        <v>510</v>
      </c>
      <c r="BY24" s="253">
        <v>800</v>
      </c>
      <c r="BZ24" s="253" t="s">
        <v>533</v>
      </c>
      <c r="CA24" s="255">
        <v>70</v>
      </c>
      <c r="CB24" s="253" t="s">
        <v>533</v>
      </c>
      <c r="CC24" s="0">
        <f>SUMIF(BZ23:BZ24,"COMMUNICATION EXPENSES",S23:S24)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4" si="1">V24</f>
        <v>405</v>
      </c>
      <c r="CQ24" s="0">
        <f t="shared" si="1"/>
        <v>405</v>
      </c>
      <c r="CR24" s="0">
        <f t="shared" si="1"/>
        <v>0</v>
      </c>
      <c r="CS24" s="0">
        <f t="shared" si="1"/>
        <v>0</v>
      </c>
      <c r="CT24" s="0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 s="0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616</v>
      </c>
      <c r="CC25" s="0">
        <f>V25</f>
        <v>810</v>
      </c>
      <c r="CD25" s="0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53" t="s">
        <v>617</v>
      </c>
      <c r="CC26" s="0">
        <f>W25</f>
        <v>810</v>
      </c>
      <c r="CD26" s="256">
        <v>0</v>
      </c>
    </row>
    <row r="27" spans="1:104" ht="15.75" thickBot="1">
      <c r="A27" s="66"/>
      <c r="B27" s="66"/>
      <c r="C27" s="66"/>
      <c r="D27" s="66"/>
      <c r="E27" s="66"/>
      <c r="F27" s="66"/>
      <c r="G27" s="278" t="s">
        <v>194</v>
      </c>
      <c r="H27" s="279"/>
      <c r="I27" s="281">
        <f>H25</f>
        <v>9000</v>
      </c>
      <c r="J27" s="281"/>
      <c r="K27" s="100"/>
      <c r="L27" s="66"/>
      <c r="M27" s="284" t="s">
        <v>195</v>
      </c>
      <c r="N27" s="285"/>
      <c r="O27" s="285"/>
      <c r="P27" s="28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53" t="s">
        <v>659</v>
      </c>
      <c r="CC27" s="0">
        <v>0</v>
      </c>
      <c r="CD27" s="0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78" t="s">
        <v>196</v>
      </c>
      <c r="H28" s="279"/>
      <c r="I28" s="281">
        <f>R25</f>
        <v>0</v>
      </c>
      <c r="J28" s="281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8" t="s">
        <v>197</v>
      </c>
      <c r="H29" s="279"/>
      <c r="I29" s="281">
        <f>S25</f>
        <v>9000</v>
      </c>
      <c r="J29" s="281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8" t="s">
        <v>198</v>
      </c>
      <c r="H30" s="279"/>
      <c r="I30" s="281">
        <f>AB25</f>
        <v>1620</v>
      </c>
      <c r="J30" s="281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78" t="s">
        <v>199</v>
      </c>
      <c r="H31" s="279"/>
      <c r="I31" s="280">
        <f>I29+I30</f>
        <v>10620</v>
      </c>
      <c r="J31" s="28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G27:H27"/>
    <mergeCell ref="I27:J27"/>
    <mergeCell ref="M27:P27"/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669</v>
      </c>
      <c r="H23" s="69">
        <f>F23*G23</f>
        <v>4700</v>
      </c>
      <c r="I23" s="0">
        <v>0</v>
      </c>
      <c r="J23" s="69">
        <v>0</v>
      </c>
      <c r="K23" s="69">
        <v>0</v>
      </c>
      <c r="L23" s="69">
        <f>H23</f>
        <v>4700</v>
      </c>
      <c r="M23" s="69">
        <f>ROUND(L23*I23%,2)</f>
        <v>0</v>
      </c>
      <c r="N23" s="69">
        <f>H23-M23</f>
        <v>4700</v>
      </c>
      <c r="O23" s="69">
        <f>ROUND(N23*J23%,2)</f>
        <v>0</v>
      </c>
      <c r="P23" s="69">
        <f>ROUND(N23-O23,2)</f>
        <v>4700</v>
      </c>
      <c r="Q23" s="69">
        <f>ROUND(P23*K23%,2)</f>
        <v>0</v>
      </c>
      <c r="R23" s="69">
        <f>ROUND((M23+O23+Q23),2)</f>
        <v>0</v>
      </c>
      <c r="S23" s="69">
        <f>ROUND((H23-R23),2)</f>
        <v>4700</v>
      </c>
      <c r="T23" s="89" t="s">
        <v>146</v>
      </c>
      <c r="U23" s="79">
        <v>0.18</v>
      </c>
      <c r="V23" s="69">
        <f>IF(OR($C$21=1,$C$21=4),ROUND(((S23*U23)/2),2),0)</f>
        <v>423</v>
      </c>
      <c r="W23" s="69">
        <f>IF($C$21=1,ROUND(((S23*U23)/2),2),0)</f>
        <v>423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846</v>
      </c>
      <c r="AC23" s="68">
        <f>IF($V21=1,S23+AB23,S23)</f>
        <v>5546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4700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4700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4700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4700</v>
      </c>
      <c r="AY23" s="83">
        <f>AU23+AW23</f>
        <v>1</v>
      </c>
      <c r="AZ23" s="83">
        <f>ROUND(((AU23*AV23)+(AW23*AX23))/(AU23+AW23),5)</f>
        <v>4700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495.24765000000002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4700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423</v>
      </c>
      <c r="CQ23" s="0">
        <f>W23</f>
        <v>423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5546</v>
      </c>
      <c r="CV23" s="0">
        <v>0</v>
      </c>
      <c r="CW23" s="0">
        <v>0</v>
      </c>
      <c r="CX23" s="0">
        <f>CU23+CD27</f>
        <v>5546</v>
      </c>
      <c r="CY23" s="0">
        <v>0</v>
      </c>
      <c r="CZ23" s="0">
        <f>CU23</f>
        <v>5546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4700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4700</v>
      </c>
      <c r="T24" s="71"/>
      <c r="U24" s="71"/>
      <c r="V24" s="77">
        <f t="shared" ref="V24:AE24" si="1">SUM(V23:V23)</f>
        <v>423</v>
      </c>
      <c r="W24" s="77">
        <f t="shared" si="1"/>
        <v>423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846</v>
      </c>
      <c r="AC24" s="80">
        <f t="shared" si="1"/>
        <v>5546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4700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5546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423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423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4700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5546</v>
      </c>
    </row>
    <row r="27" spans="1:104" ht="15.75" thickBot="1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0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4700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846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5546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556</v>
      </c>
      <c r="H23" s="69">
        <f>F23*G23</f>
        <v>4400</v>
      </c>
      <c r="I23" s="0">
        <v>0</v>
      </c>
      <c r="J23" s="69">
        <v>0</v>
      </c>
      <c r="K23" s="69">
        <v>0</v>
      </c>
      <c r="L23" s="69">
        <f>H23</f>
        <v>4400</v>
      </c>
      <c r="M23" s="69">
        <f>ROUND(L23*I23%,2)</f>
        <v>0</v>
      </c>
      <c r="N23" s="69">
        <f>H23-M23</f>
        <v>4400</v>
      </c>
      <c r="O23" s="69">
        <f>ROUND(N23*J23%,2)</f>
        <v>0</v>
      </c>
      <c r="P23" s="69">
        <f>ROUND(N23-O23,2)</f>
        <v>4400</v>
      </c>
      <c r="Q23" s="69">
        <f>ROUND(P23*K23%,2)</f>
        <v>0</v>
      </c>
      <c r="R23" s="69">
        <f>ROUND((M23+O23+Q23),2)</f>
        <v>0</v>
      </c>
      <c r="S23" s="69">
        <f>ROUND((H23-R23),2)</f>
        <v>4400</v>
      </c>
      <c r="T23" s="89" t="s">
        <v>146</v>
      </c>
      <c r="U23" s="79">
        <v>0.18</v>
      </c>
      <c r="V23" s="69">
        <f>IF(OR($C$21=1,$C$21=4),ROUND(((S23*U23)/2),2),0)</f>
        <v>396</v>
      </c>
      <c r="W23" s="69">
        <f>IF($C$21=1,ROUND(((S23*U23)/2),2),0)</f>
        <v>396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792</v>
      </c>
      <c r="AC23" s="68">
        <f>IF($V21=1,S23+AB23,S23)</f>
        <v>5192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4400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4400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4400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4400</v>
      </c>
      <c r="AY23" s="83">
        <f>AU23+AW23</f>
        <v>1</v>
      </c>
      <c r="AZ23" s="83">
        <f>ROUND(((AU23*AV23)+(AW23*AX23))/(AU23+AW23),5)</f>
        <v>4400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493.63475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4400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396</v>
      </c>
      <c r="CQ23" s="0">
        <f>W23</f>
        <v>396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5192</v>
      </c>
      <c r="CV23" s="0">
        <v>0</v>
      </c>
      <c r="CW23" s="0">
        <v>0</v>
      </c>
      <c r="CX23" s="0">
        <f>CU23+CD27</f>
        <v>5192</v>
      </c>
      <c r="CY23" s="0">
        <v>0</v>
      </c>
      <c r="CZ23" s="0">
        <f>CU23</f>
        <v>5192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4400</v>
      </c>
      <c r="T24" s="71"/>
      <c r="U24" s="71"/>
      <c r="V24" s="77">
        <f t="shared" ref="V24:AE24" si="1">SUM(V23:V23)</f>
        <v>396</v>
      </c>
      <c r="W24" s="77">
        <f t="shared" si="1"/>
        <v>396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792</v>
      </c>
      <c r="AC24" s="80">
        <f t="shared" si="1"/>
        <v>5192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4400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5192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396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396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4400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5192</v>
      </c>
    </row>
    <row r="27" spans="1:104" ht="15.75" thickBot="1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0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4400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792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5192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1" max="41" bestFit="true" customWidth="true" width="15.8554687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282" t="s">
        <v>154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6" t="s">
        <v>87</v>
      </c>
      <c r="C19" s="276"/>
      <c r="D19" s="276"/>
      <c r="E19" s="276"/>
      <c r="F19" s="276"/>
      <c r="G19" s="276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7" t="s">
        <v>89</v>
      </c>
      <c r="B21" s="277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0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 s="0">
        <v>562</v>
      </c>
      <c r="H23" s="69">
        <f>F23*G23</f>
        <v>4500</v>
      </c>
      <c r="I23" s="0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 s="0">
        <v>239</v>
      </c>
      <c r="AV23" t="s" s="0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 s="0">
        <v>531</v>
      </c>
      <c r="BN23" t="s" s="0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 s="0">
        <f>SUMIF(BZ23:BZ23,"RAW MATERIAL",S23:S23)</f>
        <v>4500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5310</v>
      </c>
      <c r="CV23" s="0">
        <v>0</v>
      </c>
      <c r="CW23" s="0">
        <v>0</v>
      </c>
      <c r="CX23" s="0">
        <f>CU23+CD27</f>
        <v>5310</v>
      </c>
      <c r="CY23" s="0">
        <v>0</v>
      </c>
      <c r="CZ23" s="0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 s="0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 s="0">
        <f>V24</f>
        <v>405</v>
      </c>
      <c r="CD24" s="0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 s="0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8" t="s">
        <v>194</v>
      </c>
      <c r="H26" s="279"/>
      <c r="I26" s="281">
        <f>H24</f>
        <v>4500</v>
      </c>
      <c r="J26" s="281"/>
      <c r="K26" s="100"/>
      <c r="L26" s="66"/>
      <c r="M26" s="284" t="s">
        <v>195</v>
      </c>
      <c r="N26" s="285"/>
      <c r="O26" s="285"/>
      <c r="P26" s="28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 s="0">
        <v>0</v>
      </c>
      <c r="CD26" s="0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78" t="s">
        <v>196</v>
      </c>
      <c r="H27" s="279"/>
      <c r="I27" s="281">
        <f>R24</f>
        <v>0</v>
      </c>
      <c r="J27" s="281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8" t="s">
        <v>197</v>
      </c>
      <c r="H28" s="279"/>
      <c r="I28" s="281">
        <f>S24</f>
        <v>4500</v>
      </c>
      <c r="J28" s="281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8" t="s">
        <v>198</v>
      </c>
      <c r="H29" s="279"/>
      <c r="I29" s="281">
        <f>AB24</f>
        <v>810</v>
      </c>
      <c r="J29" s="281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8" t="s">
        <v>199</v>
      </c>
      <c r="H30" s="279"/>
      <c r="I30" s="280">
        <f>I28+I29</f>
        <v>5310</v>
      </c>
      <c r="J30" s="280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29:H29"/>
    <mergeCell ref="I29:J29"/>
    <mergeCell ref="G30:H30"/>
    <mergeCell ref="I30:J30"/>
    <mergeCell ref="G27:H27"/>
    <mergeCell ref="I27:J27"/>
    <mergeCell ref="G28:H28"/>
    <mergeCell ref="I28:J28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136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02" t="s">
        <v>154</v>
      </c>
      <c r="BS1" s="302"/>
      <c r="BT1" s="302"/>
      <c r="BU1" s="302"/>
      <c r="BV1" s="302"/>
      <c r="BW1" s="302"/>
      <c r="BX1" s="302"/>
      <c r="BY1" s="302"/>
      <c r="BZ1" s="302"/>
      <c r="CA1" s="302"/>
      <c r="CB1" s="302"/>
      <c r="CC1" s="302"/>
      <c r="CD1" s="302"/>
      <c r="CE1" s="302"/>
      <c r="CF1" s="302"/>
      <c r="CG1" s="302"/>
      <c r="CH1" s="302"/>
      <c r="CI1" s="302"/>
      <c r="CJ1" s="302"/>
      <c r="CK1" s="302"/>
      <c r="CL1" s="302"/>
      <c r="CM1" s="302"/>
      <c r="CN1" s="302"/>
      <c r="CO1" s="302"/>
      <c r="CP1" s="302"/>
      <c r="CQ1" s="302"/>
      <c r="CR1" s="302"/>
      <c r="CS1" s="302"/>
      <c r="CT1" s="302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03" t="s">
        <v>87</v>
      </c>
      <c r="BT19" s="303"/>
      <c r="BU19" s="303"/>
      <c r="BV19" s="303"/>
      <c r="BW19" s="303"/>
      <c r="BX19" s="303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04" t="s">
        <v>89</v>
      </c>
      <c r="BS21" s="304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 s="0">
        <v>360</v>
      </c>
      <c r="H23" s="170">
        <f>F23*G23</f>
        <v>7200</v>
      </c>
      <c r="I23" t="s" s="0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 s="0">
        <v>239</v>
      </c>
      <c r="AV23" t="s" s="0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521</v>
      </c>
      <c r="BN23" t="s" s="0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 s="0">
        <f>G23+500</f>
        <v>1100</v>
      </c>
      <c r="BY23" s="170">
        <f>BW23*BX23</f>
        <v>13200</v>
      </c>
      <c r="BZ23" t="s" s="0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 s="0">
        <v>239</v>
      </c>
      <c r="DM23" t="s" s="0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 s="0">
        <v>524</v>
      </c>
      <c r="EE23" t="s" s="0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7200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305" t="s">
        <v>194</v>
      </c>
      <c r="BY26" s="306"/>
      <c r="BZ26" s="307">
        <f>BY24</f>
        <v>13200</v>
      </c>
      <c r="CA26" s="307"/>
      <c r="CB26" s="185"/>
      <c r="CC26" s="137"/>
      <c r="CD26" s="299" t="s">
        <v>195</v>
      </c>
      <c r="CE26" s="300"/>
      <c r="CF26" s="300"/>
      <c r="CG26" s="301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526.79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305" t="s">
        <v>196</v>
      </c>
      <c r="BY27" s="306"/>
      <c r="BZ27" s="307">
        <f>CI24</f>
        <v>965.78</v>
      </c>
      <c r="CA27" s="307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6673.21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305" t="s">
        <v>197</v>
      </c>
      <c r="BY28" s="306"/>
      <c r="BZ28" s="307">
        <f>CJ24</f>
        <v>12234.22</v>
      </c>
      <c r="CA28" s="307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1201.18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305" t="s">
        <v>198</v>
      </c>
      <c r="BY29" s="306"/>
      <c r="BZ29" s="307">
        <f>CS24</f>
        <v>2202.16</v>
      </c>
      <c r="CA29" s="307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7874.39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305" t="s">
        <v>199</v>
      </c>
      <c r="BY30" s="306"/>
      <c r="BZ30" s="308">
        <f>BZ28+BZ29</f>
        <v>14436.38</v>
      </c>
      <c r="CA30" s="308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G29:H29"/>
    <mergeCell ref="I29:J29"/>
    <mergeCell ref="BX29:BY29"/>
    <mergeCell ref="BZ29:CA29"/>
    <mergeCell ref="G30:H30"/>
    <mergeCell ref="I30:J30"/>
    <mergeCell ref="BX30:BY30"/>
    <mergeCell ref="BZ30:CA30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opLeftCell="BV16" workbookViewId="0">
      <selection activeCell="CB28" sqref="CB28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12.8554687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702</v>
      </c>
      <c r="H23" s="170">
        <f>F23*G23</f>
        <v>6700</v>
      </c>
      <c r="I23" s="0">
        <v>1</v>
      </c>
      <c r="J23" s="170">
        <v>2</v>
      </c>
      <c r="K23" s="170">
        <v>3</v>
      </c>
      <c r="L23" s="170">
        <f>H23</f>
        <v>6700</v>
      </c>
      <c r="M23" s="170">
        <f>ROUND(L23*I23%,2)</f>
        <v>67</v>
      </c>
      <c r="N23" s="170">
        <f>H23-M23</f>
        <v>6633</v>
      </c>
      <c r="O23" s="170">
        <f>ROUND(N23*J23%,2)</f>
        <v>132.66</v>
      </c>
      <c r="P23" s="170">
        <f>ROUND(N23-O23,2)</f>
        <v>6500.34</v>
      </c>
      <c r="Q23" s="170">
        <f>ROUND(P23*K23%,2)</f>
        <v>195.01</v>
      </c>
      <c r="R23" s="170">
        <f>ROUND((M23+O23+Q23),2)</f>
        <v>394.67</v>
      </c>
      <c r="S23" s="170">
        <f>ROUND((H23-R23),2)</f>
        <v>6305.33</v>
      </c>
      <c r="T23" s="171" t="s">
        <v>146</v>
      </c>
      <c r="U23" s="172">
        <v>0.18</v>
      </c>
      <c r="V23" s="170">
        <f>IF(OR($C$21=1,$C$21=4),ROUND(((S23*U23)/2),2),0)</f>
        <v>567.48</v>
      </c>
      <c r="W23" s="170">
        <f>IF($C$21=1,ROUND(((S23*U23)/2),2),0)</f>
        <v>567.48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1134.96</v>
      </c>
      <c r="AC23" s="169">
        <f>IF($V21=1,S23+AB23,S23)</f>
        <v>6305.33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6305.33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6305.33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6305.33</v>
      </c>
      <c r="AS23" s="175" t="s">
        <v>518</v>
      </c>
      <c r="AT23" s="175" t="s">
        <v>58</v>
      </c>
      <c r="AU23" t="s" s="0">
        <v>239</v>
      </c>
      <c r="AV23" t="s" s="0">
        <v>699</v>
      </c>
      <c r="AW23" s="175">
        <f>AM23</f>
        <v>1</v>
      </c>
      <c r="AX23" s="175">
        <f>AR23</f>
        <v>6305.33</v>
      </c>
      <c r="AY23" s="175">
        <f>AU23+AW23</f>
        <v>1</v>
      </c>
      <c r="AZ23" s="175">
        <f>ROUND(((AU23*AV23)+(AW23*AX23))/(AU23+AW23),5)</f>
        <v>6305.33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701</v>
      </c>
      <c r="BN23" t="s" s="0">
        <v>700</v>
      </c>
      <c r="BO23" s="175">
        <f>ROUND((((AW23*AZ23)+(BN23*BM23))/(AW23+BN23)),5)</f>
        <v>2845.1901699999999</v>
      </c>
      <c r="BP23" s="87">
        <f>BN23+AW23</f>
        <v>521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12605.33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567.48</v>
      </c>
      <c r="CQ23" s="0">
        <f>W23</f>
        <v>567.48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s="0">
        <f>CU23</f>
        <v>0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702</v>
      </c>
      <c r="H24" s="170">
        <f>F24*G24</f>
        <v>6700</v>
      </c>
      <c r="I24" s="0">
        <v>0</v>
      </c>
      <c r="J24" s="170">
        <v>0</v>
      </c>
      <c r="K24" s="170">
        <v>0</v>
      </c>
      <c r="L24" s="170">
        <f>H24</f>
        <v>6700</v>
      </c>
      <c r="M24" s="170">
        <f>ROUND(L24*I24%,2)</f>
        <v>0</v>
      </c>
      <c r="N24" s="170">
        <f>H24-M24</f>
        <v>6700</v>
      </c>
      <c r="O24" s="170">
        <f>ROUND(N24*J24%,2)</f>
        <v>0</v>
      </c>
      <c r="P24" s="170">
        <f>ROUND(N24-O24,2)</f>
        <v>6700</v>
      </c>
      <c r="Q24" s="170">
        <f>ROUND(P24*K24%,2)</f>
        <v>0</v>
      </c>
      <c r="R24" s="170">
        <f>ROUND((M24+O24+Q24),2)</f>
        <v>0</v>
      </c>
      <c r="S24" s="170">
        <f>ROUND((H24-R24),2)</f>
        <v>6700</v>
      </c>
      <c r="T24" s="171" t="s">
        <v>146</v>
      </c>
      <c r="U24" s="172">
        <v>0.18</v>
      </c>
      <c r="V24" s="170">
        <f>IF(OR($C$21=1,$C$21=4),ROUND(((S24*U24)/2),2),0)</f>
        <v>603</v>
      </c>
      <c r="W24" s="170">
        <f>IF($C$21=1,ROUND(((S24*U24)/2),2),0)</f>
        <v>603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1206</v>
      </c>
      <c r="AC24" s="169">
        <f>IF($V21=1,S24+AB24,S24)</f>
        <v>6700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6700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6700</v>
      </c>
      <c r="AY24" s="175">
        <f>AU24+AW24</f>
        <v>1</v>
      </c>
      <c r="AZ24" s="175">
        <f>ROUND(((AU24*AV24)+(AW24*AX24))/(AU24+AW24),5)</f>
        <v>6700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677</v>
      </c>
      <c r="BN24" t="s" s="0">
        <v>676</v>
      </c>
      <c r="BO24" s="175">
        <f>ROUND((((AW24*AZ24)+(BN24*BM24))/(AW24+BN24)),5)</f>
        <v>2260.0310800000002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6700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P27" si="2">V24</f>
        <v>603</v>
      </c>
      <c r="CQ24" s="0">
        <f t="shared" ref="CQ24:CQ27" si="3">W24</f>
        <v>603</v>
      </c>
      <c r="CR24" s="0">
        <f t="shared" ref="CR24:CS27" si="4">X24</f>
        <v>0</v>
      </c>
      <c r="CS24" s="0">
        <f t="shared" si="4"/>
        <v>0</v>
      </c>
      <c r="CT24" s="0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269" t="s">
        <v>627</v>
      </c>
      <c r="CC25" s="266">
        <f>V28</f>
        <v>1737.48</v>
      </c>
      <c r="CD25" s="265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3"/>
        <v>189</v>
      </c>
      <c r="CR25" s="0">
        <f t="shared" si="4"/>
        <v>0</v>
      </c>
      <c r="CS25" s="0">
        <f t="shared" si="4"/>
        <v>0</v>
      </c>
      <c r="CT25" s="0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9" t="s">
        <v>628</v>
      </c>
      <c r="CC26" s="266">
        <f>W28</f>
        <v>1737.48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3"/>
        <v>189</v>
      </c>
      <c r="CR26" s="0">
        <f t="shared" si="4"/>
        <v>0</v>
      </c>
      <c r="CS26" s="0">
        <f t="shared" si="4"/>
        <v>0</v>
      </c>
      <c r="CT26" s="0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 s="0">
        <f>IF(AU28&gt;=ROUND(AU28,0),ROUND(AU28-ROUND(AU28,0),2),0)</f>
        <v>0</v>
      </c>
      <c r="CD27" s="0">
        <f>IF(AU28&lt;=ROUND(AU28,0),ROUND(ROUND(AU28,0)-AU28,2),0)</f>
        <v>0.33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3"/>
        <v>189</v>
      </c>
      <c r="CR27" s="0">
        <f t="shared" si="4"/>
        <v>0</v>
      </c>
      <c r="CS27" s="0">
        <f t="shared" si="4"/>
        <v>0</v>
      </c>
      <c r="CT27" s="0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1737.48</v>
      </c>
      <c r="W28" s="181">
        <f>SUM(W23:W27)</f>
        <v>1737.48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3474.96</v>
      </c>
      <c r="AC28" s="183">
        <f>SUM(AC23:AC27)</f>
        <v>19305.330000000002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19305</v>
      </c>
      <c r="AU28" s="0">
        <f>AT28-AC28</f>
        <v>-0.33000000000174623</v>
      </c>
      <c r="AW28" s="137">
        <f>SUMIF(BX23:BX27,"Item",S23:S27)</f>
        <v>12605.33</v>
      </c>
      <c r="AX28" s="137">
        <f>SUMIF(BX23:BX27,"Exp.",S23:S27)</f>
        <v>6700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629</v>
      </c>
      <c r="CC28" s="0">
        <v>0</v>
      </c>
      <c r="CD28" s="0">
        <f>CC25</f>
        <v>1737.48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9" t="s">
        <v>630</v>
      </c>
      <c r="CC29" s="0">
        <v>0</v>
      </c>
      <c r="CD29" s="230">
        <f>CC26</f>
        <v>1737.48</v>
      </c>
    </row>
    <row r="30" spans="1:106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675</v>
      </c>
      <c r="CC30" s="266">
        <v>0</v>
      </c>
      <c r="CD30" s="0">
        <f>AT28</f>
        <v>19305</v>
      </c>
    </row>
    <row r="31" spans="1:106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3474.96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5574.96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D35" sqref="D3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543</v>
      </c>
      <c r="H23" s="170">
        <f>F23*G23</f>
        <v>3900</v>
      </c>
      <c r="I23" s="0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543</v>
      </c>
      <c r="H24" s="170">
        <f>F24*G24</f>
        <v>3900</v>
      </c>
      <c r="I24" s="0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 s="0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13984.17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2517.16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16501.330000000002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B42"/>
  <sheetViews>
    <sheetView tabSelected="1" topLeftCell="BU16" workbookViewId="0">
      <selection activeCell="CB28" sqref="CB28"/>
    </sheetView>
  </sheetViews>
  <sheetFormatPr defaultColWidth="9" defaultRowHeight="15"/>
  <cols>
    <col min="1" max="1" bestFit="true" customWidth="true" width="24.5703125"/>
    <col min="2" max="2" bestFit="true" customWidth="true" width="27.710937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12.8554687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2" t="s">
        <v>47</v>
      </c>
      <c r="B2" s="272"/>
      <c r="C2" s="272"/>
      <c r="D2" s="272"/>
      <c r="E2" s="272"/>
      <c r="F2" s="272"/>
      <c r="G2" s="272"/>
      <c r="H2" s="27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476</v>
      </c>
      <c r="H23" s="170">
        <f>F23*G23</f>
        <v>700</v>
      </c>
      <c r="I23" t="s" s="0">
        <v>223</v>
      </c>
      <c r="J23" s="170">
        <v>2</v>
      </c>
      <c r="K23" s="170">
        <v>3</v>
      </c>
      <c r="L23" s="170">
        <f>H23</f>
        <v>700</v>
      </c>
      <c r="M23" s="170">
        <f>ROUND(L23*I23%,2)</f>
        <v>14</v>
      </c>
      <c r="N23" s="170">
        <f>H23-M23</f>
        <v>686</v>
      </c>
      <c r="O23" s="170">
        <f>ROUND(N23*J23%,2)</f>
        <v>13.72</v>
      </c>
      <c r="P23" s="170">
        <f>ROUND(N23-O23,2)</f>
        <v>672.28</v>
      </c>
      <c r="Q23" s="170">
        <f>ROUND(P23*K23%,2)</f>
        <v>20.170000000000002</v>
      </c>
      <c r="R23" s="170">
        <f>ROUND((M23+O23+Q23),2)</f>
        <v>47.89</v>
      </c>
      <c r="S23" s="170">
        <f>ROUND((H23-R23),2)</f>
        <v>652.11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117.38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117.38</v>
      </c>
      <c r="AC23" s="169">
        <f>IF($V21=1,S23+AB23,S23)</f>
        <v>652.11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652.11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652.11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652.11</v>
      </c>
      <c r="AS23" s="175" t="s">
        <v>309</v>
      </c>
      <c r="AT23" s="175" t="s">
        <v>58</v>
      </c>
      <c r="AU23" t="s" s="0">
        <v>239</v>
      </c>
      <c r="AV23" t="s" s="0">
        <v>696</v>
      </c>
      <c r="AW23" s="175">
        <f>AM23</f>
        <v>1</v>
      </c>
      <c r="AX23" s="175">
        <f>AR23</f>
        <v>652.11</v>
      </c>
      <c r="AY23" s="175">
        <f>AU23+AW23</f>
        <v>1</v>
      </c>
      <c r="AZ23" s="175">
        <f>ROUND(((AU23*AV23)+(AW23*AX23))/(AU23+AW23),5)</f>
        <v>652.11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704</v>
      </c>
      <c r="BN23" t="s" s="0">
        <v>703</v>
      </c>
      <c r="BO23" s="175">
        <f>ROUND((((AW23*AZ23)+(BN23*BM23))/(AW23+BN23)),5)</f>
        <v>567.23446000000001</v>
      </c>
      <c r="BP23" s="87">
        <f>BN23+AW23</f>
        <v>836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6952.1100000000006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117.38</v>
      </c>
      <c r="CS23" s="0">
        <f>Y23</f>
        <v>0</v>
      </c>
      <c r="CT23" s="0">
        <f>AA23</f>
        <v>0</v>
      </c>
      <c r="CU23" t="e" s="0">
        <f>#REF!</f>
        <v>#REF!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t="e" s="0">
        <f>CU23</f>
        <v>#REF!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476</v>
      </c>
      <c r="H24" s="170">
        <f>F24*G24</f>
        <v>700</v>
      </c>
      <c r="I24" s="0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 s="0">
        <v>0</v>
      </c>
      <c r="AV24" t="s" s="0">
        <v>678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681</v>
      </c>
      <c r="BM24" t="s" s="0">
        <v>680</v>
      </c>
      <c r="BN24" t="s" s="0">
        <v>679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700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126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682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 s="0">
        <f>X28</f>
        <v>1377.38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683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672</v>
      </c>
      <c r="CC26" s="0">
        <f>ABS(IF(AU28&gt;=0.5,AU28,0))</f>
        <v>0</v>
      </c>
      <c r="CD26" s="266">
        <f>ABS(IF(AU28&lt;=0.5,AU28,0))</f>
        <v>0.11000000000058208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684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638</v>
      </c>
      <c r="CC27" s="0">
        <v>0</v>
      </c>
      <c r="CD27" s="0">
        <f>CC25</f>
        <v>1377.38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1377.38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1377.38</v>
      </c>
      <c r="AC28" s="183">
        <f>SUM(AC23:AC27)</f>
        <v>7652.1100000000006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7652</v>
      </c>
      <c r="AU28" s="0">
        <f>AT28-AC28</f>
        <v>-0.11000000000058208</v>
      </c>
      <c r="AW28" s="137">
        <f>SUMIF(BX23:BX27,"Item",S23:S27)</f>
        <v>6952.1100000000006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1" t="s">
        <v>685</v>
      </c>
      <c r="CC28" s="266">
        <v>0</v>
      </c>
      <c r="CD28" s="0">
        <f>AT28</f>
        <v>7652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1377.38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3477.38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bestFit="true" customWidth="true" width="24.5703125"/>
    <col min="2" max="2" bestFit="true" customWidth="true" width="27.710937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12.8554687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360</v>
      </c>
      <c r="H23" s="170">
        <f>F23*G23</f>
        <v>700</v>
      </c>
      <c r="I23" t="s" s="0">
        <v>223</v>
      </c>
      <c r="J23" s="170">
        <v>2</v>
      </c>
      <c r="K23" s="170">
        <v>3</v>
      </c>
      <c r="L23" s="170">
        <f>H23</f>
        <v>700</v>
      </c>
      <c r="M23" s="170">
        <f>ROUND(L23*I23%,2)</f>
        <v>14</v>
      </c>
      <c r="N23" s="170">
        <f>H23-M23</f>
        <v>686</v>
      </c>
      <c r="O23" s="170">
        <f>ROUND(N23*J23%,2)</f>
        <v>13.72</v>
      </c>
      <c r="P23" s="170">
        <f>ROUND(N23-O23,2)</f>
        <v>672.28</v>
      </c>
      <c r="Q23" s="170">
        <f>ROUND(P23*K23%,2)</f>
        <v>20.170000000000002</v>
      </c>
      <c r="R23" s="170">
        <f>ROUND((M23+O23+Q23),2)</f>
        <v>47.89</v>
      </c>
      <c r="S23" s="170">
        <f>ROUND((H23-R23),2)</f>
        <v>652.11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117.38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117.38</v>
      </c>
      <c r="AC23" s="169">
        <f>IF($V21=1,S23+AB23,S23)</f>
        <v>769.49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652.11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652.11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652.11</v>
      </c>
      <c r="AS23" s="175" t="s">
        <v>309</v>
      </c>
      <c r="AT23" s="175" t="s">
        <v>58</v>
      </c>
      <c r="AU23" t="s" s="0">
        <v>239</v>
      </c>
      <c r="AV23" t="s" s="0">
        <v>696</v>
      </c>
      <c r="AW23" s="175">
        <f>AM23</f>
        <v>1</v>
      </c>
      <c r="AX23" s="175">
        <f>AR23</f>
        <v>652.11</v>
      </c>
      <c r="AY23" s="175">
        <f>AU23+AW23</f>
        <v>1</v>
      </c>
      <c r="AZ23" s="175">
        <f>ROUND(((AU23*AV23)+(AW23*AX23))/(AU23+AW23),5)</f>
        <v>652.11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698</v>
      </c>
      <c r="BN23" t="s" s="0">
        <v>697</v>
      </c>
      <c r="BO23" s="175">
        <f>ROUND((((AW23*AZ23)+(BN23*BM23))/(AW23+BN23)),5)</f>
        <v>567.29421000000002</v>
      </c>
      <c r="BP23" s="87">
        <f>BN23+AW23</f>
        <v>832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6952.1100000000006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117.38</v>
      </c>
      <c r="CS23" s="0">
        <f>Y23</f>
        <v>0</v>
      </c>
      <c r="CT23" s="0">
        <f>AA23</f>
        <v>0</v>
      </c>
      <c r="CU23" t="e" s="0">
        <f>#REF!</f>
        <v>#REF!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t="e" s="0">
        <f>CU23</f>
        <v>#REF!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476</v>
      </c>
      <c r="H24" s="170">
        <f>F24*G24</f>
        <v>700</v>
      </c>
      <c r="I24" s="0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826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 s="0">
        <v>0</v>
      </c>
      <c r="AV24" t="s" s="0">
        <v>678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681</v>
      </c>
      <c r="BM24" t="s" s="0">
        <v>680</v>
      </c>
      <c r="BN24" t="s" s="0">
        <v>679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700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126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682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 s="0">
        <f>X28</f>
        <v>1377.38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683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672</v>
      </c>
      <c r="CC26" s="0">
        <f>ABS(IF(AU28&gt;=0.5,AU28,0))</f>
        <v>0</v>
      </c>
      <c r="CD26" s="266">
        <f>ABS(IF(AU28&lt;=0.5,AU28,0))</f>
        <v>0.48999999999978172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684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71" t="s">
        <v>685</v>
      </c>
      <c r="CC27" s="266">
        <v>0</v>
      </c>
      <c r="CD27" s="0">
        <f>AT28</f>
        <v>9029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1377.38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1377.38</v>
      </c>
      <c r="AC28" s="183">
        <f>SUM(AC23:AC27)</f>
        <v>9029.49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9029</v>
      </c>
      <c r="AU28" s="0">
        <f>AT28-AC28</f>
        <v>-0.48999999999978172</v>
      </c>
      <c r="AW28" s="137">
        <f>SUMIF(BX23:BX27,"Item",S23:S27)</f>
        <v>6952.1100000000006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1377.38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3477.38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5" sqref="D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s="0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254</v>
      </c>
      <c r="H24" s="170">
        <f>F24*G24</f>
        <v>500</v>
      </c>
      <c r="I24" s="0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 s="0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1309.56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3409.56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BJ10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s="0">
        <v>2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472.56081999999998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254</v>
      </c>
      <c r="H24" s="170">
        <f>F24*G24</f>
        <v>500</v>
      </c>
      <c r="I24" s="0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90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0</v>
      </c>
      <c r="W28" s="181">
        <f t="shared" si="2"/>
        <v>0</v>
      </c>
      <c r="X28" s="181">
        <f t="shared" si="2"/>
        <v>378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1310.45</v>
      </c>
      <c r="AC28" s="183">
        <f>SUM(AC23:AC27)</f>
        <v>7280.25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7280</v>
      </c>
      <c r="AU28" s="0">
        <f>AT28-AC28</f>
        <v>-0.25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1310.45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3410.45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BT17" workbookViewId="0">
      <selection activeCell="D25" sqref="D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s="0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254</v>
      </c>
      <c r="H24" s="170">
        <f>F24*G24</f>
        <v>500</v>
      </c>
      <c r="I24" s="0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 s="0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1309.56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3409.56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9" t="s">
        <v>626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34" t="s">
        <v>636</v>
      </c>
      <c r="CC26" s="0">
        <v>0</v>
      </c>
      <c r="CD26" s="0">
        <f>CC23+CC24+CC25</f>
        <v>18054</v>
      </c>
      <c r="CE26" s="0">
        <v>0</v>
      </c>
      <c r="CF26" s="0">
        <v>0</v>
      </c>
      <c r="CG26" s="0">
        <v>0</v>
      </c>
      <c r="CH26" s="0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 s="0">
        <v>0</v>
      </c>
      <c r="CF27" s="0">
        <v>0</v>
      </c>
      <c r="CG27" s="0">
        <v>0</v>
      </c>
      <c r="CH27" s="0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636</v>
      </c>
      <c r="CC26" s="0">
        <f>W28</f>
        <v>0</v>
      </c>
      <c r="CD26" s="0">
        <f>CC23+CC24+CC25</f>
        <v>18054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opLeftCell="BV19" workbookViewId="0">
      <selection activeCell="CB25" sqref="CB25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692</v>
      </c>
      <c r="H23" s="170">
        <f>F23*G23</f>
        <v>6000</v>
      </c>
      <c r="I23" s="0">
        <v>1</v>
      </c>
      <c r="J23" s="170">
        <v>2</v>
      </c>
      <c r="K23" s="170">
        <v>3</v>
      </c>
      <c r="L23" s="170">
        <f>H23</f>
        <v>6000</v>
      </c>
      <c r="M23" s="170">
        <f>ROUND(L23*I23%,2)</f>
        <v>60</v>
      </c>
      <c r="N23" s="170">
        <f>H23-M23</f>
        <v>5940</v>
      </c>
      <c r="O23" s="170">
        <f>ROUND(N23*J23%,2)</f>
        <v>118.8</v>
      </c>
      <c r="P23" s="170">
        <f>ROUND(N23-O23,2)</f>
        <v>5821.2</v>
      </c>
      <c r="Q23" s="170">
        <f>ROUND(P23*K23%,2)</f>
        <v>174.64</v>
      </c>
      <c r="R23" s="170">
        <f>ROUND((M23+O23+Q23),2)</f>
        <v>353.44</v>
      </c>
      <c r="S23" s="170">
        <f>ROUND((H23-R23),2)</f>
        <v>5646.56</v>
      </c>
      <c r="T23" s="171" t="s">
        <v>146</v>
      </c>
      <c r="U23" s="172">
        <v>0.18</v>
      </c>
      <c r="V23" s="170">
        <f>IF(OR($C$21=1,$C$21=4),ROUND(((S23*U23)/2),2),0)</f>
        <v>508.19</v>
      </c>
      <c r="W23" s="170">
        <f>IF($C$21=1,ROUND(((S23*U23)/2),2),0)</f>
        <v>508.19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1016.38</v>
      </c>
      <c r="AC23" s="169">
        <f>IF($V21=1,S23+AB23,S23)</f>
        <v>6662.9400000000005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5646.56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5646.56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5646.56</v>
      </c>
      <c r="AS23" s="175" t="s">
        <v>518</v>
      </c>
      <c r="AT23" s="175" t="s">
        <v>58</v>
      </c>
      <c r="AU23" t="s" s="0">
        <v>239</v>
      </c>
      <c r="AV23" t="s" s="0">
        <v>693</v>
      </c>
      <c r="AW23" s="175">
        <f>AM23</f>
        <v>1</v>
      </c>
      <c r="AX23" s="175">
        <f>AR23</f>
        <v>5646.56</v>
      </c>
      <c r="AY23" s="175">
        <f>AU23+AW23</f>
        <v>1</v>
      </c>
      <c r="AZ23" s="175">
        <f>ROUND(((AU23*AV23)+(AW23*AX23))/(AU23+AW23),5)</f>
        <v>5646.56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695</v>
      </c>
      <c r="BN23" t="s" s="0">
        <v>694</v>
      </c>
      <c r="BO23" s="175">
        <f>ROUND((((AW23*AZ23)+(BN23*BM23))/(AW23+BN23)),5)</f>
        <v>2838.5360500000002</v>
      </c>
      <c r="BP23" s="87">
        <f>BN23+AW23</f>
        <v>520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11946.560000000001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508.19</v>
      </c>
      <c r="CQ23" s="0">
        <f>W23</f>
        <v>508.19</v>
      </c>
      <c r="CR23" s="0">
        <f>X23</f>
        <v>0</v>
      </c>
      <c r="CS23" s="0">
        <f>Y23</f>
        <v>0</v>
      </c>
      <c r="CT23" s="0">
        <f>AA23</f>
        <v>0</v>
      </c>
      <c r="CU23" s="0">
        <f>CD27</f>
        <v>21177</v>
      </c>
      <c r="CV23" s="0">
        <v>0</v>
      </c>
      <c r="CW23" s="0">
        <v>0</v>
      </c>
      <c r="CX23" t="e" s="0">
        <f>CU23+#REF!</f>
        <v>#REF!</v>
      </c>
      <c r="CY23" s="0">
        <v>0</v>
      </c>
      <c r="CZ23" s="0">
        <f>CU23</f>
        <v>21177</v>
      </c>
      <c r="DA23" s="0">
        <v>0</v>
      </c>
      <c r="DB23" t="e" s="0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692</v>
      </c>
      <c r="H24" s="170">
        <f>F24*G24</f>
        <v>6000</v>
      </c>
      <c r="I24" s="0">
        <v>0</v>
      </c>
      <c r="J24" s="170">
        <v>0</v>
      </c>
      <c r="K24" s="170">
        <v>0</v>
      </c>
      <c r="L24" s="170">
        <f>H24</f>
        <v>6000</v>
      </c>
      <c r="M24" s="170">
        <f>ROUND(L24*I24%,2)</f>
        <v>0</v>
      </c>
      <c r="N24" s="170">
        <f>H24-M24</f>
        <v>6000</v>
      </c>
      <c r="O24" s="170">
        <f>ROUND(N24*J24%,2)</f>
        <v>0</v>
      </c>
      <c r="P24" s="170">
        <f>ROUND(N24-O24,2)</f>
        <v>6000</v>
      </c>
      <c r="Q24" s="170">
        <f>ROUND(P24*K24%,2)</f>
        <v>0</v>
      </c>
      <c r="R24" s="170">
        <f>ROUND((M24+O24+Q24),2)</f>
        <v>0</v>
      </c>
      <c r="S24" s="170">
        <f>ROUND((H24-R24),2)</f>
        <v>6000</v>
      </c>
      <c r="T24" s="171" t="s">
        <v>146</v>
      </c>
      <c r="U24" s="172">
        <v>0.18</v>
      </c>
      <c r="V24" s="170">
        <f>IF(OR($C$21=1,$C$21=4),ROUND(((S24*U24)/2),2),0)</f>
        <v>540</v>
      </c>
      <c r="W24" s="170">
        <f>IF($C$21=1,ROUND(((S24*U24)/2),2),0)</f>
        <v>540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1080</v>
      </c>
      <c r="AC24" s="169">
        <f>IF($V21=1,S24+AB24,S24)</f>
        <v>7080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6000</v>
      </c>
      <c r="AY24" s="175">
        <f>AU24+AW24</f>
        <v>1</v>
      </c>
      <c r="AZ24" s="175">
        <f>ROUND(((AU24*AV24)+(AW24*AX24))/(AU24+AW24),5)</f>
        <v>6000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502.23689999999999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6000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540</v>
      </c>
      <c r="CQ24" s="0">
        <f t="shared" si="2"/>
        <v>540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 s="0">
        <f>X28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7" t="s">
        <v>672</v>
      </c>
      <c r="CC26" s="0">
        <f>ABS(AU28)</f>
        <v>5.9999999997671694E-2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67" t="s">
        <v>675</v>
      </c>
      <c r="CC27" s="0">
        <v>0</v>
      </c>
      <c r="CD27" s="0">
        <f>AT28</f>
        <v>21177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1615.19</v>
      </c>
      <c r="W28" s="181">
        <f>SUM(W23:W27)</f>
        <v>1615.19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3230.38</v>
      </c>
      <c r="AC28" s="183">
        <f>SUM(AC23:AC27)</f>
        <v>21176.940000000002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21177</v>
      </c>
      <c r="AU28" s="0">
        <f>AT28-AC28</f>
        <v>5.9999999997671694E-2</v>
      </c>
      <c r="AW28" s="137">
        <f>SUMIF(BX23:BX27,"Item",S23:S27)</f>
        <v>11946.560000000001</v>
      </c>
      <c r="AX28" s="137">
        <f>SUMIF(BX23:BX27,"Exp.",S23:S27)</f>
        <v>6000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3230.38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5330.38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8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20.28515625"/>
    <col min="87" max="87" bestFit="true" customWidth="true" width="20.140625"/>
    <col min="88" max="89" bestFit="true" customWidth="true" width="28.570312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629</v>
      </c>
      <c r="CI22" s="228" t="s">
        <v>630</v>
      </c>
      <c r="CJ22" s="228" t="s">
        <v>631</v>
      </c>
      <c r="CK22" s="228" t="s">
        <v>632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f>V23</f>
        <v>0</v>
      </c>
      <c r="CK23" s="0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f t="shared" ref="CJ24:CK27" si="2">V24</f>
        <v>0</v>
      </c>
      <c r="CK24" s="0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 s="0">
        <f>V28</f>
        <v>0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f t="shared" si="2"/>
        <v>0</v>
      </c>
      <c r="CK25" s="0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 s="0">
        <f>W28</f>
        <v>0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f t="shared" si="2"/>
        <v>0</v>
      </c>
      <c r="CK26" s="0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 s="0">
        <v>0</v>
      </c>
      <c r="CD27" s="0">
        <f>CC25</f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f t="shared" si="2"/>
        <v>0</v>
      </c>
      <c r="CK27" s="0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 t="s">
        <v>630</v>
      </c>
      <c r="CC28" s="0">
        <v>0</v>
      </c>
      <c r="CD28" s="0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 t="s">
        <v>633</v>
      </c>
      <c r="CC29" s="0">
        <v>0</v>
      </c>
      <c r="CD29" s="230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2" t="s">
        <v>47</v>
      </c>
      <c r="B2" s="242"/>
      <c r="C2" s="242"/>
      <c r="D2" s="242"/>
      <c r="E2" s="242"/>
      <c r="F2" s="242"/>
      <c r="G2" s="242"/>
      <c r="H2" s="24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 s="0"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648</v>
      </c>
      <c r="CC27" s="0">
        <v>0</v>
      </c>
      <c r="CD27" s="230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810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378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 s="0"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378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647</v>
      </c>
      <c r="CC27" s="0">
        <v>0</v>
      </c>
      <c r="CD27" s="230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378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 s="0">
        <v>0</v>
      </c>
      <c r="CD27" s="0">
        <f>CC25</f>
        <v>1377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 s="0">
        <v>0</v>
      </c>
      <c r="CD28" s="0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647</v>
      </c>
      <c r="CC29" s="0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810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Q27" si="2">V24</f>
        <v>0</v>
      </c>
      <c r="CQ24" s="0">
        <f t="shared" si="2"/>
        <v>0</v>
      </c>
      <c r="CR24" s="0">
        <f t="shared" ref="CR24:CR27" si="3">X24</f>
        <v>810</v>
      </c>
      <c r="CS24" s="0">
        <f t="shared" ref="CS24:CS27" si="4">Y24</f>
        <v>0</v>
      </c>
      <c r="CT24" s="0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 s="0">
        <f>X28</f>
        <v>2754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3"/>
        <v>378</v>
      </c>
      <c r="CS25" s="0">
        <f t="shared" si="4"/>
        <v>0</v>
      </c>
      <c r="CT25" s="0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 s="0">
        <f>W28</f>
        <v>0</v>
      </c>
      <c r="CD26" s="0">
        <f>CC25</f>
        <v>2754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3"/>
        <v>378</v>
      </c>
      <c r="CS26" s="0">
        <f t="shared" si="4"/>
        <v>0</v>
      </c>
      <c r="CT26" s="0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636</v>
      </c>
      <c r="CC27" s="0">
        <v>0</v>
      </c>
      <c r="CD27" s="0">
        <f>CC23+CC24</f>
        <v>15300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3"/>
        <v>378</v>
      </c>
      <c r="CS27" s="0">
        <f t="shared" si="4"/>
        <v>0</v>
      </c>
      <c r="CT27" s="0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 s="0">
        <v>0</v>
      </c>
      <c r="CD27" s="0">
        <f>CC25</f>
        <v>1377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 s="0">
        <v>0</v>
      </c>
      <c r="CD28" s="0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633</v>
      </c>
      <c r="CC29" s="0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6" t="s">
        <v>47</v>
      </c>
      <c r="B2" s="246"/>
      <c r="C2" s="246"/>
      <c r="D2" s="246"/>
      <c r="E2" s="246"/>
      <c r="F2" s="246"/>
      <c r="G2" s="246"/>
      <c r="H2" s="24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657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0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2100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656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0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2100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54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0</v>
      </c>
      <c r="CQ23" s="0">
        <f>W23</f>
        <v>0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0</v>
      </c>
      <c r="CQ24" s="0">
        <f t="shared" si="2"/>
        <v>0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0</v>
      </c>
      <c r="CQ25" s="0">
        <f t="shared" si="2"/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0</v>
      </c>
      <c r="CQ26" s="0">
        <f t="shared" si="2"/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0</v>
      </c>
      <c r="CQ27" s="0">
        <f t="shared" si="2"/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0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2100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41.2851562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3" t="s">
        <v>47</v>
      </c>
      <c r="B2" s="243"/>
      <c r="C2" s="243"/>
      <c r="D2" s="243"/>
      <c r="E2" s="243"/>
      <c r="F2" s="243"/>
      <c r="G2" s="243"/>
      <c r="H2" s="24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649</v>
      </c>
      <c r="CC25" s="0">
        <v>0</v>
      </c>
      <c r="CD25" s="0">
        <f>CC23+CC24</f>
        <v>15300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78" max="78" bestFit="true" customWidth="true" width="26.85546875"/>
    <col min="80" max="80" bestFit="true" customWidth="true" width="26.85546875"/>
    <col min="81" max="81" bestFit="true" customWidth="true" width="6.0"/>
    <col min="82" max="82" bestFit="true" customWidth="true" width="6.42578125"/>
    <col min="83" max="83" bestFit="true" customWidth="true" width="12.85546875"/>
    <col min="84" max="84" bestFit="true" customWidth="true" width="13.85546875"/>
    <col min="85" max="85" bestFit="true" customWidth="true" width="13.7109375"/>
    <col min="86" max="86" customWidth="true" width="13.7109375"/>
    <col min="87" max="87" bestFit="true" customWidth="true" width="15.42578125"/>
    <col min="88" max="88" customWidth="true" width="15.42578125"/>
    <col min="89" max="89" bestFit="true" customWidth="true" width="20.28515625"/>
    <col min="90" max="90" bestFit="true" customWidth="true" width="20.140625"/>
    <col min="91" max="93" customWidth="true" width="20.140625"/>
    <col min="94" max="95" bestFit="true" customWidth="true" width="28.5703125"/>
    <col min="96" max="96" bestFit="true" customWidth="true" width="27.42578125"/>
    <col min="97" max="97" bestFit="true" customWidth="true" width="29.42578125"/>
    <col min="98" max="98" bestFit="true" customWidth="true" width="27.57031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10800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f>V23</f>
        <v>405</v>
      </c>
      <c r="CQ23" s="0">
        <f>W23</f>
        <v>405</v>
      </c>
      <c r="CR23" s="0">
        <f>X23</f>
        <v>0</v>
      </c>
      <c r="CS23" s="0">
        <f>Y23</f>
        <v>0</v>
      </c>
      <c r="CT23" s="0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4500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f t="shared" ref="CP24:CS27" si="2">V24</f>
        <v>405</v>
      </c>
      <c r="CQ24" s="0">
        <f t="shared" si="2"/>
        <v>405</v>
      </c>
      <c r="CR24" s="0">
        <f t="shared" si="2"/>
        <v>0</v>
      </c>
      <c r="CS24" s="0">
        <f t="shared" si="2"/>
        <v>0</v>
      </c>
      <c r="CT24" s="0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 s="0">
        <f>V28</f>
        <v>1377</v>
      </c>
      <c r="CD25" s="0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f t="shared" si="2"/>
        <v>189</v>
      </c>
      <c r="CQ25" s="0">
        <f t="shared" si="2"/>
        <v>189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 s="0">
        <f>W28</f>
        <v>1377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f t="shared" si="2"/>
        <v>189</v>
      </c>
      <c r="CQ26" s="0">
        <f t="shared" si="2"/>
        <v>189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633</v>
      </c>
      <c r="CC27" s="0">
        <v>0</v>
      </c>
      <c r="CD27" s="0">
        <f>CC23+CC24+CC25+CC26</f>
        <v>18054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f t="shared" si="2"/>
        <v>189</v>
      </c>
      <c r="CQ27" s="0">
        <f t="shared" si="2"/>
        <v>189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 s="0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2754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4854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562</v>
      </c>
      <c r="H23" s="170">
        <f>F23*G23</f>
        <v>4500</v>
      </c>
      <c r="I23" s="0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 s="0">
        <v>239</v>
      </c>
      <c r="AV23" t="s" s="0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531</v>
      </c>
      <c r="BN23" t="s" s="0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 s="0">
        <v>562</v>
      </c>
      <c r="H24" s="170">
        <f>F24*G24</f>
        <v>4500</v>
      </c>
      <c r="I24" s="0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 s="0">
        <v>239</v>
      </c>
      <c r="AV24" t="s" s="0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531</v>
      </c>
      <c r="BN24" t="s" s="0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 s="0">
        <v>239</v>
      </c>
      <c r="AV25" t="s" s="0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531</v>
      </c>
      <c r="BN25" t="s" s="0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 s="0">
        <v>239</v>
      </c>
      <c r="AV26" t="s" s="0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 s="0">
        <v>531</v>
      </c>
      <c r="BN26" t="s" s="0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 s="0">
        <v>0</v>
      </c>
      <c r="AV27" t="s" s="0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 s="0">
        <v>531</v>
      </c>
      <c r="BN27" t="s" s="0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 s="0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2729.94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4829.9400000000005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8.71093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 s="0">
        <v>360</v>
      </c>
      <c r="H23" s="170">
        <f>F23*G23</f>
        <v>1200</v>
      </c>
      <c r="I23" t="s" s="0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 s="0">
        <v>239</v>
      </c>
      <c r="AV23" t="s" s="0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635</v>
      </c>
      <c r="BN23" t="s" s="0">
        <v>634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1200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47.4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1152.5999999999999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207.47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1360.07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360</v>
      </c>
      <c r="H23" s="170">
        <f>F23*G23</f>
        <v>600</v>
      </c>
      <c r="I23" t="s" s="0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 s="0">
        <v>239</v>
      </c>
      <c r="AV23" t="s" s="0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 s="0">
        <v>545</v>
      </c>
      <c r="BN23" t="s" s="0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 s="0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600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23.7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576.29999999999995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103.73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680.03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bestFit="true" customWidth="true" width="36.57031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 s="0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556</v>
      </c>
      <c r="H23" s="170">
        <f>F23*G23</f>
        <v>4400</v>
      </c>
      <c r="I23" s="0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 s="0">
        <v>239</v>
      </c>
      <c r="AV23" t="s" s="0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555</v>
      </c>
      <c r="BN23" t="s" s="0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4400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130.68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4269.32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768.48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5037.7999999999993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Q38"/>
  <sheetViews>
    <sheetView topLeftCell="Q13" workbookViewId="0">
      <selection activeCell="Q29" sqref="Q29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228</v>
      </c>
      <c r="H23" s="170">
        <f>F23*G23</f>
        <v>400</v>
      </c>
      <c r="I23" t="s" s="0">
        <v>223</v>
      </c>
      <c r="J23" s="170">
        <v>1</v>
      </c>
      <c r="K23" s="170">
        <v>1</v>
      </c>
      <c r="L23" s="170">
        <f>H23</f>
        <v>400</v>
      </c>
      <c r="M23" s="170">
        <f>ROUND(L23*I23%,2)</f>
        <v>8</v>
      </c>
      <c r="N23" s="170">
        <f>H23-M23</f>
        <v>392</v>
      </c>
      <c r="O23" s="170">
        <f>ROUND(N23*J23%,2)</f>
        <v>3.92</v>
      </c>
      <c r="P23" s="170">
        <f>ROUND(N23-O23,2)</f>
        <v>388.08</v>
      </c>
      <c r="Q23" s="170">
        <f>ROUND(P23*K23%,2)</f>
        <v>3.88</v>
      </c>
      <c r="R23" s="170">
        <f>ROUND((M23+O23+Q23),2)</f>
        <v>15.8</v>
      </c>
      <c r="S23" s="170">
        <f>ROUND((H23-R23),2)</f>
        <v>384.2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384.2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384.2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384.2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384.2</v>
      </c>
      <c r="AS23" s="175" t="s">
        <v>583</v>
      </c>
      <c r="AT23" s="175" t="s">
        <v>58</v>
      </c>
      <c r="AW23" s="175">
        <f>AM23</f>
        <v>1</v>
      </c>
      <c r="AX23" s="175">
        <f>AR23</f>
        <v>384.2</v>
      </c>
      <c r="AY23" s="175">
        <f>AU23+AW23</f>
        <v>1</v>
      </c>
      <c r="AZ23" s="175">
        <f>ROUND(((AU23*AV23)+(AW23*AX23))/(AU23+AW23),5)</f>
        <v>384.2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584</v>
      </c>
      <c r="BM23" t="s" s="0">
        <v>239</v>
      </c>
      <c r="BN23" t="s" s="0">
        <v>239</v>
      </c>
      <c r="BO23" s="175">
        <f>ROUND((((AW23*AZ23)+(BN23*BM23))/(AW23+BN23)),5)</f>
        <v>384.2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15.8</v>
      </c>
      <c r="S24" s="180">
        <f>SUM(S23)</f>
        <v>384.2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384.2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384.2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400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15.8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384.2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0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384.2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8" sqref="D2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251</v>
      </c>
      <c r="H23" s="170">
        <f>F23*G23</f>
        <v>455</v>
      </c>
      <c r="I23" t="s" s="0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39.33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437.03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5" t="s">
        <v>579</v>
      </c>
      <c r="AT23" s="175" t="s">
        <v>58</v>
      </c>
      <c r="AU23" t="s" s="0">
        <v>239</v>
      </c>
      <c r="AV23" t="s" s="0">
        <v>581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580</v>
      </c>
      <c r="BM23" t="s" s="0">
        <v>582</v>
      </c>
      <c r="BN23" t="s" s="0">
        <v>263</v>
      </c>
      <c r="BO23" s="175">
        <f>ROUND((((AW23*AZ23)+(BN23*BM23))/(AW23+BN23)),5)</f>
        <v>439.2475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39.33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437.03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437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455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17.97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437.03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78.66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515.68999999999994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42578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588</v>
      </c>
      <c r="H23" s="170">
        <f>F23*G23</f>
        <v>377</v>
      </c>
      <c r="I23" t="s" s="0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585</v>
      </c>
      <c r="AT23" s="175" t="s">
        <v>58</v>
      </c>
      <c r="AU23" t="s" s="0">
        <v>239</v>
      </c>
      <c r="AV23" t="s" s="0">
        <v>587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586</v>
      </c>
      <c r="BM23" t="s" s="0">
        <v>587</v>
      </c>
      <c r="BN23" t="s" s="0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377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14.89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362.11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65.180000000000007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427.29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251</v>
      </c>
      <c r="H23" s="170">
        <f>F23*G23</f>
        <v>455</v>
      </c>
      <c r="I23" t="s" s="0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576</v>
      </c>
      <c r="AT23" s="175" t="s">
        <v>58</v>
      </c>
      <c r="AU23" t="s" s="0">
        <v>239</v>
      </c>
      <c r="AV23" t="s" s="0">
        <v>578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577</v>
      </c>
      <c r="BM23" t="s" s="0">
        <v>578</v>
      </c>
      <c r="BN23" t="s" s="0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455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17.97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437.03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78.66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515.68999999999994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BQ38"/>
  <sheetViews>
    <sheetView topLeftCell="O13" workbookViewId="0">
      <selection activeCell="T23" sqref="T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8" max="8" bestFit="true" customWidth="true" width="11.8554687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0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575</v>
      </c>
      <c r="H23" s="170">
        <f>F23*G23</f>
        <v>235</v>
      </c>
      <c r="I23" t="s" s="0">
        <v>223</v>
      </c>
      <c r="J23" s="170">
        <v>1</v>
      </c>
      <c r="K23" s="170">
        <v>1</v>
      </c>
      <c r="L23" s="170">
        <f>H23</f>
        <v>235</v>
      </c>
      <c r="M23" s="170">
        <f>ROUND(L23*I23%,2)</f>
        <v>4.7</v>
      </c>
      <c r="N23" s="170">
        <f>H23-M23</f>
        <v>230.3</v>
      </c>
      <c r="O23" s="170">
        <f>ROUND(N23*J23%,2)</f>
        <v>2.2999999999999998</v>
      </c>
      <c r="P23" s="170">
        <f>ROUND(N23-O23,2)</f>
        <v>228</v>
      </c>
      <c r="Q23" s="170">
        <f>ROUND(P23*K23%,2)</f>
        <v>2.2799999999999998</v>
      </c>
      <c r="R23" s="170">
        <f>ROUND((M23+O23+Q23),2)</f>
        <v>9.2799999999999994</v>
      </c>
      <c r="S23" s="170">
        <f>ROUND((H23-R23),2)</f>
        <v>225.72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225.72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225.72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225.72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225.72</v>
      </c>
      <c r="AS23" s="175" t="s">
        <v>572</v>
      </c>
      <c r="AT23" s="175" t="s">
        <v>58</v>
      </c>
      <c r="AU23" t="s" s="0">
        <v>239</v>
      </c>
      <c r="AV23" t="s" s="0">
        <v>574</v>
      </c>
      <c r="AW23" s="175">
        <f>AM23</f>
        <v>1</v>
      </c>
      <c r="AX23" s="175">
        <f>AR23</f>
        <v>225.72</v>
      </c>
      <c r="AY23" s="175">
        <f>AU23+AW23</f>
        <v>1</v>
      </c>
      <c r="AZ23" s="175">
        <f>ROUND(((AU23*AV23)+(AW23*AX23))/(AU23+AW23),5)</f>
        <v>225.72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573</v>
      </c>
      <c r="BM23" t="s" s="0">
        <v>574</v>
      </c>
      <c r="BN23" t="s" s="0">
        <v>269</v>
      </c>
      <c r="BO23" s="175">
        <f>ROUND((((AW23*AZ23)+(BN23*BM23))/(AW23+BN23)),5)</f>
        <v>124.36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235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9.2799999999999994</v>
      </c>
      <c r="S24" s="180">
        <f>SUM(S23)</f>
        <v>225.72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225.72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225.72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226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235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9.2799999999999994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225.72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0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225.72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6" t="s">
        <v>47</v>
      </c>
      <c r="B2" s="226"/>
      <c r="C2" s="226"/>
      <c r="D2" s="226"/>
      <c r="E2" s="226"/>
      <c r="F2" s="226"/>
      <c r="G2" s="226"/>
      <c r="H2" s="22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614</v>
      </c>
      <c r="H23" s="170">
        <f>F23*G23</f>
        <v>440</v>
      </c>
      <c r="I23" t="s" s="0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611</v>
      </c>
      <c r="AT23" s="175" t="s">
        <v>58</v>
      </c>
      <c r="AU23" t="s" s="0">
        <v>239</v>
      </c>
      <c r="AV23" t="s" s="0">
        <v>613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612</v>
      </c>
      <c r="BM23" t="s" s="0">
        <v>613</v>
      </c>
      <c r="BN23" t="s" s="0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440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17.38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422.62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76.08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498.7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710937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5" t="s">
        <v>47</v>
      </c>
      <c r="B2" s="225"/>
      <c r="C2" s="225"/>
      <c r="D2" s="225"/>
      <c r="E2" s="225"/>
      <c r="F2" s="225"/>
      <c r="G2" s="225"/>
      <c r="H2" s="22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608</v>
      </c>
      <c r="H23" s="170">
        <f>F23*G23</f>
        <v>565</v>
      </c>
      <c r="I23" t="s" s="0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606</v>
      </c>
      <c r="AT23" s="175" t="s">
        <v>58</v>
      </c>
      <c r="AU23" t="s" s="0">
        <v>239</v>
      </c>
      <c r="AV23" t="s" s="0">
        <v>609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607</v>
      </c>
      <c r="BM23" t="s" s="0">
        <v>610</v>
      </c>
      <c r="BN23" t="s" s="0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565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16.78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548.22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98.68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646.90000000000009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4" t="s">
        <v>47</v>
      </c>
      <c r="B2" s="224"/>
      <c r="C2" s="224"/>
      <c r="D2" s="224"/>
      <c r="E2" s="224"/>
      <c r="F2" s="224"/>
      <c r="G2" s="224"/>
      <c r="H2" s="22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s="0">
        <v>343</v>
      </c>
      <c r="H23" s="170">
        <f>F23*G23</f>
        <v>343</v>
      </c>
      <c r="I23" t="s" s="0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603</v>
      </c>
      <c r="AT23" s="175" t="s">
        <v>58</v>
      </c>
      <c r="AU23" t="s" s="0">
        <v>239</v>
      </c>
      <c r="AV23" t="s" s="0">
        <v>605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604</v>
      </c>
      <c r="BM23" t="s" s="0">
        <v>605</v>
      </c>
      <c r="BN23" t="s" s="0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343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13.55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329.45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59.3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388.75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3" t="s">
        <v>47</v>
      </c>
      <c r="B2" s="223"/>
      <c r="C2" s="223"/>
      <c r="D2" s="223"/>
      <c r="E2" s="223"/>
      <c r="F2" s="223"/>
      <c r="G2" s="223"/>
      <c r="H2" s="22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600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 s="0">
        <v>239</v>
      </c>
      <c r="AV23" t="s" s="0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602</v>
      </c>
      <c r="BM23" t="s" s="0">
        <v>599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355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14.02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340.98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61.38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402.36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2" t="s">
        <v>47</v>
      </c>
      <c r="B2" s="222"/>
      <c r="C2" s="222"/>
      <c r="D2" s="222"/>
      <c r="E2" s="222"/>
      <c r="F2" s="222"/>
      <c r="G2" s="222"/>
      <c r="H2" s="22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600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 s="0">
        <v>239</v>
      </c>
      <c r="AV23" t="s" s="0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602</v>
      </c>
      <c r="BM23" t="s" s="0">
        <v>599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355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14.02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340.98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61.38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402.36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600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 s="0">
        <v>239</v>
      </c>
      <c r="AV23" t="s" s="0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602</v>
      </c>
      <c r="BM23" t="s" s="0">
        <v>599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355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14.02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340.98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61.38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402.36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600</v>
      </c>
      <c r="H23" s="170">
        <f>F23*G23</f>
        <v>355</v>
      </c>
      <c r="I23" t="s" s="0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597</v>
      </c>
      <c r="AT23" s="175" t="s">
        <v>58</v>
      </c>
      <c r="AU23" t="s" s="0">
        <v>239</v>
      </c>
      <c r="AV23" t="s" s="0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598</v>
      </c>
      <c r="BM23" t="s" s="0">
        <v>599</v>
      </c>
      <c r="BN23" t="s" s="0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355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14.02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340.98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61.38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402.36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0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596</v>
      </c>
      <c r="H23" s="170">
        <f>F23*G23</f>
        <v>444</v>
      </c>
      <c r="I23" t="s" s="0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594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595</v>
      </c>
      <c r="BM23" t="s" s="0">
        <v>239</v>
      </c>
      <c r="BN23" t="s" s="0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444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17.54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426.46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76.760000000000005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503.21999999999997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2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1.0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591</v>
      </c>
      <c r="H23" s="170">
        <f>F23*G23</f>
        <v>466</v>
      </c>
      <c r="I23" t="s" s="0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589</v>
      </c>
      <c r="AT23" s="175" t="s">
        <v>58</v>
      </c>
      <c r="AU23" t="s" s="0">
        <v>239</v>
      </c>
      <c r="AV23" t="s" s="0">
        <v>592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590</v>
      </c>
      <c r="BM23" t="s" s="0">
        <v>593</v>
      </c>
      <c r="BN23" t="s" s="0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466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18.41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447.59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80.56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528.15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BQ38"/>
  <sheetViews>
    <sheetView topLeftCell="H10" workbookViewId="0">
      <selection activeCell="H21" sqref="H21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232</v>
      </c>
      <c r="H23" s="170">
        <f>F23*G23</f>
        <v>250</v>
      </c>
      <c r="I23" t="s" s="0">
        <v>223</v>
      </c>
      <c r="J23" s="170">
        <v>1</v>
      </c>
      <c r="K23" s="170">
        <v>1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2.4500000000000002</v>
      </c>
      <c r="P23" s="170">
        <f>ROUND(N23-O23,2)</f>
        <v>242.55</v>
      </c>
      <c r="Q23" s="170">
        <f>ROUND(P23*K23%,2)</f>
        <v>2.4300000000000002</v>
      </c>
      <c r="R23" s="170">
        <f>ROUND((M23+O23+Q23),2)</f>
        <v>9.8800000000000008</v>
      </c>
      <c r="S23" s="170">
        <f>ROUND((H23-R23),2)</f>
        <v>240.12</v>
      </c>
      <c r="T23" s="171" t="s">
        <v>146</v>
      </c>
      <c r="U23" s="172">
        <v>0.18</v>
      </c>
      <c r="V23" s="170">
        <f>IF(OR($C$21=1,$C$21=4),ROUND(((S23*U23)/2),2),0)</f>
        <v>21.61</v>
      </c>
      <c r="W23" s="170">
        <f>IF($C$21=1,ROUND(((S23*U23)/2),2),0)</f>
        <v>21.61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43.22</v>
      </c>
      <c r="AC23" s="169">
        <f>IF($V21=1,S23+AB23,S23)</f>
        <v>283.34000000000003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240.12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240.12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240.12</v>
      </c>
      <c r="AS23" s="171" t="s">
        <v>569</v>
      </c>
      <c r="AT23" s="175" t="s">
        <v>58</v>
      </c>
      <c r="AU23" t="s" s="0">
        <v>239</v>
      </c>
      <c r="AV23" t="s" s="0">
        <v>571</v>
      </c>
      <c r="AW23" s="175">
        <f>AM23</f>
        <v>1</v>
      </c>
      <c r="AX23" s="175">
        <f>AR23</f>
        <v>240.12</v>
      </c>
      <c r="AY23" s="175">
        <f>AU23+AW23</f>
        <v>1</v>
      </c>
      <c r="AZ23" s="175">
        <f>ROUND(((AU23*AV23)+(AW23*AX23))/(AU23+AW23),5)</f>
        <v>240.12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 s="0">
        <v>570</v>
      </c>
      <c r="BM23" t="s" s="0">
        <v>571</v>
      </c>
      <c r="BN23" t="s" s="0">
        <v>269</v>
      </c>
      <c r="BO23" s="175">
        <f>ROUND((((AW23*AZ23)+(BN23*BM23))/(AW23+BN23)),5)</f>
        <v>153.56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250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9.8800000000000008</v>
      </c>
      <c r="S24" s="180">
        <f>SUM(S23)</f>
        <v>240.12</v>
      </c>
      <c r="T24" s="180"/>
      <c r="U24" s="180"/>
      <c r="V24" s="181">
        <f t="shared" ref="V24:AE24" si="1">SUM(V23)</f>
        <v>21.61</v>
      </c>
      <c r="W24" s="181">
        <f t="shared" si="1"/>
        <v>21.61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43.22</v>
      </c>
      <c r="AC24" s="183">
        <f t="shared" si="1"/>
        <v>283.34000000000003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240.12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283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250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9.8800000000000008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240.12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43.22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283.34000000000003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topLeftCell="BY19" workbookViewId="0">
      <selection activeCell="CC27" sqref="CC27"/>
    </sheetView>
  </sheetViews>
  <sheetFormatPr defaultColWidth="9" defaultRowHeight="15"/>
  <cols>
    <col min="1" max="1" bestFit="true" customWidth="true" width="24.5703125"/>
    <col min="2" max="2" bestFit="true" customWidth="true" width="24.140625"/>
    <col min="3" max="3" bestFit="true" customWidth="true" width="19.28515625"/>
    <col min="4" max="4" bestFit="true" customWidth="true" width="72.4257812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28515625"/>
    <col min="11" max="11" customWidth="true" width="6.140625"/>
    <col min="12" max="12" bestFit="true" customWidth="true" width="13.85546875"/>
    <col min="13" max="13" bestFit="true" customWidth="true" width="9.140625"/>
    <col min="14" max="14" bestFit="true" customWidth="true" width="13.7109375"/>
    <col min="15" max="15" bestFit="true" customWidth="true" width="15.28515625"/>
    <col min="16" max="16" bestFit="true" customWidth="true" width="13.5703125"/>
    <col min="17" max="17" bestFit="true" customWidth="true" width="37.7109375"/>
    <col min="18" max="18" bestFit="true" customWidth="true" width="10.85546875"/>
    <col min="19" max="19" bestFit="true" customWidth="true" width="11.42578125"/>
    <col min="20" max="20" bestFit="true" customWidth="true" width="6.0"/>
    <col min="21" max="21" bestFit="true" customWidth="true" width="7.85546875"/>
    <col min="22" max="22" bestFit="true" customWidth="true" width="6.5703125"/>
    <col min="23" max="23" bestFit="true" customWidth="true" width="34.140625"/>
    <col min="24" max="24" bestFit="true" customWidth="true" width="6.42578125"/>
    <col min="25" max="25" bestFit="true" customWidth="true" width="8.140625"/>
    <col min="26" max="26" bestFit="true" customWidth="true" width="7.85546875"/>
    <col min="27" max="27" bestFit="true" customWidth="true" width="6.140625"/>
    <col min="28" max="28" bestFit="true" customWidth="true" width="9.140625"/>
    <col min="29" max="29" bestFit="true" customWidth="true" width="11.5703125"/>
    <col min="30" max="30" bestFit="true" customWidth="true" width="12.85546875"/>
    <col min="31" max="31" bestFit="true" customWidth="true" width="15.0"/>
    <col min="32" max="32" bestFit="true" customWidth="true" width="15.140625"/>
    <col min="33" max="33" bestFit="true" customWidth="true" width="23.7109375"/>
    <col min="34" max="34" bestFit="true" customWidth="true" width="8.42578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39" max="39" bestFit="true" customWidth="true" width="15.5703125"/>
    <col min="40" max="40" bestFit="true" customWidth="true" width="20.28515625"/>
    <col min="41" max="41" bestFit="true" customWidth="true" width="15.85546875"/>
    <col min="42" max="42" bestFit="true" customWidth="true" width="23.0"/>
    <col min="43" max="43" bestFit="true" customWidth="true" width="11.85546875"/>
    <col min="44" max="44" bestFit="true" customWidth="true" width="8.28515625"/>
    <col min="45" max="45" bestFit="true" customWidth="true" width="9.85546875"/>
    <col min="46" max="46" bestFit="true" customWidth="true" width="11.85546875"/>
    <col min="47" max="47" customWidth="true" width="15.28515625"/>
    <col min="48" max="48" customWidth="true" width="20.28515625"/>
    <col min="49" max="49" bestFit="true" customWidth="true" width="11.42578125"/>
    <col min="50" max="50" bestFit="true" customWidth="true" width="16.28515625"/>
    <col min="51" max="51" customWidth="true" width="13.85546875"/>
    <col min="52" max="52" customWidth="true" width="18.85546875"/>
    <col min="53" max="53" bestFit="true" customWidth="true" width="19.0"/>
    <col min="54" max="54" customWidth="true" width="21.7109375"/>
    <col min="55" max="55" bestFit="true" customWidth="true" width="16.0"/>
    <col min="56" max="56" bestFit="true" customWidth="true" width="14.28515625"/>
    <col min="57" max="57" bestFit="true" customWidth="true" width="17.28515625"/>
    <col min="58" max="58" customWidth="true" width="16.5703125"/>
    <col min="59" max="59" customWidth="true" width="13.7109375"/>
    <col min="60" max="60" customWidth="true" width="12.42578125"/>
    <col min="61" max="61" bestFit="true" customWidth="true" width="102.42578125"/>
    <col min="62" max="62" bestFit="true" customWidth="true" width="21.7109375"/>
    <col min="63" max="63" customWidth="true" width="30.5703125"/>
    <col min="64" max="64" bestFit="true" customWidth="true" width="10.1406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  <col min="77" max="77" bestFit="true" customWidth="true" width="17.5703125"/>
    <col min="78" max="78" bestFit="true" customWidth="true" width="26.85546875"/>
    <col min="79" max="79" bestFit="true" customWidth="true" width="4.28515625"/>
    <col min="80" max="80" bestFit="true" customWidth="true" width="26.85546875"/>
    <col min="81" max="82" bestFit="true" customWidth="true" width="9.0"/>
    <col min="83" max="83" bestFit="true" customWidth="true" width="12.85546875"/>
    <col min="84" max="84" bestFit="true" customWidth="true" width="13.85546875"/>
    <col min="85" max="85" bestFit="true" customWidth="true" width="13.7109375"/>
    <col min="86" max="86" bestFit="true" customWidth="true" width="13.42578125"/>
    <col min="87" max="87" bestFit="true" customWidth="true" width="15.42578125"/>
    <col min="88" max="88" bestFit="true" customWidth="true" width="13.5703125"/>
    <col min="89" max="89" bestFit="true" customWidth="true" width="20.28515625"/>
    <col min="90" max="90" bestFit="true" customWidth="true" width="20.140625"/>
    <col min="91" max="91" bestFit="true" customWidth="true" width="19.140625"/>
    <col min="92" max="92" bestFit="true" customWidth="true" width="21.140625"/>
    <col min="93" max="93" bestFit="true" customWidth="true" width="19.28515625"/>
    <col min="94" max="94" bestFit="true" customWidth="true" width="29.140625"/>
    <col min="95" max="95" bestFit="true" customWidth="true" width="28.5703125"/>
    <col min="96" max="96" bestFit="true" customWidth="true" width="27.42578125"/>
    <col min="97" max="97" bestFit="true" customWidth="true" width="29.42578125"/>
    <col min="98" max="99" bestFit="true" customWidth="true" width="27.5703125"/>
    <col min="100" max="100" bestFit="true" customWidth="true" width="28.140625"/>
    <col min="101" max="101" bestFit="true" customWidth="true" width="26.140625"/>
    <col min="102" max="102" bestFit="true" customWidth="true" width="25.0"/>
    <col min="103" max="103" bestFit="true" customWidth="true" width="18.140625"/>
    <col min="104" max="104" bestFit="true" customWidth="true" width="18.7109375"/>
    <col min="105" max="105" bestFit="true" customWidth="true" width="14.42578125"/>
    <col min="106" max="106" bestFit="true" customWidth="true" width="15.140625"/>
    <col min="110" max="110" bestFit="true" customWidth="true" width="10.7109375"/>
    <col min="140" max="140" bestFit="true" customWidth="true" width="41.140625"/>
    <col min="142" max="142" bestFit="true" customWidth="true" width="18.85546875"/>
    <col min="145" max="146" bestFit="true" customWidth="true" width="18.5703125"/>
    <col min="147" max="147" bestFit="true" customWidth="true" width="18.85546875"/>
    <col min="148" max="148" bestFit="true" customWidth="true" width="28.5703125"/>
    <col min="149" max="149" bestFit="true" customWidth="true" width="12.140625"/>
    <col min="150" max="150" bestFit="true" customWidth="true" width="9.85546875"/>
    <col min="152" max="152" bestFit="true" customWidth="true" width="17.5703125"/>
    <col min="153" max="153" bestFit="true" customWidth="true" width="21.140625"/>
    <col min="154" max="154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4" t="s">
        <v>47</v>
      </c>
      <c r="B2" s="264"/>
      <c r="C2" s="264"/>
      <c r="D2" s="264"/>
      <c r="E2" s="264"/>
      <c r="F2" s="264"/>
      <c r="G2" s="264"/>
      <c r="H2" s="26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s="0">
        <v>6300</v>
      </c>
      <c r="H23" s="170">
        <f>F23*G23</f>
        <v>6300</v>
      </c>
      <c r="I23" s="0">
        <v>1</v>
      </c>
      <c r="J23" s="170">
        <v>2</v>
      </c>
      <c r="K23" s="170">
        <v>3</v>
      </c>
      <c r="L23" s="170">
        <f>H23</f>
        <v>6300</v>
      </c>
      <c r="M23" s="170">
        <f>ROUND(L23*I23%,2)</f>
        <v>63</v>
      </c>
      <c r="N23" s="170">
        <f>H23-M23</f>
        <v>6237</v>
      </c>
      <c r="O23" s="170">
        <f>ROUND(N23*J23%,2)</f>
        <v>124.74</v>
      </c>
      <c r="P23" s="170">
        <f>ROUND(N23-O23,2)</f>
        <v>6112.26</v>
      </c>
      <c r="Q23" s="170">
        <f>ROUND(P23*K23%,2)</f>
        <v>183.37</v>
      </c>
      <c r="R23" s="170">
        <f>ROUND((M23+O23+Q23),2)</f>
        <v>371.11</v>
      </c>
      <c r="S23" s="170">
        <f>ROUND((H23-R23),2)</f>
        <v>5928.89</v>
      </c>
      <c r="T23" s="171" t="s">
        <v>146</v>
      </c>
      <c r="U23" s="172">
        <v>0.18</v>
      </c>
      <c r="V23" s="170">
        <f>IF(OR($C$21=1,$C$21=4),ROUND(((S23*U23)/2),2),0)</f>
        <v>533.6</v>
      </c>
      <c r="W23" s="170">
        <f>IF($C$21=1,ROUND(((S23*U23)/2),2),0)</f>
        <v>533.6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1067.2</v>
      </c>
      <c r="AC23" s="169">
        <f>IF($V21=1,S23+AB23,S23)</f>
        <v>6996.09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5928.89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5928.89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5928.89</v>
      </c>
      <c r="AS23" s="175" t="s">
        <v>518</v>
      </c>
      <c r="AT23" s="175" t="s">
        <v>58</v>
      </c>
      <c r="AU23" t="s" s="0">
        <v>239</v>
      </c>
      <c r="AV23" t="s" s="0">
        <v>689</v>
      </c>
      <c r="AW23" s="175">
        <f>AM23</f>
        <v>1</v>
      </c>
      <c r="AX23" s="175">
        <f>AR23</f>
        <v>5928.89</v>
      </c>
      <c r="AY23" s="175">
        <f>AU23+AW23</f>
        <v>1</v>
      </c>
      <c r="AZ23" s="175">
        <f>ROUND(((AU23*AV23)+(AW23*AX23))/(AU23+AW23),5)</f>
        <v>5928.89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691</v>
      </c>
      <c r="BN23" t="s" s="0">
        <v>690</v>
      </c>
      <c r="BO23" s="175">
        <f>ROUND((((AW23*AZ23)+(BN23*BM23))/(AW23+BN23)),5)</f>
        <v>2817.4979499999999</v>
      </c>
      <c r="BP23" s="87">
        <f>BN23+AW23</f>
        <v>516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 s="0">
        <f>SUMIF(BZ23:BZ27,"RAW MATERIAL",S23:S27)</f>
        <v>12228.89</v>
      </c>
      <c r="CD23" s="0">
        <v>0</v>
      </c>
      <c r="CE23" s="0">
        <v>0</v>
      </c>
      <c r="CF23" s="0">
        <v>0</v>
      </c>
      <c r="CG23" s="0">
        <v>0</v>
      </c>
      <c r="CH23" s="0">
        <v>0</v>
      </c>
      <c r="CI23" s="0">
        <v>0</v>
      </c>
      <c r="CJ23" s="0">
        <v>0</v>
      </c>
      <c r="CK23" s="0">
        <v>0</v>
      </c>
      <c r="CL23" s="0">
        <v>0</v>
      </c>
      <c r="CM23" s="0">
        <v>0</v>
      </c>
      <c r="CN23" s="0">
        <v>0</v>
      </c>
      <c r="CO23" s="0">
        <v>0</v>
      </c>
      <c r="CP23" s="0">
        <v>0</v>
      </c>
      <c r="CQ23" s="0">
        <v>0</v>
      </c>
      <c r="CR23" s="0">
        <f>X23</f>
        <v>0</v>
      </c>
      <c r="CS23" s="0">
        <f>Y23</f>
        <v>0</v>
      </c>
      <c r="CT23" s="0">
        <f>AA23</f>
        <v>0</v>
      </c>
      <c r="CU23" s="0">
        <f>CD26</f>
        <v>0</v>
      </c>
      <c r="CV23" s="0">
        <v>0</v>
      </c>
      <c r="CW23" s="0">
        <v>0</v>
      </c>
      <c r="CX23" s="0">
        <f>CU23+CD27</f>
        <v>0</v>
      </c>
      <c r="CY23" s="0">
        <v>0</v>
      </c>
      <c r="CZ23" s="0">
        <f>CU23</f>
        <v>0</v>
      </c>
      <c r="DA23" s="0">
        <v>0</v>
      </c>
      <c r="DB23" s="0">
        <f>CD27</f>
        <v>0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s="0">
        <v>6300</v>
      </c>
      <c r="H24" s="170">
        <f>F24*G24</f>
        <v>6300</v>
      </c>
      <c r="I24" s="0">
        <v>0</v>
      </c>
      <c r="J24" s="170">
        <v>0</v>
      </c>
      <c r="K24" s="170">
        <v>0</v>
      </c>
      <c r="L24" s="170">
        <f>H24</f>
        <v>6300</v>
      </c>
      <c r="M24" s="170">
        <f>ROUND(L24*I24%,2)</f>
        <v>0</v>
      </c>
      <c r="N24" s="170">
        <f>H24-M24</f>
        <v>6300</v>
      </c>
      <c r="O24" s="170">
        <f>ROUND(N24*J24%,2)</f>
        <v>0</v>
      </c>
      <c r="P24" s="170">
        <f>ROUND(N24-O24,2)</f>
        <v>6300</v>
      </c>
      <c r="Q24" s="170">
        <f>ROUND(P24*K24%,2)</f>
        <v>0</v>
      </c>
      <c r="R24" s="170">
        <f>ROUND((M24+O24+Q24),2)</f>
        <v>0</v>
      </c>
      <c r="S24" s="170">
        <f>ROUND((H24-R24),2)</f>
        <v>6300</v>
      </c>
      <c r="T24" s="171" t="s">
        <v>146</v>
      </c>
      <c r="U24" s="172">
        <v>0.18</v>
      </c>
      <c r="V24" s="170">
        <f>IF(OR($C$21=1,$C$21=4),ROUND(((S24*U24)/2),2),0)</f>
        <v>567</v>
      </c>
      <c r="W24" s="170">
        <f>IF($C$21=1,ROUND(((S24*U24)/2),2),0)</f>
        <v>567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1134</v>
      </c>
      <c r="AC24" s="169">
        <f>IF($V21=1,S24+AB24,S24)</f>
        <v>7434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6300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6300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6300</v>
      </c>
      <c r="AS24" s="175" t="s">
        <v>518</v>
      </c>
      <c r="AT24" s="175" t="s">
        <v>58</v>
      </c>
      <c r="AU24" s="0">
        <v>0</v>
      </c>
      <c r="AV24" s="0">
        <v>4366.3500000000004</v>
      </c>
      <c r="AW24" s="175">
        <f>AM24</f>
        <v>1</v>
      </c>
      <c r="AX24" s="175">
        <f>AR24</f>
        <v>6300</v>
      </c>
      <c r="AY24" s="175">
        <f>AU24+AW24</f>
        <v>1</v>
      </c>
      <c r="AZ24" s="175">
        <f>ROUND(((AU24*AV24)+(AW24*AX24))/(AU24+AW24),5)</f>
        <v>6300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 s="0">
        <v>677</v>
      </c>
      <c r="BN24" t="s" s="0">
        <v>676</v>
      </c>
      <c r="BO24" s="175">
        <f>ROUND((((AW24*AZ24)+(BN24*BM24))/(AW24+BN24)),5)</f>
        <v>2259.08097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 s="0">
        <f>SUMIF(BZ23:BZ27,"COMMUNICATION EXPENSES",S23:S27)</f>
        <v>6300</v>
      </c>
      <c r="CD24" s="0">
        <v>0</v>
      </c>
      <c r="CE24" s="0">
        <v>0</v>
      </c>
      <c r="CF24" s="0">
        <v>0</v>
      </c>
      <c r="CG24" s="0">
        <v>0</v>
      </c>
      <c r="CH24" s="0">
        <v>0</v>
      </c>
      <c r="CI24" s="0">
        <v>0</v>
      </c>
      <c r="CJ24" s="0">
        <v>0</v>
      </c>
      <c r="CK24" s="0">
        <v>0</v>
      </c>
      <c r="CL24" s="0">
        <v>0</v>
      </c>
      <c r="CM24" s="0">
        <v>0</v>
      </c>
      <c r="CN24" s="0">
        <v>0</v>
      </c>
      <c r="CO24" s="0">
        <v>0</v>
      </c>
      <c r="CP24" s="0">
        <v>0</v>
      </c>
      <c r="CQ24" s="0">
        <v>0</v>
      </c>
      <c r="CR24" s="0">
        <f t="shared" ref="CR24:CS27" si="2">X24</f>
        <v>0</v>
      </c>
      <c r="CS24" s="0">
        <f t="shared" si="2"/>
        <v>0</v>
      </c>
      <c r="CT24" s="0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 s="0">
        <v>2100</v>
      </c>
      <c r="H25" s="170">
        <f>F25*G25</f>
        <v>2100</v>
      </c>
      <c r="I25" s="0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 s="0">
        <v>239</v>
      </c>
      <c r="BN25" t="s" s="0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 s="266">
        <f>V28</f>
        <v>1667.6</v>
      </c>
      <c r="CD25" s="265">
        <v>0</v>
      </c>
      <c r="CE25" s="0">
        <v>0</v>
      </c>
      <c r="CF25" s="0">
        <v>0</v>
      </c>
      <c r="CG25" s="0">
        <v>0</v>
      </c>
      <c r="CH25" s="0">
        <v>0</v>
      </c>
      <c r="CI25" s="0">
        <v>0</v>
      </c>
      <c r="CJ25" s="0">
        <v>0</v>
      </c>
      <c r="CK25" s="0">
        <v>0</v>
      </c>
      <c r="CL25" s="0">
        <v>0</v>
      </c>
      <c r="CM25" s="0">
        <v>0</v>
      </c>
      <c r="CN25" s="0">
        <v>0</v>
      </c>
      <c r="CO25" s="0">
        <v>0</v>
      </c>
      <c r="CP25" s="0">
        <v>0</v>
      </c>
      <c r="CQ25" s="0">
        <v>0</v>
      </c>
      <c r="CR25" s="0">
        <f t="shared" si="2"/>
        <v>0</v>
      </c>
      <c r="CS25" s="0">
        <f t="shared" si="2"/>
        <v>0</v>
      </c>
      <c r="CT25" s="0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 s="0">
        <v>2100</v>
      </c>
      <c r="H26" s="170">
        <f>F26*G26</f>
        <v>2100</v>
      </c>
      <c r="I26" s="0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 s="266">
        <f>W28</f>
        <v>1667.6</v>
      </c>
      <c r="CD26" s="0">
        <v>0</v>
      </c>
      <c r="CE26" s="0">
        <v>0</v>
      </c>
      <c r="CF26" s="0">
        <v>0</v>
      </c>
      <c r="CG26" s="0">
        <v>0</v>
      </c>
      <c r="CH26" s="0">
        <v>0</v>
      </c>
      <c r="CI26" s="0">
        <v>0</v>
      </c>
      <c r="CJ26" s="0">
        <v>0</v>
      </c>
      <c r="CK26" s="0">
        <v>0</v>
      </c>
      <c r="CL26" s="0">
        <v>0</v>
      </c>
      <c r="CM26" s="0">
        <v>0</v>
      </c>
      <c r="CN26" s="0">
        <v>0</v>
      </c>
      <c r="CO26" s="0">
        <v>0</v>
      </c>
      <c r="CP26" s="0">
        <v>0</v>
      </c>
      <c r="CQ26" s="0">
        <v>0</v>
      </c>
      <c r="CR26" s="0">
        <f t="shared" si="2"/>
        <v>0</v>
      </c>
      <c r="CS26" s="0">
        <f t="shared" si="2"/>
        <v>0</v>
      </c>
      <c r="CT26" s="0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 s="0">
        <v>2100</v>
      </c>
      <c r="H27" s="170">
        <f>F27*G27</f>
        <v>2100</v>
      </c>
      <c r="I27" s="0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 s="266">
        <f>ABS(IF(AU28&lt;=0.5,AU28,0))</f>
        <v>9.0000000000145519E-2</v>
      </c>
      <c r="CD27" s="0">
        <f>ABS(IF(AU28&gt;=0.5,AU28,0))</f>
        <v>0</v>
      </c>
      <c r="CE27" s="0">
        <v>0</v>
      </c>
      <c r="CF27" s="0">
        <v>0</v>
      </c>
      <c r="CG27" s="0">
        <v>0</v>
      </c>
      <c r="CH27" s="0">
        <v>0</v>
      </c>
      <c r="CI27" s="0">
        <v>0</v>
      </c>
      <c r="CJ27" s="0">
        <v>0</v>
      </c>
      <c r="CK27" s="0">
        <v>0</v>
      </c>
      <c r="CL27" s="0">
        <v>0</v>
      </c>
      <c r="CM27" s="0">
        <v>0</v>
      </c>
      <c r="CN27" s="0">
        <v>0</v>
      </c>
      <c r="CO27" s="0">
        <v>0</v>
      </c>
      <c r="CP27" s="0">
        <v>0</v>
      </c>
      <c r="CQ27" s="0">
        <v>0</v>
      </c>
      <c r="CR27" s="0">
        <f t="shared" si="2"/>
        <v>0</v>
      </c>
      <c r="CS27" s="0">
        <f t="shared" si="2"/>
        <v>0</v>
      </c>
      <c r="CT27" s="0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1667.6</v>
      </c>
      <c r="W28" s="181">
        <f>SUM(W23:W27)</f>
        <v>1667.6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3335.2</v>
      </c>
      <c r="AC28" s="183">
        <f>SUM(AC23:AC27)</f>
        <v>21864.09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21864</v>
      </c>
      <c r="AU28" s="0">
        <f>AT28-AC28</f>
        <v>-9.0000000000145519E-2</v>
      </c>
      <c r="AW28" s="137">
        <f>SUMIF(BX23:BX27,"Item",S23:S27)</f>
        <v>12228.89</v>
      </c>
      <c r="AX28" s="137">
        <f>SUMIF(BX23:BX27,"Exp.",S23:S27)</f>
        <v>6300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675</v>
      </c>
      <c r="CC28" s="266">
        <v>0</v>
      </c>
      <c r="CD28" s="0">
        <f>AT28</f>
        <v>21864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305" t="s">
        <v>194</v>
      </c>
      <c r="H30" s="306"/>
      <c r="I30" s="307">
        <f>H28</f>
        <v>2100</v>
      </c>
      <c r="J30" s="307"/>
      <c r="K30" s="185"/>
      <c r="L30" s="137"/>
      <c r="M30" s="299" t="s">
        <v>195</v>
      </c>
      <c r="N30" s="300"/>
      <c r="O30" s="300"/>
      <c r="P30" s="301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5" t="s">
        <v>196</v>
      </c>
      <c r="H31" s="306"/>
      <c r="I31" s="307">
        <f>R28</f>
        <v>0</v>
      </c>
      <c r="J31" s="307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5" t="s">
        <v>197</v>
      </c>
      <c r="H32" s="306"/>
      <c r="I32" s="307">
        <f>S28</f>
        <v>2100</v>
      </c>
      <c r="J32" s="307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5" t="s">
        <v>198</v>
      </c>
      <c r="H33" s="306"/>
      <c r="I33" s="307">
        <f>AB28</f>
        <v>3335.2</v>
      </c>
      <c r="J33" s="307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5" t="s">
        <v>199</v>
      </c>
      <c r="H34" s="306"/>
      <c r="I34" s="308">
        <f>I32+I33</f>
        <v>5435.2</v>
      </c>
      <c r="J34" s="308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  <mergeCell ref="A1:AC1"/>
    <mergeCell ref="B19:G19"/>
    <mergeCell ref="A21:B21"/>
    <mergeCell ref="G33:H33"/>
    <mergeCell ref="I33:J33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bestFit="true" customWidth="true" width="19.28515625"/>
    <col min="4" max="4" bestFit="true" customWidth="true" width="72.42578125"/>
    <col min="35" max="35" bestFit="true" customWidth="true" width="14.28515625"/>
    <col min="70" max="70" bestFit="true" customWidth="true" width="15.7109375"/>
    <col min="71" max="71" bestFit="true" customWidth="true" width="18.5703125"/>
    <col min="72" max="72" bestFit="true" customWidth="true" width="18.85546875"/>
    <col min="73" max="73" bestFit="true" customWidth="true" width="28.5703125"/>
    <col min="74" max="74" bestFit="true" customWidth="true" width="12.140625"/>
    <col min="75" max="75" bestFit="true" customWidth="true" width="10.7109375"/>
    <col min="76" max="76" bestFit="true" customWidth="true" width="9.710937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s="0">
        <f>[1]StocktransferLC!G23+500</f>
        <v>3800</v>
      </c>
      <c r="H23" s="170">
        <f>F23*G23</f>
        <v>45600</v>
      </c>
      <c r="I23" t="s" s="0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 s="0">
        <v>239</v>
      </c>
      <c r="AV23" t="s" s="0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 s="0">
        <v>524</v>
      </c>
      <c r="BN23" t="s" s="0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45600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3336.32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42263.68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7607.46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49871.14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 s="0">
        <v>239</v>
      </c>
      <c r="AV23" t="s" s="0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 s="0">
        <v>564</v>
      </c>
      <c r="BN23" t="s" s="0">
        <v>563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500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24.65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475.35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85.56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560.91000000000008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10.5703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565</v>
      </c>
      <c r="AT23" s="175" t="s">
        <v>58</v>
      </c>
      <c r="AU23" t="s" s="0">
        <v>239</v>
      </c>
      <c r="AV23" t="s" s="0">
        <v>567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566</v>
      </c>
      <c r="BM23" t="s" s="0">
        <v>568</v>
      </c>
      <c r="BN23" t="s" s="0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500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19.75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480.25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86.45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566.70000000000005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B28" sqref="B28"/>
    </sheetView>
  </sheetViews>
  <sheetFormatPr defaultColWidth="9" defaultRowHeight="15"/>
  <cols>
    <col min="2" max="2" bestFit="true" customWidth="true" width="28.28515625"/>
    <col min="4" max="4" bestFit="true" customWidth="true" width="72.42578125"/>
    <col min="11" max="11" customWidth="true" width="6.140625"/>
    <col min="12" max="12" bestFit="true" customWidth="true" width="13.85546875"/>
    <col min="14" max="14" bestFit="true" customWidth="true" width="13.7109375"/>
    <col min="16" max="16" bestFit="true" customWidth="true" width="13.85546875"/>
    <col min="17" max="17" bestFit="true" customWidth="true" width="37.7109375"/>
    <col min="18" max="18" bestFit="true" customWidth="true" width="10.85546875"/>
    <col min="28" max="28" bestFit="true" customWidth="true" width="9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bestFit="true" customWidth="true" width="9.8554687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bestFit="true" customWidth="true" width="24.140625"/>
    <col min="72" max="72" bestFit="true" customWidth="true" width="19.28515625"/>
    <col min="73" max="73" bestFit="true" customWidth="true" width="72.42578125"/>
    <col min="77" max="77" bestFit="true" customWidth="true" width="11.85546875"/>
    <col min="81" max="81" bestFit="true" customWidth="true" width="13.85546875"/>
    <col min="104" max="104" bestFit="true" customWidth="true" width="10.7109375"/>
    <col min="134" max="134" bestFit="true" customWidth="true" width="41.140625"/>
    <col min="136" max="136" bestFit="true" customWidth="true" width="18.85546875"/>
    <col min="139" max="140" bestFit="true" customWidth="true" width="18.5703125"/>
    <col min="141" max="141" bestFit="true" customWidth="true" width="18.85546875"/>
    <col min="142" max="142" bestFit="true" customWidth="true" width="28.5703125"/>
    <col min="143" max="143" bestFit="true" customWidth="true" width="12.140625"/>
    <col min="144" max="144" bestFit="true" customWidth="true" width="9.85546875"/>
    <col min="146" max="146" bestFit="true" customWidth="true" width="17.5703125"/>
    <col min="147" max="147" bestFit="true" customWidth="true" width="21.140625"/>
    <col min="148" max="148" bestFit="true" customWidth="true" width="4.28515625"/>
  </cols>
  <sheetData>
    <row r="1" spans="1:67" ht="18.75" thickBot="1">
      <c r="A1" s="302" t="s">
        <v>154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 s="0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4" t="s">
        <v>89</v>
      </c>
      <c r="B21" s="304"/>
      <c r="C21" s="0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0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 s="0">
        <v>254</v>
      </c>
      <c r="H23" s="170">
        <f>F23*G23</f>
        <v>500</v>
      </c>
      <c r="I23" t="s" s="0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 s="0">
        <v>239</v>
      </c>
      <c r="AV23" t="s" s="0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 s="0">
        <v>561</v>
      </c>
      <c r="BN23" t="s" s="0">
        <v>560</v>
      </c>
      <c r="BO23" s="175">
        <f>ROUND((((AW23*AZ23)+(BN23*BM23))/(AW23+BN23)),5)</f>
        <v>475.83249000000001</v>
      </c>
      <c r="BP23" s="87">
        <f>BN23+AW23</f>
        <v>20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5" t="s">
        <v>194</v>
      </c>
      <c r="H26" s="306"/>
      <c r="I26" s="307">
        <f>H24</f>
        <v>500</v>
      </c>
      <c r="J26" s="307"/>
      <c r="K26" s="185"/>
      <c r="L26" s="137"/>
      <c r="M26" s="299" t="s">
        <v>195</v>
      </c>
      <c r="N26" s="300"/>
      <c r="O26" s="300"/>
      <c r="P26" s="301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5" t="s">
        <v>196</v>
      </c>
      <c r="H27" s="306"/>
      <c r="I27" s="307">
        <f>R24</f>
        <v>24.65</v>
      </c>
      <c r="J27" s="307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5" t="s">
        <v>197</v>
      </c>
      <c r="H28" s="306"/>
      <c r="I28" s="307">
        <f>S24</f>
        <v>475.35</v>
      </c>
      <c r="J28" s="307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5" t="s">
        <v>198</v>
      </c>
      <c r="H29" s="306"/>
      <c r="I29" s="307">
        <f>AB24</f>
        <v>85.56</v>
      </c>
      <c r="J29" s="307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5" t="s">
        <v>199</v>
      </c>
      <c r="H30" s="306"/>
      <c r="I30" s="308">
        <f>I28+I29</f>
        <v>560.91000000000008</v>
      </c>
      <c r="J30" s="308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309" t="s">
        <v>46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4" t="s">
        <v>89</v>
      </c>
      <c r="B21" s="304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 s="0">
        <v>223</v>
      </c>
      <c r="AV23" t="s" s="0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 s="0">
        <v>225</v>
      </c>
      <c r="BN23" t="s" s="0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T23" sqref="BT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309" t="s">
        <v>46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09"/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3" t="s">
        <v>87</v>
      </c>
      <c r="C19" s="303"/>
      <c r="D19" s="303"/>
      <c r="E19" s="303"/>
      <c r="F19" s="303"/>
      <c r="G19" s="303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4" t="s">
        <v>89</v>
      </c>
      <c r="B21" s="304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 s="0">
        <v>223</v>
      </c>
      <c r="AV23" t="s" s="0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 s="0">
        <v>225</v>
      </c>
      <c r="BN23" t="s" s="0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Premkumar.K</cp:lastModifiedBy>
  <dcterms:modified xsi:type="dcterms:W3CDTF">2026-04-21T12:48:13Z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