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29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83" activeTab="87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ITR" sheetId="105" r:id="rId91"/>
    <sheet name="StockTransferAddInterEXUR" sheetId="108" r:id="rId92"/>
    <sheet name="StockTransferAddLocalEXUR" sheetId="102" r:id="rId93"/>
    <sheet name="StockTransferIGSTEXPWRCM" sheetId="129" r:id="rId94"/>
    <sheet name="StockTransferIGSTEXP" sheetId="128" r:id="rId95"/>
    <sheet name="StockTransferAddLocalEXIGST" sheetId="125" r:id="rId96"/>
    <sheet name="StockTransferAddDCTIS" sheetId="127" r:id="rId97"/>
    <sheet name="STUNRIGST" sheetId="133" r:id="rId98"/>
    <sheet name="STUNRLocalToIgst" sheetId="132" r:id="rId99"/>
    <sheet name="STUNRLocal" sheetId="131" r:id="rId100"/>
    <sheet name="STIGSTWEXPRCM" sheetId="130" r:id="rId101"/>
    <sheet name="StockTransferAddLocalEXDCTRCM" sheetId="126" r:id="rId102"/>
    <sheet name="StockTransferDomURSU" sheetId="138" r:id="rId103"/>
    <sheet name="StockTransferDomURLF" sheetId="137" r:id="rId104"/>
    <sheet name="StockTransferDomRegUT" sheetId="136" r:id="rId105"/>
    <sheet name="StockTransferDomRegSezUnit" sheetId="135" r:id="rId106"/>
    <sheet name="StockTransferAddLocalFright" sheetId="134" r:id="rId107"/>
    <sheet name="StockTransferAddLocalEXDCT" sheetId="124" r:id="rId108"/>
    <sheet name="StockTransferAddLocalEX" sheetId="94" r:id="rId109"/>
    <sheet name="StocktransferInterstate" sheetId="95" r:id="rId110"/>
    <sheet name="StocktransferISForRCM" sheetId="96" r:id="rId111"/>
    <sheet name="StocktransferLCRCM" sheetId="99" r:id="rId112"/>
    <sheet name="StocktransferURSEZ" sheetId="113" r:id="rId113"/>
    <sheet name="StocktransferURLF" sheetId="112" r:id="rId114"/>
    <sheet name="StocktransferLocalURUT" sheetId="114" r:id="rId115"/>
    <sheet name="StocktransferLocalWFUT" sheetId="111" r:id="rId116"/>
    <sheet name="StocktransferLocalWFSEZ" sheetId="110" r:id="rId117"/>
    <sheet name="StocktransferNRUT" sheetId="123" r:id="rId118"/>
    <sheet name="StocktransferNRLF" sheetId="122" r:id="rId119"/>
    <sheet name="StocktransferCPUT" sheetId="121" r:id="rId120"/>
    <sheet name="StocktransferLocalFrightCP" sheetId="120" r:id="rId121"/>
    <sheet name="StocktransferLocalCPSup" sheetId="119" r:id="rId122"/>
    <sheet name="StocktransferUTComSup" sheetId="118" r:id="rId123"/>
    <sheet name="StocktransferIntrerComSup" sheetId="117" r:id="rId124"/>
    <sheet name="StocktransferLocalComSup" sheetId="116" r:id="rId125"/>
    <sheet name="StocktransferLocalComFright" sheetId="115" r:id="rId126"/>
    <sheet name="StocktransferLocalWF" sheetId="109" r:id="rId127"/>
    <sheet name="StocktransferLC" sheetId="97" r:id="rId128"/>
    <sheet name="StocktransferAddItemWithEx" sheetId="98" r:id="rId129"/>
    <sheet name="StocktransferURINTR" sheetId="106" r:id="rId130"/>
    <sheet name="StocktransferIntrUR" sheetId="107" r:id="rId131"/>
    <sheet name="StocktransferUR" sheetId="101" r:id="rId132"/>
    <sheet name="poSerPurbills" sheetId="103" r:id="rId133"/>
    <sheet name="PoSerPurBillsInterstate" sheetId="104" r:id="rId134"/>
  </sheets>
  <externalReferences>
    <externalReference r:id="rId1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26" i="93"/>
  <c r="CC26"/>
  <c r="CD27" i="90"/>
  <c r="CC27"/>
  <c r="BM37" i="92"/>
  <c r="BN36"/>
  <c r="BM40" s="1"/>
  <c r="BN40" s="1"/>
  <c r="BM36"/>
  <c r="AK28"/>
  <c r="AH28"/>
  <c r="AG28"/>
  <c r="AE28"/>
  <c r="AD28"/>
  <c r="Z28"/>
  <c r="CQ27"/>
  <c r="AM27"/>
  <c r="AP27" s="1"/>
  <c r="AK27"/>
  <c r="AJ27"/>
  <c r="AJ28" s="1"/>
  <c r="AH27"/>
  <c r="AG27"/>
  <c r="AE27"/>
  <c r="Y27"/>
  <c r="Y28" s="1"/>
  <c r="W27"/>
  <c r="V27"/>
  <c r="CP27" s="1"/>
  <c r="L27"/>
  <c r="M27" s="1"/>
  <c r="H27"/>
  <c r="H28" s="1"/>
  <c r="I30" s="1"/>
  <c r="CQ26"/>
  <c r="CP26"/>
  <c r="AM26"/>
  <c r="AP26" s="1"/>
  <c r="AK26"/>
  <c r="AJ26"/>
  <c r="AO26" s="1"/>
  <c r="AH26"/>
  <c r="AG26"/>
  <c r="AE26"/>
  <c r="Y26"/>
  <c r="CS26" s="1"/>
  <c r="W26"/>
  <c r="V26"/>
  <c r="L26"/>
  <c r="M26" s="1"/>
  <c r="H26"/>
  <c r="CS25"/>
  <c r="CQ25"/>
  <c r="CP25"/>
  <c r="AW25"/>
  <c r="AM25"/>
  <c r="AK25"/>
  <c r="AP25" s="1"/>
  <c r="AH25"/>
  <c r="AJ25" s="1"/>
  <c r="AO25" s="1"/>
  <c r="AG25"/>
  <c r="AE25"/>
  <c r="Y25"/>
  <c r="W25"/>
  <c r="V25"/>
  <c r="H25"/>
  <c r="AM24"/>
  <c r="AW24" s="1"/>
  <c r="AK24"/>
  <c r="AP24" s="1"/>
  <c r="AH24"/>
  <c r="AJ24" s="1"/>
  <c r="AO24" s="1"/>
  <c r="AG24"/>
  <c r="AE24"/>
  <c r="Y24"/>
  <c r="CS24" s="1"/>
  <c r="W24"/>
  <c r="V24"/>
  <c r="CP24" s="1"/>
  <c r="H24"/>
  <c r="L24" s="1"/>
  <c r="M24" s="1"/>
  <c r="DB23"/>
  <c r="CU23"/>
  <c r="CX23" s="1"/>
  <c r="AY23"/>
  <c r="AW23"/>
  <c r="BP23" s="1"/>
  <c r="AM23"/>
  <c r="AK23"/>
  <c r="AP23" s="1"/>
  <c r="AH23"/>
  <c r="AG23"/>
  <c r="AE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19" s="1"/>
  <c r="H8"/>
  <c r="H7"/>
  <c r="H6"/>
  <c r="H5"/>
  <c r="H4"/>
  <c r="BM37" i="93"/>
  <c r="BN36"/>
  <c r="BM36"/>
  <c r="AD28"/>
  <c r="AE27" s="1"/>
  <c r="AE28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AM25"/>
  <c r="AW25" s="1"/>
  <c r="AY25" s="1"/>
  <c r="AK25"/>
  <c r="Y25"/>
  <c r="CS25" s="1"/>
  <c r="H25"/>
  <c r="L25" s="1"/>
  <c r="M25" s="1"/>
  <c r="AM24"/>
  <c r="AW24" s="1"/>
  <c r="AK24"/>
  <c r="AG24"/>
  <c r="Y24"/>
  <c r="CS24" s="1"/>
  <c r="H24"/>
  <c r="L24" s="1"/>
  <c r="M24" s="1"/>
  <c r="DB23"/>
  <c r="CU23"/>
  <c r="CX23" s="1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CS27" s="1"/>
  <c r="X27"/>
  <c r="CR27" s="1"/>
  <c r="H27"/>
  <c r="H28" s="1"/>
  <c r="I30" s="1"/>
  <c r="AM26"/>
  <c r="AW26" s="1"/>
  <c r="AK26"/>
  <c r="AE26"/>
  <c r="Y26"/>
  <c r="CS26" s="1"/>
  <c r="X26"/>
  <c r="CR26" s="1"/>
  <c r="H26"/>
  <c r="AM25"/>
  <c r="AW25" s="1"/>
  <c r="AK25"/>
  <c r="Y25"/>
  <c r="CS25" s="1"/>
  <c r="X25"/>
  <c r="CR25" s="1"/>
  <c r="H25"/>
  <c r="L25" s="1"/>
  <c r="M25" s="1"/>
  <c r="AM24"/>
  <c r="AW24" s="1"/>
  <c r="AK24"/>
  <c r="Y24"/>
  <c r="CS24" s="1"/>
  <c r="X24"/>
  <c r="CR24" s="1"/>
  <c r="H24"/>
  <c r="L24" s="1"/>
  <c r="M24" s="1"/>
  <c r="DB23"/>
  <c r="CU23"/>
  <c r="CX23" s="1"/>
  <c r="AM23"/>
  <c r="AW23" s="1"/>
  <c r="BP23" s="1"/>
  <c r="AK23"/>
  <c r="Y23"/>
  <c r="CS23" s="1"/>
  <c r="X23"/>
  <c r="H23"/>
  <c r="H18"/>
  <c r="H17"/>
  <c r="H16"/>
  <c r="H15"/>
  <c r="H14"/>
  <c r="H13"/>
  <c r="H12"/>
  <c r="H11"/>
  <c r="H10"/>
  <c r="H9"/>
  <c r="H8"/>
  <c r="H7"/>
  <c r="H6"/>
  <c r="H5"/>
  <c r="H4"/>
  <c r="DB23" i="125"/>
  <c r="BM37" i="97"/>
  <c r="BN36"/>
  <c r="BM36"/>
  <c r="AD28"/>
  <c r="AH23" s="1"/>
  <c r="Z28"/>
  <c r="AM27"/>
  <c r="AW27" s="1"/>
  <c r="AK27"/>
  <c r="AK28" s="1"/>
  <c r="Y27"/>
  <c r="Y28" s="1"/>
  <c r="H27"/>
  <c r="H28" s="1"/>
  <c r="I30" s="1"/>
  <c r="AM26"/>
  <c r="AW26" s="1"/>
  <c r="AK26"/>
  <c r="Y26"/>
  <c r="CS26" s="1"/>
  <c r="H26"/>
  <c r="L26" s="1"/>
  <c r="M26" s="1"/>
  <c r="AM25"/>
  <c r="AW25" s="1"/>
  <c r="AY25" s="1"/>
  <c r="AK25"/>
  <c r="Y25"/>
  <c r="CS25" s="1"/>
  <c r="H25"/>
  <c r="AM24"/>
  <c r="AW24" s="1"/>
  <c r="AY24" s="1"/>
  <c r="AK24"/>
  <c r="Y24"/>
  <c r="CS24" s="1"/>
  <c r="H24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U23" i="85"/>
  <c r="BM33" i="84"/>
  <c r="BN32"/>
  <c r="BM32"/>
  <c r="AX24"/>
  <c r="AW24"/>
  <c r="AD24"/>
  <c r="AG23" s="1"/>
  <c r="AG24" s="1"/>
  <c r="Z24"/>
  <c r="AM23"/>
  <c r="AW23" s="1"/>
  <c r="AK23"/>
  <c r="AK24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J23" i="92" l="1"/>
  <c r="AO23" s="1"/>
  <c r="W28"/>
  <c r="N26"/>
  <c r="N27"/>
  <c r="AY24"/>
  <c r="BP24"/>
  <c r="N23"/>
  <c r="AY25"/>
  <c r="N24"/>
  <c r="CQ24"/>
  <c r="CS27"/>
  <c r="AW27"/>
  <c r="L25"/>
  <c r="M25" s="1"/>
  <c r="V28"/>
  <c r="AW26"/>
  <c r="BP25"/>
  <c r="CZ23"/>
  <c r="AO27"/>
  <c r="AH24" i="90"/>
  <c r="AE23" i="93"/>
  <c r="AG25"/>
  <c r="AH23" i="90"/>
  <c r="AE24"/>
  <c r="AH25"/>
  <c r="AG26" i="93"/>
  <c r="AE23" i="90"/>
  <c r="AE25"/>
  <c r="AH26"/>
  <c r="AH23" i="93"/>
  <c r="AJ23" s="1"/>
  <c r="AO23" s="1"/>
  <c r="AE27" i="90"/>
  <c r="AE28" s="1"/>
  <c r="AH27" i="93"/>
  <c r="AY25" i="90"/>
  <c r="BP25"/>
  <c r="AP24"/>
  <c r="AP25"/>
  <c r="AG26"/>
  <c r="AH27"/>
  <c r="AJ27" s="1"/>
  <c r="AJ28" s="1"/>
  <c r="AG24"/>
  <c r="AJ24" s="1"/>
  <c r="AO24" s="1"/>
  <c r="AG25"/>
  <c r="AJ25" s="1"/>
  <c r="AO25" s="1"/>
  <c r="AH28"/>
  <c r="AH28" i="93"/>
  <c r="AG23" i="90"/>
  <c r="AJ23" s="1"/>
  <c r="AO23" s="1"/>
  <c r="AG23" i="93"/>
  <c r="AE24"/>
  <c r="AH25"/>
  <c r="AH26"/>
  <c r="AE25"/>
  <c r="AE26"/>
  <c r="AP27" i="90"/>
  <c r="H19"/>
  <c r="AK28"/>
  <c r="CZ23"/>
  <c r="L27"/>
  <c r="M27" s="1"/>
  <c r="N27" s="1"/>
  <c r="O27" s="1"/>
  <c r="AY26"/>
  <c r="BP26"/>
  <c r="AG28"/>
  <c r="Y28"/>
  <c r="BM40"/>
  <c r="BN40" s="1"/>
  <c r="AP26"/>
  <c r="AP23"/>
  <c r="AH24" i="93"/>
  <c r="AJ24" s="1"/>
  <c r="AO24" s="1"/>
  <c r="AP25"/>
  <c r="BM40"/>
  <c r="BN40" s="1"/>
  <c r="AP24"/>
  <c r="AJ26"/>
  <c r="AO26" s="1"/>
  <c r="N27"/>
  <c r="H19"/>
  <c r="AP26"/>
  <c r="AG27"/>
  <c r="AP23"/>
  <c r="N25"/>
  <c r="BP27"/>
  <c r="AY27"/>
  <c r="N23"/>
  <c r="BP24"/>
  <c r="AY24"/>
  <c r="BP25"/>
  <c r="L26"/>
  <c r="M26" s="1"/>
  <c r="CZ23"/>
  <c r="BP26"/>
  <c r="AP27"/>
  <c r="BP23"/>
  <c r="H28"/>
  <c r="I30" s="1"/>
  <c r="N24"/>
  <c r="CS27"/>
  <c r="X28" i="90"/>
  <c r="L23"/>
  <c r="M23" s="1"/>
  <c r="N23" s="1"/>
  <c r="N25"/>
  <c r="BP24"/>
  <c r="AY24"/>
  <c r="CR23"/>
  <c r="AY23"/>
  <c r="AY27"/>
  <c r="N24"/>
  <c r="L26"/>
  <c r="M26" s="1"/>
  <c r="BP27"/>
  <c r="AP25" i="97"/>
  <c r="AG23"/>
  <c r="AJ23" s="1"/>
  <c r="AO23" s="1"/>
  <c r="AH24"/>
  <c r="AE23"/>
  <c r="AG24"/>
  <c r="AH25"/>
  <c r="AH26"/>
  <c r="AE24"/>
  <c r="AG25"/>
  <c r="AG26"/>
  <c r="AH27"/>
  <c r="AE25"/>
  <c r="AE26"/>
  <c r="AG27"/>
  <c r="AG28" s="1"/>
  <c r="AE27"/>
  <c r="AE28" s="1"/>
  <c r="AH28"/>
  <c r="AP23" i="84"/>
  <c r="BM36"/>
  <c r="BN36" s="1"/>
  <c r="AE23"/>
  <c r="AE24" s="1"/>
  <c r="AH23"/>
  <c r="AJ23" s="1"/>
  <c r="AH24"/>
  <c r="AP23" i="97"/>
  <c r="L27"/>
  <c r="M27" s="1"/>
  <c r="N27" s="1"/>
  <c r="BM40"/>
  <c r="BN40" s="1"/>
  <c r="AP26"/>
  <c r="H19" i="84"/>
  <c r="X24"/>
  <c r="H19" i="97"/>
  <c r="AP24"/>
  <c r="AY26"/>
  <c r="BP26"/>
  <c r="AY27"/>
  <c r="BP23"/>
  <c r="L24"/>
  <c r="M24" s="1"/>
  <c r="N24" s="1"/>
  <c r="N26"/>
  <c r="CS27"/>
  <c r="BP24"/>
  <c r="L25"/>
  <c r="M25" s="1"/>
  <c r="N23"/>
  <c r="BP25"/>
  <c r="AP27"/>
  <c r="BP27"/>
  <c r="CZ23" i="85"/>
  <c r="AY23" i="84"/>
  <c r="BP23"/>
  <c r="N23"/>
  <c r="Y24"/>
  <c r="H24"/>
  <c r="I26" s="1"/>
  <c r="O24" i="92" l="1"/>
  <c r="P24" s="1"/>
  <c r="Q24" s="1"/>
  <c r="O23"/>
  <c r="O27"/>
  <c r="P27"/>
  <c r="Q27" s="1"/>
  <c r="BP27"/>
  <c r="AY27"/>
  <c r="N25"/>
  <c r="O26"/>
  <c r="P26"/>
  <c r="Q26" s="1"/>
  <c r="BP26"/>
  <c r="AY26"/>
  <c r="AJ26" i="90"/>
  <c r="AO26" s="1"/>
  <c r="AJ25" i="93"/>
  <c r="AO25" s="1"/>
  <c r="AJ27" i="97"/>
  <c r="AJ28" s="1"/>
  <c r="P27" i="90"/>
  <c r="Q27" s="1"/>
  <c r="R27" s="1"/>
  <c r="S27" s="1"/>
  <c r="AO27"/>
  <c r="AJ25" i="97"/>
  <c r="AO25" s="1"/>
  <c r="AJ26"/>
  <c r="AO26" s="1"/>
  <c r="O27" i="93"/>
  <c r="P27" s="1"/>
  <c r="Q27" s="1"/>
  <c r="AG28"/>
  <c r="AJ27"/>
  <c r="O25"/>
  <c r="P25" s="1"/>
  <c r="Q25" s="1"/>
  <c r="N26"/>
  <c r="O23"/>
  <c r="P23" s="1"/>
  <c r="Q23" s="1"/>
  <c r="O24"/>
  <c r="O23" i="90"/>
  <c r="P23" s="1"/>
  <c r="Q23" s="1"/>
  <c r="R23" s="1"/>
  <c r="S23" s="1"/>
  <c r="V23" s="1"/>
  <c r="CP23" s="1"/>
  <c r="O25"/>
  <c r="O24"/>
  <c r="N26"/>
  <c r="AJ24" i="97"/>
  <c r="AO24" s="1"/>
  <c r="N25"/>
  <c r="O23"/>
  <c r="O26"/>
  <c r="P26" s="1"/>
  <c r="Q26" s="1"/>
  <c r="O24"/>
  <c r="O27"/>
  <c r="P27" s="1"/>
  <c r="Q27" s="1"/>
  <c r="AJ24" i="84"/>
  <c r="AO23"/>
  <c r="O23"/>
  <c r="O25" i="92" l="1"/>
  <c r="R24"/>
  <c r="S24" s="1"/>
  <c r="P23"/>
  <c r="Q23" s="1"/>
  <c r="R23" s="1"/>
  <c r="S23" s="1"/>
  <c r="R26"/>
  <c r="S26" s="1"/>
  <c r="R27"/>
  <c r="AO27" i="97"/>
  <c r="W27" i="90"/>
  <c r="CQ27" s="1"/>
  <c r="AA27"/>
  <c r="CT27" s="1"/>
  <c r="AC27"/>
  <c r="AI27"/>
  <c r="AI28" s="1"/>
  <c r="R28"/>
  <c r="I31" s="1"/>
  <c r="S28"/>
  <c r="I32" s="1"/>
  <c r="V27"/>
  <c r="R27" i="93"/>
  <c r="S27" s="1"/>
  <c r="X27" s="1"/>
  <c r="CR27" s="1"/>
  <c r="AJ28"/>
  <c r="AO27"/>
  <c r="O26"/>
  <c r="P26" s="1"/>
  <c r="Q26" s="1"/>
  <c r="V27"/>
  <c r="W27"/>
  <c r="CQ27" s="1"/>
  <c r="P24"/>
  <c r="Q24" s="1"/>
  <c r="R24" s="1"/>
  <c r="S24" s="1"/>
  <c r="X24" s="1"/>
  <c r="CR24" s="1"/>
  <c r="R23"/>
  <c r="S23" s="1"/>
  <c r="X23" s="1"/>
  <c r="R25"/>
  <c r="S25" s="1"/>
  <c r="X25" s="1"/>
  <c r="CR25" s="1"/>
  <c r="AA23" i="90"/>
  <c r="CT23" s="1"/>
  <c r="AI23"/>
  <c r="AN23" s="1"/>
  <c r="AR23" s="1"/>
  <c r="AX23" s="1"/>
  <c r="AZ23" s="1"/>
  <c r="BO23" s="1"/>
  <c r="W23"/>
  <c r="CQ23" s="1"/>
  <c r="O26"/>
  <c r="P26" s="1"/>
  <c r="Q26" s="1"/>
  <c r="P25"/>
  <c r="Q25" s="1"/>
  <c r="R25" s="1"/>
  <c r="S25" s="1"/>
  <c r="P24"/>
  <c r="Q24" s="1"/>
  <c r="R24" s="1"/>
  <c r="S24" s="1"/>
  <c r="P24" i="97"/>
  <c r="Q24" s="1"/>
  <c r="R24" s="1"/>
  <c r="S24" s="1"/>
  <c r="O25"/>
  <c r="P23"/>
  <c r="Q23" s="1"/>
  <c r="R23" s="1"/>
  <c r="S23" s="1"/>
  <c r="R27"/>
  <c r="R26"/>
  <c r="S26" s="1"/>
  <c r="P23" i="84"/>
  <c r="Q23" s="1"/>
  <c r="R23" s="1"/>
  <c r="AA24" i="92" l="1"/>
  <c r="CT24" s="1"/>
  <c r="CC24"/>
  <c r="AX28"/>
  <c r="AI24"/>
  <c r="AN24" s="1"/>
  <c r="AR24" s="1"/>
  <c r="AX24" s="1"/>
  <c r="AZ24" s="1"/>
  <c r="BO24" s="1"/>
  <c r="X24"/>
  <c r="AI23"/>
  <c r="AN23" s="1"/>
  <c r="AR23" s="1"/>
  <c r="AX23" s="1"/>
  <c r="AZ23" s="1"/>
  <c r="BO23" s="1"/>
  <c r="X23"/>
  <c r="AA23"/>
  <c r="CT23" s="1"/>
  <c r="X26"/>
  <c r="AI26"/>
  <c r="AN26" s="1"/>
  <c r="AR26" s="1"/>
  <c r="AX26" s="1"/>
  <c r="AZ26" s="1"/>
  <c r="BO26" s="1"/>
  <c r="AA26"/>
  <c r="CT26" s="1"/>
  <c r="R28"/>
  <c r="I31" s="1"/>
  <c r="S27"/>
  <c r="R25"/>
  <c r="S25" s="1"/>
  <c r="P25"/>
  <c r="Q25" s="1"/>
  <c r="AN27" i="90"/>
  <c r="AR27" s="1"/>
  <c r="AX27" s="1"/>
  <c r="AZ27" s="1"/>
  <c r="BO27" s="1"/>
  <c r="AA28"/>
  <c r="AB27"/>
  <c r="CP27"/>
  <c r="AA27" i="93"/>
  <c r="CT27" s="1"/>
  <c r="S28"/>
  <c r="I32" s="1"/>
  <c r="R28"/>
  <c r="I31" s="1"/>
  <c r="AI27"/>
  <c r="CR23"/>
  <c r="V24"/>
  <c r="AX28"/>
  <c r="AI24"/>
  <c r="AN24" s="1"/>
  <c r="AR24" s="1"/>
  <c r="AX24" s="1"/>
  <c r="AZ24" s="1"/>
  <c r="BO24" s="1"/>
  <c r="CC24"/>
  <c r="AA24"/>
  <c r="CT24" s="1"/>
  <c r="W24"/>
  <c r="CQ24" s="1"/>
  <c r="R26"/>
  <c r="S26" s="1"/>
  <c r="X26" s="1"/>
  <c r="CR26" s="1"/>
  <c r="AA28"/>
  <c r="AI23"/>
  <c r="AN23" s="1"/>
  <c r="AR23" s="1"/>
  <c r="AX23" s="1"/>
  <c r="AZ23" s="1"/>
  <c r="BO23" s="1"/>
  <c r="V23"/>
  <c r="AA23"/>
  <c r="CT23" s="1"/>
  <c r="W23"/>
  <c r="AI28"/>
  <c r="AN27"/>
  <c r="AR27" s="1"/>
  <c r="AX27" s="1"/>
  <c r="AZ27" s="1"/>
  <c r="BO27" s="1"/>
  <c r="CP27"/>
  <c r="AB27"/>
  <c r="AC27" s="1"/>
  <c r="V25"/>
  <c r="W25"/>
  <c r="CQ25" s="1"/>
  <c r="AA25"/>
  <c r="CT25" s="1"/>
  <c r="AI25"/>
  <c r="AN25" s="1"/>
  <c r="AR25" s="1"/>
  <c r="AX25" s="1"/>
  <c r="AZ25" s="1"/>
  <c r="BO25" s="1"/>
  <c r="AB23" i="90"/>
  <c r="W25"/>
  <c r="CQ25" s="1"/>
  <c r="AI25"/>
  <c r="AN25" s="1"/>
  <c r="AR25" s="1"/>
  <c r="AX25" s="1"/>
  <c r="AZ25" s="1"/>
  <c r="BO25" s="1"/>
  <c r="AA25"/>
  <c r="CT25" s="1"/>
  <c r="V25"/>
  <c r="CP25" s="1"/>
  <c r="AA24"/>
  <c r="CT24" s="1"/>
  <c r="CC24"/>
  <c r="AX28"/>
  <c r="V24"/>
  <c r="CP24" s="1"/>
  <c r="W24"/>
  <c r="CQ24" s="1"/>
  <c r="AI24"/>
  <c r="AN24" s="1"/>
  <c r="AR24" s="1"/>
  <c r="AX24" s="1"/>
  <c r="AZ24" s="1"/>
  <c r="BO24" s="1"/>
  <c r="R26"/>
  <c r="S26" s="1"/>
  <c r="CC23" s="1"/>
  <c r="AC23"/>
  <c r="V26" i="97"/>
  <c r="W26"/>
  <c r="V24"/>
  <c r="W24"/>
  <c r="V23"/>
  <c r="W23"/>
  <c r="AA24"/>
  <c r="CT24" s="1"/>
  <c r="AI24"/>
  <c r="AN24" s="1"/>
  <c r="AR24" s="1"/>
  <c r="AX24" s="1"/>
  <c r="AZ24" s="1"/>
  <c r="BO24" s="1"/>
  <c r="X24"/>
  <c r="AX28"/>
  <c r="CC24"/>
  <c r="AA26"/>
  <c r="CT26" s="1"/>
  <c r="AI26"/>
  <c r="AN26" s="1"/>
  <c r="AR26" s="1"/>
  <c r="AX26" s="1"/>
  <c r="AZ26" s="1"/>
  <c r="BO26" s="1"/>
  <c r="X26"/>
  <c r="AA23"/>
  <c r="CT23" s="1"/>
  <c r="AI23"/>
  <c r="AN23" s="1"/>
  <c r="AR23" s="1"/>
  <c r="AX23" s="1"/>
  <c r="AZ23" s="1"/>
  <c r="BO23" s="1"/>
  <c r="X23"/>
  <c r="P25"/>
  <c r="Q25" s="1"/>
  <c r="R25" s="1"/>
  <c r="S25" s="1"/>
  <c r="R28"/>
  <c r="I31" s="1"/>
  <c r="S27"/>
  <c r="R24" i="84"/>
  <c r="I27" s="1"/>
  <c r="S23"/>
  <c r="BM33" i="83"/>
  <c r="BN32"/>
  <c r="BM32"/>
  <c r="AX24"/>
  <c r="AW24"/>
  <c r="AD24"/>
  <c r="AH23" s="1"/>
  <c r="Z24"/>
  <c r="AM23"/>
  <c r="AW23" s="1"/>
  <c r="AK23"/>
  <c r="AK24" s="1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R23" i="92" l="1"/>
  <c r="AB23"/>
  <c r="CR24"/>
  <c r="AB24"/>
  <c r="AC24" s="1"/>
  <c r="S28"/>
  <c r="I32" s="1"/>
  <c r="AI27"/>
  <c r="X27"/>
  <c r="AA27"/>
  <c r="AI25"/>
  <c r="AN25" s="1"/>
  <c r="AR25" s="1"/>
  <c r="AX25" s="1"/>
  <c r="AZ25" s="1"/>
  <c r="BO25" s="1"/>
  <c r="X25"/>
  <c r="AA25"/>
  <c r="CT25" s="1"/>
  <c r="AW28"/>
  <c r="CC23"/>
  <c r="CR26"/>
  <c r="AB26"/>
  <c r="AC26" s="1"/>
  <c r="AH24" i="83"/>
  <c r="AE23"/>
  <c r="AE24" s="1"/>
  <c r="AG23"/>
  <c r="AJ23" s="1"/>
  <c r="CC23" i="93"/>
  <c r="AW28"/>
  <c r="X28"/>
  <c r="CC25" s="1"/>
  <c r="W26"/>
  <c r="CQ26" s="1"/>
  <c r="AI26"/>
  <c r="AN26" s="1"/>
  <c r="AR26" s="1"/>
  <c r="AX26" s="1"/>
  <c r="AZ26" s="1"/>
  <c r="BO26" s="1"/>
  <c r="AA26"/>
  <c r="CT26" s="1"/>
  <c r="V26"/>
  <c r="V28" s="1"/>
  <c r="CQ23"/>
  <c r="CP24"/>
  <c r="AB24"/>
  <c r="AC24" s="1"/>
  <c r="CP25"/>
  <c r="AB25"/>
  <c r="AC25" s="1"/>
  <c r="AB23"/>
  <c r="AC23" s="1"/>
  <c r="CP23"/>
  <c r="AI26" i="90"/>
  <c r="AN26" s="1"/>
  <c r="AR26" s="1"/>
  <c r="AX26" s="1"/>
  <c r="AZ26" s="1"/>
  <c r="BO26" s="1"/>
  <c r="AA26"/>
  <c r="CT26" s="1"/>
  <c r="V26"/>
  <c r="CP26" s="1"/>
  <c r="W26"/>
  <c r="CQ26" s="1"/>
  <c r="AB24"/>
  <c r="AB25"/>
  <c r="AC25" s="1"/>
  <c r="AW28"/>
  <c r="BM36" i="83"/>
  <c r="BN36" s="1"/>
  <c r="V25" i="97"/>
  <c r="W25"/>
  <c r="H19" i="83"/>
  <c r="Y24"/>
  <c r="AP23"/>
  <c r="S28" i="97"/>
  <c r="I32" s="1"/>
  <c r="V27"/>
  <c r="W27"/>
  <c r="CR26"/>
  <c r="AB26"/>
  <c r="AC26" s="1"/>
  <c r="CR23"/>
  <c r="AB23"/>
  <c r="AA25"/>
  <c r="CT25" s="1"/>
  <c r="AI25"/>
  <c r="AN25" s="1"/>
  <c r="AR25" s="1"/>
  <c r="AX25" s="1"/>
  <c r="AZ25" s="1"/>
  <c r="BO25" s="1"/>
  <c r="X25"/>
  <c r="AI27"/>
  <c r="X27"/>
  <c r="AA27"/>
  <c r="CR24"/>
  <c r="AB24"/>
  <c r="AC24" s="1"/>
  <c r="AW28"/>
  <c r="CC23"/>
  <c r="AA23" i="84"/>
  <c r="V23"/>
  <c r="W23"/>
  <c r="CC23"/>
  <c r="AI23"/>
  <c r="S24"/>
  <c r="I28" s="1"/>
  <c r="BP23" i="83"/>
  <c r="AY23"/>
  <c r="N23"/>
  <c r="H24"/>
  <c r="I26" s="1"/>
  <c r="AN27" i="92" l="1"/>
  <c r="AR27" s="1"/>
  <c r="AX27" s="1"/>
  <c r="AZ27" s="1"/>
  <c r="BO27" s="1"/>
  <c r="AI28"/>
  <c r="CR27"/>
  <c r="AB27"/>
  <c r="AC27" s="1"/>
  <c r="X28"/>
  <c r="CC25" s="1"/>
  <c r="CD27" s="1"/>
  <c r="AA28"/>
  <c r="CT27"/>
  <c r="AC23"/>
  <c r="CR25"/>
  <c r="AB25"/>
  <c r="AC25" s="1"/>
  <c r="AO23" i="83"/>
  <c r="AJ24"/>
  <c r="AG24"/>
  <c r="V28" i="90"/>
  <c r="CC25" s="1"/>
  <c r="CD28" s="1"/>
  <c r="W28"/>
  <c r="CC26" s="1"/>
  <c r="CD29" s="1"/>
  <c r="W28" i="93"/>
  <c r="CP26"/>
  <c r="AB26"/>
  <c r="AB28" i="90"/>
  <c r="I33" s="1"/>
  <c r="I34" s="1"/>
  <c r="AC24"/>
  <c r="AB26"/>
  <c r="AC26" s="1"/>
  <c r="W28" i="97"/>
  <c r="CC26" s="1"/>
  <c r="V28"/>
  <c r="CC25" s="1"/>
  <c r="CR25"/>
  <c r="AB25"/>
  <c r="AC25" s="1"/>
  <c r="AN27"/>
  <c r="AR27" s="1"/>
  <c r="AX27" s="1"/>
  <c r="AZ27" s="1"/>
  <c r="BO27" s="1"/>
  <c r="AI28"/>
  <c r="CR27"/>
  <c r="AB27"/>
  <c r="AC27" s="1"/>
  <c r="AC23"/>
  <c r="AA28"/>
  <c r="CT27"/>
  <c r="X28"/>
  <c r="CU23" s="1"/>
  <c r="CQ23" i="84"/>
  <c r="W24"/>
  <c r="CC25" s="1"/>
  <c r="AA24"/>
  <c r="CT23"/>
  <c r="V24"/>
  <c r="CC24" s="1"/>
  <c r="CP23"/>
  <c r="AB23"/>
  <c r="AN23"/>
  <c r="AR23" s="1"/>
  <c r="AX23" s="1"/>
  <c r="AZ23" s="1"/>
  <c r="BO23" s="1"/>
  <c r="AI24"/>
  <c r="O23" i="83"/>
  <c r="P23" s="1"/>
  <c r="Q23" s="1"/>
  <c r="BM33" i="82"/>
  <c r="BN32"/>
  <c r="BM32"/>
  <c r="AX24"/>
  <c r="AW24"/>
  <c r="AH24"/>
  <c r="AD24"/>
  <c r="AE23" s="1"/>
  <c r="AE24" s="1"/>
  <c r="Z24"/>
  <c r="AM23"/>
  <c r="AW23" s="1"/>
  <c r="AK23"/>
  <c r="AK24" s="1"/>
  <c r="Y23"/>
  <c r="CS23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1"/>
  <c r="BN32"/>
  <c r="BM32"/>
  <c r="AX24"/>
  <c r="AW24"/>
  <c r="AH24"/>
  <c r="AD24"/>
  <c r="AE23" s="1"/>
  <c r="AE24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8"/>
  <c r="BN32"/>
  <c r="BM32"/>
  <c r="AX24"/>
  <c r="AW24"/>
  <c r="AD24"/>
  <c r="AH24" s="1"/>
  <c r="Z24"/>
  <c r="AM23"/>
  <c r="AW23" s="1"/>
  <c r="AY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7"/>
  <c r="BN32"/>
  <c r="BM32"/>
  <c r="AX24"/>
  <c r="AW24"/>
  <c r="AD24"/>
  <c r="AG23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6"/>
  <c r="BN32"/>
  <c r="BM32"/>
  <c r="AX24"/>
  <c r="AW24"/>
  <c r="AD24"/>
  <c r="AH24" s="1"/>
  <c r="Z24"/>
  <c r="AM23"/>
  <c r="AW23" s="1"/>
  <c r="AY23" s="1"/>
  <c r="AK23"/>
  <c r="AK24" s="1"/>
  <c r="Y23"/>
  <c r="Y24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Z25" i="85"/>
  <c r="AD25"/>
  <c r="AG23" s="1"/>
  <c r="BM34"/>
  <c r="BN33"/>
  <c r="BM33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8"/>
  <c r="BN36"/>
  <c r="BM36"/>
  <c r="AD28"/>
  <c r="AE27" s="1"/>
  <c r="AE28" s="1"/>
  <c r="Z28"/>
  <c r="AM27"/>
  <c r="AW27" s="1"/>
  <c r="Y27"/>
  <c r="Y28" s="1"/>
  <c r="X27"/>
  <c r="H27"/>
  <c r="H28" s="1"/>
  <c r="I30" s="1"/>
  <c r="AM26"/>
  <c r="AW26" s="1"/>
  <c r="AY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AM23"/>
  <c r="AW23" s="1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7"/>
  <c r="BN36"/>
  <c r="BM36"/>
  <c r="AD28"/>
  <c r="AH28" s="1"/>
  <c r="Z28"/>
  <c r="AM27"/>
  <c r="Y27"/>
  <c r="Y28" s="1"/>
  <c r="X27"/>
  <c r="CR27" s="1"/>
  <c r="H27"/>
  <c r="H28" s="1"/>
  <c r="I30" s="1"/>
  <c r="AM26"/>
  <c r="AW26" s="1"/>
  <c r="Y26"/>
  <c r="X26"/>
  <c r="CR26" s="1"/>
  <c r="H26"/>
  <c r="AM25"/>
  <c r="AW25" s="1"/>
  <c r="AY25" s="1"/>
  <c r="AK25"/>
  <c r="Y25"/>
  <c r="CS25" s="1"/>
  <c r="X25"/>
  <c r="CR25" s="1"/>
  <c r="H25"/>
  <c r="AM24"/>
  <c r="AW24" s="1"/>
  <c r="Y24"/>
  <c r="CS24" s="1"/>
  <c r="X24"/>
  <c r="CR24" s="1"/>
  <c r="H24"/>
  <c r="L24" s="1"/>
  <c r="M24" s="1"/>
  <c r="N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6"/>
  <c r="BN36"/>
  <c r="BM36"/>
  <c r="AD28"/>
  <c r="AH24" s="1"/>
  <c r="Z28"/>
  <c r="AM27"/>
  <c r="AW27" s="1"/>
  <c r="AJ27"/>
  <c r="AJ28" s="1"/>
  <c r="Y27"/>
  <c r="Y28" s="1"/>
  <c r="X27"/>
  <c r="W27"/>
  <c r="V27"/>
  <c r="H27"/>
  <c r="H28" s="1"/>
  <c r="I30" s="1"/>
  <c r="AM26"/>
  <c r="AW26" s="1"/>
  <c r="AY26" s="1"/>
  <c r="AJ26"/>
  <c r="Y26"/>
  <c r="CS26" s="1"/>
  <c r="X26"/>
  <c r="CR26" s="1"/>
  <c r="W26"/>
  <c r="CQ26" s="1"/>
  <c r="V26"/>
  <c r="H26"/>
  <c r="L26" s="1"/>
  <c r="M26" s="1"/>
  <c r="AM25"/>
  <c r="AW25" s="1"/>
  <c r="AJ25"/>
  <c r="Y25"/>
  <c r="CS25" s="1"/>
  <c r="X25"/>
  <c r="CR25" s="1"/>
  <c r="W25"/>
  <c r="CQ25" s="1"/>
  <c r="V25"/>
  <c r="CP25" s="1"/>
  <c r="H25"/>
  <c r="AM24"/>
  <c r="AW24" s="1"/>
  <c r="AJ24"/>
  <c r="Y24"/>
  <c r="CS24" s="1"/>
  <c r="X24"/>
  <c r="CR24" s="1"/>
  <c r="W24"/>
  <c r="CQ24" s="1"/>
  <c r="V24"/>
  <c r="CP24" s="1"/>
  <c r="H24"/>
  <c r="AM23"/>
  <c r="AW23" s="1"/>
  <c r="AJ23"/>
  <c r="AH23"/>
  <c r="Y23"/>
  <c r="CS23" s="1"/>
  <c r="X23"/>
  <c r="CR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5"/>
  <c r="BN36"/>
  <c r="BM36"/>
  <c r="AD28"/>
  <c r="AE27" s="1"/>
  <c r="Z28"/>
  <c r="AM27"/>
  <c r="AW27" s="1"/>
  <c r="Y27"/>
  <c r="Y28" s="1"/>
  <c r="X27"/>
  <c r="CR27" s="1"/>
  <c r="H27"/>
  <c r="H28" s="1"/>
  <c r="I30" s="1"/>
  <c r="AM26"/>
  <c r="AW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4"/>
  <c r="BN36"/>
  <c r="BM36"/>
  <c r="AD28"/>
  <c r="AG26" s="1"/>
  <c r="Z28"/>
  <c r="AM27"/>
  <c r="AW27" s="1"/>
  <c r="AK27"/>
  <c r="AK28" s="1"/>
  <c r="AG27"/>
  <c r="AG28" s="1"/>
  <c r="Y27"/>
  <c r="Y28" s="1"/>
  <c r="X27"/>
  <c r="CR27" s="1"/>
  <c r="H27"/>
  <c r="H28" s="1"/>
  <c r="I30" s="1"/>
  <c r="AM26"/>
  <c r="AW26" s="1"/>
  <c r="AK26"/>
  <c r="Y26"/>
  <c r="CS26" s="1"/>
  <c r="X26"/>
  <c r="H26"/>
  <c r="AM25"/>
  <c r="AK25"/>
  <c r="Y25"/>
  <c r="CS25" s="1"/>
  <c r="X25"/>
  <c r="CR25" s="1"/>
  <c r="H25"/>
  <c r="L25" s="1"/>
  <c r="M25" s="1"/>
  <c r="AM24"/>
  <c r="AW24" s="1"/>
  <c r="AY24" s="1"/>
  <c r="AK24"/>
  <c r="Y24"/>
  <c r="CS24" s="1"/>
  <c r="X24"/>
  <c r="CR24" s="1"/>
  <c r="H24"/>
  <c r="L24" s="1"/>
  <c r="M24" s="1"/>
  <c r="AM23"/>
  <c r="AW23" s="1"/>
  <c r="AK23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3"/>
  <c r="BN36"/>
  <c r="BM36"/>
  <c r="AD28"/>
  <c r="AG27" s="1"/>
  <c r="Z28"/>
  <c r="AM27"/>
  <c r="AW27" s="1"/>
  <c r="AK27"/>
  <c r="Y27"/>
  <c r="Y28" s="1"/>
  <c r="W27"/>
  <c r="CQ27" s="1"/>
  <c r="V27"/>
  <c r="CP27" s="1"/>
  <c r="H27"/>
  <c r="H28" s="1"/>
  <c r="I30" s="1"/>
  <c r="AM26"/>
  <c r="AW26" s="1"/>
  <c r="AK26"/>
  <c r="Y26"/>
  <c r="CS26" s="1"/>
  <c r="W26"/>
  <c r="V26"/>
  <c r="CP26" s="1"/>
  <c r="H26"/>
  <c r="L26" s="1"/>
  <c r="M26" s="1"/>
  <c r="AM25"/>
  <c r="AW25" s="1"/>
  <c r="AK25"/>
  <c r="Y25"/>
  <c r="CS25" s="1"/>
  <c r="W25"/>
  <c r="CQ25" s="1"/>
  <c r="V25"/>
  <c r="H25"/>
  <c r="L25" s="1"/>
  <c r="M25" s="1"/>
  <c r="AM24"/>
  <c r="AK24"/>
  <c r="Y24"/>
  <c r="CS24" s="1"/>
  <c r="W24"/>
  <c r="CQ24" s="1"/>
  <c r="V24"/>
  <c r="H24"/>
  <c r="AM23"/>
  <c r="AW23" s="1"/>
  <c r="AK23"/>
  <c r="Y23"/>
  <c r="CS23" s="1"/>
  <c r="W23"/>
  <c r="CQ23" s="1"/>
  <c r="V23"/>
  <c r="H23"/>
  <c r="H18"/>
  <c r="H17"/>
  <c r="H16"/>
  <c r="H15"/>
  <c r="H14"/>
  <c r="H13"/>
  <c r="H12"/>
  <c r="H11"/>
  <c r="H10"/>
  <c r="H9"/>
  <c r="H8"/>
  <c r="H7"/>
  <c r="H6"/>
  <c r="H5"/>
  <c r="H4"/>
  <c r="BM37" i="132"/>
  <c r="BN36"/>
  <c r="BM36"/>
  <c r="AD28"/>
  <c r="AH28" s="1"/>
  <c r="Z28"/>
  <c r="AM27"/>
  <c r="AW27" s="1"/>
  <c r="AY27" s="1"/>
  <c r="AK27"/>
  <c r="AK28" s="1"/>
  <c r="Y27"/>
  <c r="Y28" s="1"/>
  <c r="H27"/>
  <c r="H28" s="1"/>
  <c r="I30" s="1"/>
  <c r="AM26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H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1"/>
  <c r="BN36"/>
  <c r="BM36"/>
  <c r="AD28"/>
  <c r="AG27" s="1"/>
  <c r="Z28"/>
  <c r="AM27"/>
  <c r="AW27" s="1"/>
  <c r="BP27" s="1"/>
  <c r="AK27"/>
  <c r="AK28" s="1"/>
  <c r="Y27"/>
  <c r="Y28" s="1"/>
  <c r="H27"/>
  <c r="H28" s="1"/>
  <c r="I30" s="1"/>
  <c r="AM26"/>
  <c r="AW26" s="1"/>
  <c r="BP26" s="1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E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5"/>
  <c r="BN36"/>
  <c r="BM36"/>
  <c r="AD28"/>
  <c r="AG27" s="1"/>
  <c r="Z28"/>
  <c r="AM27"/>
  <c r="AW27" s="1"/>
  <c r="AY27" s="1"/>
  <c r="AK27"/>
  <c r="Y27"/>
  <c r="Y28" s="1"/>
  <c r="H27"/>
  <c r="L27" s="1"/>
  <c r="M27" s="1"/>
  <c r="AM26"/>
  <c r="AW26" s="1"/>
  <c r="BP26" s="1"/>
  <c r="AK26"/>
  <c r="Y26"/>
  <c r="CS26" s="1"/>
  <c r="H26"/>
  <c r="L26" s="1"/>
  <c r="M26" s="1"/>
  <c r="N26" s="1"/>
  <c r="AM25"/>
  <c r="AK25"/>
  <c r="Y25"/>
  <c r="CS25" s="1"/>
  <c r="H25"/>
  <c r="L25" s="1"/>
  <c r="M25" s="1"/>
  <c r="AM24"/>
  <c r="AW24" s="1"/>
  <c r="AK24"/>
  <c r="Y24"/>
  <c r="CS24" s="1"/>
  <c r="H24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4"/>
  <c r="BN36"/>
  <c r="BM36"/>
  <c r="AD28"/>
  <c r="AG27" s="1"/>
  <c r="Z28"/>
  <c r="AM27"/>
  <c r="AW27" s="1"/>
  <c r="AY27" s="1"/>
  <c r="AK27"/>
  <c r="Y27"/>
  <c r="Y28" s="1"/>
  <c r="X27"/>
  <c r="CR27" s="1"/>
  <c r="H27"/>
  <c r="L27" s="1"/>
  <c r="M27" s="1"/>
  <c r="AM26"/>
  <c r="AW26" s="1"/>
  <c r="BP26" s="1"/>
  <c r="AK26"/>
  <c r="Y26"/>
  <c r="CS26" s="1"/>
  <c r="X26"/>
  <c r="CR26" s="1"/>
  <c r="H26"/>
  <c r="L26" s="1"/>
  <c r="M26" s="1"/>
  <c r="AM25"/>
  <c r="AK25"/>
  <c r="Y25"/>
  <c r="CS25" s="1"/>
  <c r="X25"/>
  <c r="CR25" s="1"/>
  <c r="H25"/>
  <c r="AM24"/>
  <c r="AW24" s="1"/>
  <c r="AK24"/>
  <c r="Y24"/>
  <c r="CS24" s="1"/>
  <c r="X24"/>
  <c r="CR24" s="1"/>
  <c r="H24"/>
  <c r="L24" s="1"/>
  <c r="M24" s="1"/>
  <c r="AM23"/>
  <c r="AW23" s="1"/>
  <c r="AK23"/>
  <c r="Y23"/>
  <c r="CS23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6"/>
  <c r="BN36"/>
  <c r="BM36"/>
  <c r="AD28"/>
  <c r="AE27" s="1"/>
  <c r="AE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AH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Y24" s="1"/>
  <c r="AK24"/>
  <c r="Y24"/>
  <c r="CS24" s="1"/>
  <c r="H24"/>
  <c r="L24" s="1"/>
  <c r="M24" s="1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8"/>
  <c r="BN36"/>
  <c r="BM36"/>
  <c r="AD28"/>
  <c r="AG27" s="1"/>
  <c r="Z28"/>
  <c r="AM27"/>
  <c r="AW27" s="1"/>
  <c r="AK27"/>
  <c r="AK28" s="1"/>
  <c r="Y27"/>
  <c r="CS27" s="1"/>
  <c r="W27"/>
  <c r="CQ27" s="1"/>
  <c r="V27"/>
  <c r="CP27" s="1"/>
  <c r="H27"/>
  <c r="H28" s="1"/>
  <c r="I30" s="1"/>
  <c r="AM26"/>
  <c r="AW26" s="1"/>
  <c r="AK26"/>
  <c r="Y26"/>
  <c r="CS26" s="1"/>
  <c r="W26"/>
  <c r="CQ26" s="1"/>
  <c r="V26"/>
  <c r="CP26" s="1"/>
  <c r="H26"/>
  <c r="AM25"/>
  <c r="AW25" s="1"/>
  <c r="AY25" s="1"/>
  <c r="AK25"/>
  <c r="Y25"/>
  <c r="CS25" s="1"/>
  <c r="W25"/>
  <c r="CQ25" s="1"/>
  <c r="V25"/>
  <c r="CP25" s="1"/>
  <c r="H25"/>
  <c r="L25" s="1"/>
  <c r="M25" s="1"/>
  <c r="AM24"/>
  <c r="AW24" s="1"/>
  <c r="AY24" s="1"/>
  <c r="AK24"/>
  <c r="Y24"/>
  <c r="CS24" s="1"/>
  <c r="W24"/>
  <c r="CQ24" s="1"/>
  <c r="V24"/>
  <c r="CP24" s="1"/>
  <c r="H24"/>
  <c r="L24" s="1"/>
  <c r="M24" s="1"/>
  <c r="AM23"/>
  <c r="AW23" s="1"/>
  <c r="AY23" s="1"/>
  <c r="AK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0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K24"/>
  <c r="Y24"/>
  <c r="CS24" s="1"/>
  <c r="H24"/>
  <c r="L24" s="1"/>
  <c r="M24" s="1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9"/>
  <c r="BN36"/>
  <c r="BM36"/>
  <c r="AD28"/>
  <c r="AE25" s="1"/>
  <c r="Z28"/>
  <c r="AM27"/>
  <c r="AW27" s="1"/>
  <c r="AK27"/>
  <c r="Y27"/>
  <c r="Y28" s="1"/>
  <c r="W27"/>
  <c r="V27"/>
  <c r="H27"/>
  <c r="H28" s="1"/>
  <c r="I30" s="1"/>
  <c r="AM26"/>
  <c r="AW26" s="1"/>
  <c r="AK26"/>
  <c r="Y26"/>
  <c r="W26"/>
  <c r="V26"/>
  <c r="H26"/>
  <c r="AM25"/>
  <c r="AW25" s="1"/>
  <c r="AK25"/>
  <c r="AG25"/>
  <c r="Y25"/>
  <c r="W25"/>
  <c r="V25"/>
  <c r="H25"/>
  <c r="L25" s="1"/>
  <c r="M25" s="1"/>
  <c r="AM24"/>
  <c r="AW24" s="1"/>
  <c r="AK24"/>
  <c r="Y24"/>
  <c r="W24"/>
  <c r="V24"/>
  <c r="H24"/>
  <c r="AM23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7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H26"/>
  <c r="L26" s="1"/>
  <c r="M26" s="1"/>
  <c r="AM25"/>
  <c r="AW25" s="1"/>
  <c r="AK25"/>
  <c r="Y25"/>
  <c r="H25"/>
  <c r="L25" s="1"/>
  <c r="M25" s="1"/>
  <c r="AM24"/>
  <c r="AW24" s="1"/>
  <c r="AY24" s="1"/>
  <c r="AK24"/>
  <c r="Y24"/>
  <c r="H24"/>
  <c r="L24" s="1"/>
  <c r="M24" s="1"/>
  <c r="AM23"/>
  <c r="AW23" s="1"/>
  <c r="BP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3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2"/>
  <c r="BN32"/>
  <c r="BM32"/>
  <c r="AD24"/>
  <c r="AH24" s="1"/>
  <c r="Z24"/>
  <c r="AM23"/>
  <c r="AW23" s="1"/>
  <c r="AY23" s="1"/>
  <c r="AK23"/>
  <c r="X23"/>
  <c r="X24" s="1"/>
  <c r="W23"/>
  <c r="W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1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0"/>
  <c r="BN32"/>
  <c r="BM32"/>
  <c r="AD24"/>
  <c r="AH24" s="1"/>
  <c r="Z24"/>
  <c r="AM23"/>
  <c r="AW23" s="1"/>
  <c r="BP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9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8"/>
  <c r="BN32"/>
  <c r="BM32"/>
  <c r="AD24"/>
  <c r="AE23" s="1"/>
  <c r="AE24" s="1"/>
  <c r="Z24"/>
  <c r="AM23"/>
  <c r="AW23" s="1"/>
  <c r="AK23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116"/>
  <c r="BN32"/>
  <c r="BM32"/>
  <c r="AD24"/>
  <c r="AH23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5"/>
  <c r="BN32"/>
  <c r="BM32"/>
  <c r="AD24"/>
  <c r="AH24" s="1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4"/>
  <c r="BN32"/>
  <c r="BM32"/>
  <c r="AD24"/>
  <c r="AH23" s="1"/>
  <c r="Z24"/>
  <c r="AM23"/>
  <c r="AW23" s="1"/>
  <c r="AK23"/>
  <c r="AK24" s="1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3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2"/>
  <c r="BN32"/>
  <c r="BM32"/>
  <c r="AD24"/>
  <c r="AE23" s="1"/>
  <c r="AE24" s="1"/>
  <c r="Z24"/>
  <c r="AM23"/>
  <c r="AW23" s="1"/>
  <c r="AY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1"/>
  <c r="BN32"/>
  <c r="BM32"/>
  <c r="AD24"/>
  <c r="AH24" s="1"/>
  <c r="Z24"/>
  <c r="AM23"/>
  <c r="AW23" s="1"/>
  <c r="AY23" s="1"/>
  <c r="AK23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0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7" i="108"/>
  <c r="BN36"/>
  <c r="BM36"/>
  <c r="AD28"/>
  <c r="AG27" s="1"/>
  <c r="Z28"/>
  <c r="AM27"/>
  <c r="AW27" s="1"/>
  <c r="AK27"/>
  <c r="Y27"/>
  <c r="Y28" s="1"/>
  <c r="H27"/>
  <c r="AM26"/>
  <c r="AK26"/>
  <c r="Y26"/>
  <c r="H26"/>
  <c r="AM25"/>
  <c r="AK25"/>
  <c r="Y25"/>
  <c r="H25"/>
  <c r="L25" s="1"/>
  <c r="M25" s="1"/>
  <c r="AM24"/>
  <c r="AW24" s="1"/>
  <c r="AK24"/>
  <c r="Y24"/>
  <c r="H24"/>
  <c r="AM23"/>
  <c r="AW23" s="1"/>
  <c r="AK23"/>
  <c r="Y23"/>
  <c r="H23"/>
  <c r="H18"/>
  <c r="H17"/>
  <c r="H16"/>
  <c r="H15"/>
  <c r="H14"/>
  <c r="H13"/>
  <c r="H12"/>
  <c r="H11"/>
  <c r="H10"/>
  <c r="H9"/>
  <c r="H8"/>
  <c r="H7"/>
  <c r="H6"/>
  <c r="H5"/>
  <c r="H4"/>
  <c r="BM33" i="107"/>
  <c r="BN32"/>
  <c r="BM32"/>
  <c r="AD24"/>
  <c r="AG23" s="1"/>
  <c r="Z24"/>
  <c r="AM23"/>
  <c r="AW23" s="1"/>
  <c r="BP23" s="1"/>
  <c r="AK23"/>
  <c r="Y23"/>
  <c r="Y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6"/>
  <c r="BN32"/>
  <c r="BM32"/>
  <c r="AD24"/>
  <c r="AH24" s="1"/>
  <c r="Z24"/>
  <c r="AM23"/>
  <c r="AW23" s="1"/>
  <c r="BP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05"/>
  <c r="BN36"/>
  <c r="BM36"/>
  <c r="AD28"/>
  <c r="AH28" s="1"/>
  <c r="Z28"/>
  <c r="AM27"/>
  <c r="AW27" s="1"/>
  <c r="AK27"/>
  <c r="AK28" s="1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04"/>
  <c r="AM23"/>
  <c r="AW23" s="1"/>
  <c r="BP23" s="1"/>
  <c r="AK23"/>
  <c r="Y23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03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C28" i="92" l="1"/>
  <c r="AT28" s="1"/>
  <c r="AB28"/>
  <c r="I33" s="1"/>
  <c r="I34" s="1"/>
  <c r="AB28" i="93"/>
  <c r="I33" s="1"/>
  <c r="I34" s="1"/>
  <c r="AC26"/>
  <c r="AC28" s="1"/>
  <c r="AT28" s="1"/>
  <c r="AH23" i="82"/>
  <c r="AC28" i="90"/>
  <c r="AT28" s="1"/>
  <c r="AG23" i="81"/>
  <c r="AG24" s="1"/>
  <c r="AH23"/>
  <c r="AP23" i="82"/>
  <c r="CR23"/>
  <c r="BM40" i="134"/>
  <c r="BN40" s="1"/>
  <c r="BM40" i="135"/>
  <c r="BN40" s="1"/>
  <c r="AE23" i="87"/>
  <c r="AE24" s="1"/>
  <c r="AE25" i="137"/>
  <c r="AH24" i="87"/>
  <c r="AE23" i="88"/>
  <c r="AE24" s="1"/>
  <c r="AG26" i="137"/>
  <c r="AG24" i="87"/>
  <c r="AO26" i="136"/>
  <c r="AG23" i="137"/>
  <c r="AE26"/>
  <c r="AH23" i="138"/>
  <c r="H24" i="88"/>
  <c r="I26" s="1"/>
  <c r="AH27" i="137"/>
  <c r="AH23" i="86"/>
  <c r="AH25" i="135"/>
  <c r="AH24" i="137"/>
  <c r="AG23" i="86"/>
  <c r="AG24" s="1"/>
  <c r="BM36" i="88"/>
  <c r="BN36" s="1"/>
  <c r="AH23" i="87"/>
  <c r="AJ23" s="1"/>
  <c r="AJ24" s="1"/>
  <c r="AH23" i="88"/>
  <c r="AH26" i="135"/>
  <c r="AG23" i="88"/>
  <c r="AG24" s="1"/>
  <c r="BM36" i="81"/>
  <c r="BN36" s="1"/>
  <c r="AE26" i="135"/>
  <c r="AG26"/>
  <c r="AJ26" s="1"/>
  <c r="AO26" s="1"/>
  <c r="AH27"/>
  <c r="AJ27" s="1"/>
  <c r="AO27" s="1"/>
  <c r="AH23"/>
  <c r="AP27" i="133"/>
  <c r="AP26" i="134"/>
  <c r="AG23" i="135"/>
  <c r="AJ23" s="1"/>
  <c r="AO23" s="1"/>
  <c r="AH24"/>
  <c r="AG25" i="137"/>
  <c r="Y25" i="85"/>
  <c r="AE23" i="133"/>
  <c r="AE23" i="135"/>
  <c r="AG24"/>
  <c r="AJ24" s="1"/>
  <c r="AO24" s="1"/>
  <c r="BM36" i="82"/>
  <c r="BN36" s="1"/>
  <c r="AE24" i="135"/>
  <c r="AH28"/>
  <c r="AY23" i="137"/>
  <c r="BP23"/>
  <c r="H19" i="82"/>
  <c r="AH25" i="133"/>
  <c r="AG27" i="137"/>
  <c r="AG28" s="1"/>
  <c r="H19" i="88"/>
  <c r="AP23"/>
  <c r="N23" i="82"/>
  <c r="O23" s="1"/>
  <c r="P23" s="1"/>
  <c r="Q23" s="1"/>
  <c r="R23" s="1"/>
  <c r="AG25" i="133"/>
  <c r="AH26"/>
  <c r="L27" i="135"/>
  <c r="M27" s="1"/>
  <c r="N27" s="1"/>
  <c r="O27" s="1"/>
  <c r="AH27" i="133"/>
  <c r="AJ27" s="1"/>
  <c r="AH27" i="138"/>
  <c r="AE23" i="137"/>
  <c r="AK23" s="1"/>
  <c r="AP23" s="1"/>
  <c r="AE24"/>
  <c r="AG27" i="138"/>
  <c r="AJ27" s="1"/>
  <c r="AO27" s="1"/>
  <c r="H25" i="85"/>
  <c r="I27" s="1"/>
  <c r="BM36" i="87"/>
  <c r="BN36" s="1"/>
  <c r="AP23" i="81"/>
  <c r="AG23" i="82"/>
  <c r="Y24"/>
  <c r="AP23" i="87"/>
  <c r="H19" i="81"/>
  <c r="L23"/>
  <c r="M23" s="1"/>
  <c r="N23" s="1"/>
  <c r="AP25" i="134"/>
  <c r="AE25" i="138"/>
  <c r="H19" i="87"/>
  <c r="L23"/>
  <c r="M23" s="1"/>
  <c r="N23" s="1"/>
  <c r="CZ23" i="97"/>
  <c r="AB28"/>
  <c r="I33" s="1"/>
  <c r="I34" s="1"/>
  <c r="AC28"/>
  <c r="AT28" s="1"/>
  <c r="CD28" s="1"/>
  <c r="AB24" i="84"/>
  <c r="I29" s="1"/>
  <c r="I30" s="1"/>
  <c r="AC23"/>
  <c r="AC24" s="1"/>
  <c r="R23" i="83"/>
  <c r="AY23" i="82"/>
  <c r="BP23"/>
  <c r="H24"/>
  <c r="I26" s="1"/>
  <c r="BP23" i="81"/>
  <c r="CS23"/>
  <c r="CR23"/>
  <c r="N23" i="88"/>
  <c r="BP23"/>
  <c r="CS23"/>
  <c r="CR23"/>
  <c r="BP23" i="87"/>
  <c r="CS23"/>
  <c r="CR23"/>
  <c r="AP23" i="86"/>
  <c r="AE23"/>
  <c r="AE24" s="1"/>
  <c r="X24"/>
  <c r="BM36"/>
  <c r="BN36" s="1"/>
  <c r="H19"/>
  <c r="BP23"/>
  <c r="H24"/>
  <c r="I26" s="1"/>
  <c r="N23"/>
  <c r="CS23"/>
  <c r="AG24" i="85"/>
  <c r="AH25"/>
  <c r="AH23"/>
  <c r="AJ23" s="1"/>
  <c r="AE24"/>
  <c r="H19"/>
  <c r="X25"/>
  <c r="BM37"/>
  <c r="BN37" s="1"/>
  <c r="AE23"/>
  <c r="AH24"/>
  <c r="AK24" s="1"/>
  <c r="AP24" s="1"/>
  <c r="AY23"/>
  <c r="BP23"/>
  <c r="AY24"/>
  <c r="BP24"/>
  <c r="N24"/>
  <c r="N23"/>
  <c r="AP23" i="127"/>
  <c r="AE23" i="136"/>
  <c r="AP24" i="133"/>
  <c r="AH26" i="134"/>
  <c r="AJ26" s="1"/>
  <c r="AO26" s="1"/>
  <c r="AO25" i="135"/>
  <c r="AH27" i="134"/>
  <c r="AJ27" s="1"/>
  <c r="AP24"/>
  <c r="AW25"/>
  <c r="AY25" s="1"/>
  <c r="AO23" i="136"/>
  <c r="AP24" i="132"/>
  <c r="AH23" i="133"/>
  <c r="AG24"/>
  <c r="AG24" i="134"/>
  <c r="AG24" i="137"/>
  <c r="AK24" s="1"/>
  <c r="AP24" s="1"/>
  <c r="AE23" i="138"/>
  <c r="AG24"/>
  <c r="AJ24" s="1"/>
  <c r="AO24" s="1"/>
  <c r="AH25"/>
  <c r="AG26"/>
  <c r="AJ26" s="1"/>
  <c r="AO26" s="1"/>
  <c r="AG23" i="133"/>
  <c r="AE24"/>
  <c r="AE24" i="134"/>
  <c r="AE24" i="138"/>
  <c r="AG25"/>
  <c r="AE26"/>
  <c r="AH28"/>
  <c r="L27"/>
  <c r="M27" s="1"/>
  <c r="N27" s="1"/>
  <c r="H19" i="133"/>
  <c r="AO25" i="136"/>
  <c r="AW24" i="133"/>
  <c r="AY24" s="1"/>
  <c r="AP25"/>
  <c r="AG26"/>
  <c r="BM40"/>
  <c r="BN40" s="1"/>
  <c r="AE27" i="134"/>
  <c r="AE28" s="1"/>
  <c r="AE27" i="137"/>
  <c r="AE28" s="1"/>
  <c r="BP26" i="138"/>
  <c r="AP23" i="134"/>
  <c r="AE25" i="133"/>
  <c r="AH24" i="134"/>
  <c r="BM40" i="136"/>
  <c r="BN40" s="1"/>
  <c r="AG23" i="138"/>
  <c r="AJ23" s="1"/>
  <c r="AO23" s="1"/>
  <c r="AH24"/>
  <c r="AO25"/>
  <c r="AH26"/>
  <c r="AY26" i="135"/>
  <c r="BP26"/>
  <c r="AE28"/>
  <c r="AY23" i="134"/>
  <c r="BP23"/>
  <c r="V28" i="133"/>
  <c r="CP23"/>
  <c r="AP26"/>
  <c r="AE27"/>
  <c r="AE28" s="1"/>
  <c r="AG23" i="134"/>
  <c r="AH25"/>
  <c r="AE26"/>
  <c r="AG25" i="135"/>
  <c r="AG27"/>
  <c r="AG28" s="1"/>
  <c r="AO24" i="136"/>
  <c r="AE25"/>
  <c r="W28"/>
  <c r="CQ27"/>
  <c r="AP25" i="137"/>
  <c r="AE23" i="134"/>
  <c r="AG25"/>
  <c r="AE25" i="135"/>
  <c r="AG24" i="136"/>
  <c r="H19" i="137"/>
  <c r="AE25" i="134"/>
  <c r="X28"/>
  <c r="AH28"/>
  <c r="AG26" i="136"/>
  <c r="AH23" i="137"/>
  <c r="AH25"/>
  <c r="H19" i="138"/>
  <c r="H19" i="134"/>
  <c r="H19" i="136"/>
  <c r="AE26"/>
  <c r="L27"/>
  <c r="M27" s="1"/>
  <c r="N27" s="1"/>
  <c r="AH27"/>
  <c r="H19" i="135"/>
  <c r="AG23" i="136"/>
  <c r="BP26"/>
  <c r="AG27"/>
  <c r="AG28" s="1"/>
  <c r="BM40" i="137"/>
  <c r="BN40" s="1"/>
  <c r="BM40" i="138"/>
  <c r="BN40" s="1"/>
  <c r="AK28" i="133"/>
  <c r="AH23" i="134"/>
  <c r="AH25" i="136"/>
  <c r="X28"/>
  <c r="X28" i="138"/>
  <c r="BP25"/>
  <c r="AY25"/>
  <c r="AY24"/>
  <c r="BP24"/>
  <c r="AY23"/>
  <c r="BP23"/>
  <c r="N26"/>
  <c r="AY27"/>
  <c r="L25"/>
  <c r="M25" s="1"/>
  <c r="CS27"/>
  <c r="L23"/>
  <c r="M23" s="1"/>
  <c r="BP27"/>
  <c r="L24"/>
  <c r="M24" s="1"/>
  <c r="N24" s="1"/>
  <c r="CR27"/>
  <c r="AY26" i="137"/>
  <c r="BP26"/>
  <c r="AY24"/>
  <c r="BP24"/>
  <c r="O24"/>
  <c r="P24" s="1"/>
  <c r="Q24" s="1"/>
  <c r="R24" s="1"/>
  <c r="S24" s="1"/>
  <c r="N23"/>
  <c r="AK27"/>
  <c r="L25"/>
  <c r="M25" s="1"/>
  <c r="AH26"/>
  <c r="AK26" s="1"/>
  <c r="AP26" s="1"/>
  <c r="CS27"/>
  <c r="BP25"/>
  <c r="L26"/>
  <c r="M26" s="1"/>
  <c r="AW27"/>
  <c r="X28"/>
  <c r="L27"/>
  <c r="M27" s="1"/>
  <c r="CS26"/>
  <c r="N23" i="136"/>
  <c r="AY23"/>
  <c r="BP23"/>
  <c r="AY25"/>
  <c r="BP25"/>
  <c r="AY24"/>
  <c r="BP24"/>
  <c r="N26"/>
  <c r="AY27"/>
  <c r="AE24"/>
  <c r="L25"/>
  <c r="M25" s="1"/>
  <c r="AG25"/>
  <c r="AH26"/>
  <c r="CS27"/>
  <c r="AH28"/>
  <c r="CP27"/>
  <c r="V28"/>
  <c r="L24"/>
  <c r="M24" s="1"/>
  <c r="N24" s="1"/>
  <c r="CP26"/>
  <c r="CR27"/>
  <c r="AE27"/>
  <c r="AO27"/>
  <c r="BP27"/>
  <c r="BP25" i="135"/>
  <c r="AY25"/>
  <c r="N24"/>
  <c r="AY24"/>
  <c r="BP24"/>
  <c r="AY23"/>
  <c r="BP23"/>
  <c r="N23"/>
  <c r="X28"/>
  <c r="AY27"/>
  <c r="N26"/>
  <c r="L25"/>
  <c r="M25" s="1"/>
  <c r="N25" s="1"/>
  <c r="CS27"/>
  <c r="BP27"/>
  <c r="N24" i="134"/>
  <c r="AY26"/>
  <c r="N25"/>
  <c r="CR26"/>
  <c r="AY27"/>
  <c r="CS27"/>
  <c r="L23"/>
  <c r="M23" s="1"/>
  <c r="N23" s="1"/>
  <c r="BP24"/>
  <c r="L26"/>
  <c r="M26" s="1"/>
  <c r="BP26"/>
  <c r="L27"/>
  <c r="M27" s="1"/>
  <c r="AP27"/>
  <c r="BP27"/>
  <c r="BP27" i="133"/>
  <c r="AY27"/>
  <c r="BP26"/>
  <c r="AY26"/>
  <c r="AY23"/>
  <c r="BP23"/>
  <c r="AG28"/>
  <c r="AY25"/>
  <c r="BP25"/>
  <c r="L23"/>
  <c r="M23" s="1"/>
  <c r="AP23"/>
  <c r="AH24"/>
  <c r="CP24"/>
  <c r="N25"/>
  <c r="CS27"/>
  <c r="AH28"/>
  <c r="L24"/>
  <c r="M24" s="1"/>
  <c r="CP25"/>
  <c r="N26"/>
  <c r="CQ26"/>
  <c r="W28"/>
  <c r="AE26"/>
  <c r="L27"/>
  <c r="M27" s="1"/>
  <c r="AG23" i="114"/>
  <c r="AG24" s="1"/>
  <c r="AP26" i="132"/>
  <c r="AP24" i="131"/>
  <c r="AH25" i="132"/>
  <c r="AG25"/>
  <c r="AP25" i="131"/>
  <c r="AE23" i="132"/>
  <c r="AE24"/>
  <c r="AP25"/>
  <c r="AH27"/>
  <c r="AH23"/>
  <c r="AE23" i="131"/>
  <c r="AE25" i="132"/>
  <c r="AH26"/>
  <c r="AH23" i="113"/>
  <c r="AJ23" s="1"/>
  <c r="AO23" s="1"/>
  <c r="AP24" i="129"/>
  <c r="AP23" i="132"/>
  <c r="BM40" i="131"/>
  <c r="BN40" s="1"/>
  <c r="AP26"/>
  <c r="AG23" i="126"/>
  <c r="AE27" i="128"/>
  <c r="AE28" s="1"/>
  <c r="BM40" i="132"/>
  <c r="BN40" s="1"/>
  <c r="AW26"/>
  <c r="BP26" s="1"/>
  <c r="AG23" i="128"/>
  <c r="AH24"/>
  <c r="AY23" i="132"/>
  <c r="BP23"/>
  <c r="AG23" i="124"/>
  <c r="AE26" i="131"/>
  <c r="AG23" i="132"/>
  <c r="AG27"/>
  <c r="AG23" i="121"/>
  <c r="AG24" s="1"/>
  <c r="AE24" i="124"/>
  <c r="AE27" i="132"/>
  <c r="AE28" s="1"/>
  <c r="AE25" i="128"/>
  <c r="AG25" i="126"/>
  <c r="AH25" i="124"/>
  <c r="AP23" i="131"/>
  <c r="AH24"/>
  <c r="AG25"/>
  <c r="AP27"/>
  <c r="AG24" i="132"/>
  <c r="AJ24" s="1"/>
  <c r="AO24" s="1"/>
  <c r="AG26"/>
  <c r="AP27"/>
  <c r="AH23" i="126"/>
  <c r="H19" i="131"/>
  <c r="AG23"/>
  <c r="AG24"/>
  <c r="AH27"/>
  <c r="AJ27" s="1"/>
  <c r="H19" i="132"/>
  <c r="AE26"/>
  <c r="L27"/>
  <c r="M27" s="1"/>
  <c r="N27" s="1"/>
  <c r="AE27" i="131"/>
  <c r="AE28" s="1"/>
  <c r="AH26"/>
  <c r="BP24" i="132"/>
  <c r="AY24"/>
  <c r="L24"/>
  <c r="M24" s="1"/>
  <c r="BP27"/>
  <c r="N23"/>
  <c r="AY25"/>
  <c r="N25"/>
  <c r="CS27"/>
  <c r="BP25"/>
  <c r="L26"/>
  <c r="M26" s="1"/>
  <c r="AY24" i="131"/>
  <c r="BP24"/>
  <c r="AY23"/>
  <c r="BP23"/>
  <c r="AG28"/>
  <c r="N25"/>
  <c r="N23"/>
  <c r="AY25"/>
  <c r="AH23"/>
  <c r="AY26"/>
  <c r="AY27"/>
  <c r="CS27"/>
  <c r="AH28"/>
  <c r="L24"/>
  <c r="M24" s="1"/>
  <c r="N24" s="1"/>
  <c r="AH25"/>
  <c r="AE25"/>
  <c r="BP25"/>
  <c r="L26"/>
  <c r="M26" s="1"/>
  <c r="N26" s="1"/>
  <c r="AG26"/>
  <c r="L27"/>
  <c r="M27" s="1"/>
  <c r="N27" s="1"/>
  <c r="AH24" i="114"/>
  <c r="BM40" i="127"/>
  <c r="BN40" s="1"/>
  <c r="AP23" i="124"/>
  <c r="AH27" i="125"/>
  <c r="AJ27" s="1"/>
  <c r="AH27" i="127"/>
  <c r="BM40" i="129"/>
  <c r="BN40" s="1"/>
  <c r="AE27" i="124"/>
  <c r="AE28" s="1"/>
  <c r="AP26" i="129"/>
  <c r="AP25" i="128"/>
  <c r="AH28" i="124"/>
  <c r="AP23" i="129"/>
  <c r="AP26" i="127"/>
  <c r="AH26"/>
  <c r="AJ26" s="1"/>
  <c r="AO26" s="1"/>
  <c r="AP23" i="125"/>
  <c r="AH28" i="128"/>
  <c r="AH27" i="129"/>
  <c r="AG27" i="126"/>
  <c r="AG28" s="1"/>
  <c r="X28" i="124"/>
  <c r="AG25" i="125"/>
  <c r="AP26" i="130"/>
  <c r="BM40"/>
  <c r="BN40" s="1"/>
  <c r="Y28" i="128"/>
  <c r="AE23" i="126"/>
  <c r="AG24"/>
  <c r="AP25"/>
  <c r="AE23" i="125"/>
  <c r="AP26"/>
  <c r="AE23" i="129"/>
  <c r="AP25"/>
  <c r="AP23" i="128"/>
  <c r="H19" i="126"/>
  <c r="AE24"/>
  <c r="AH25"/>
  <c r="AH26" i="125"/>
  <c r="AE23" i="119"/>
  <c r="AE24" s="1"/>
  <c r="AE24" i="128"/>
  <c r="AG26"/>
  <c r="AH27"/>
  <c r="AJ27" s="1"/>
  <c r="AJ28" s="1"/>
  <c r="BM40"/>
  <c r="BN40" s="1"/>
  <c r="AE25" i="126"/>
  <c r="AH23" i="124"/>
  <c r="AH24"/>
  <c r="AP25"/>
  <c r="AG24" i="125"/>
  <c r="AP27"/>
  <c r="BP25" i="127"/>
  <c r="AY25"/>
  <c r="AP25"/>
  <c r="CS27" i="124"/>
  <c r="AP23" i="126"/>
  <c r="AP24"/>
  <c r="AP26" i="124"/>
  <c r="AP26" i="126"/>
  <c r="BM40" i="124"/>
  <c r="BN40" s="1"/>
  <c r="BP27" i="125"/>
  <c r="AP25" i="130"/>
  <c r="N25" i="128"/>
  <c r="O25" s="1"/>
  <c r="P25" s="1"/>
  <c r="Q25" s="1"/>
  <c r="R25" s="1"/>
  <c r="S25" s="1"/>
  <c r="AG28"/>
  <c r="H19" i="127"/>
  <c r="AG24"/>
  <c r="AE26"/>
  <c r="W28" i="129"/>
  <c r="H19" i="130"/>
  <c r="AP24" i="128"/>
  <c r="AH25"/>
  <c r="AG26" i="126"/>
  <c r="AJ26" s="1"/>
  <c r="AO26" s="1"/>
  <c r="AE23" i="124"/>
  <c r="AP27"/>
  <c r="AE24" i="127"/>
  <c r="H19" i="129"/>
  <c r="V28"/>
  <c r="AP27"/>
  <c r="N23" i="128"/>
  <c r="O23" s="1"/>
  <c r="N24"/>
  <c r="AG25"/>
  <c r="AH26"/>
  <c r="AE26" i="126"/>
  <c r="L27"/>
  <c r="M27" s="1"/>
  <c r="N27" s="1"/>
  <c r="CR23" i="124"/>
  <c r="AP24"/>
  <c r="AH27"/>
  <c r="AJ27" s="1"/>
  <c r="AP25" i="125"/>
  <c r="H19"/>
  <c r="BM36" i="123"/>
  <c r="BN36" s="1"/>
  <c r="AH23" i="127"/>
  <c r="AH25"/>
  <c r="AG27"/>
  <c r="AG28" s="1"/>
  <c r="AH24" i="129"/>
  <c r="AH26"/>
  <c r="AG27"/>
  <c r="AH28"/>
  <c r="AP23" i="130"/>
  <c r="AP24"/>
  <c r="H19" i="128"/>
  <c r="AH23"/>
  <c r="AG24"/>
  <c r="AE26"/>
  <c r="AH24" i="126"/>
  <c r="AH27"/>
  <c r="BM40"/>
  <c r="BN40" s="1"/>
  <c r="H19" i="124"/>
  <c r="AG24"/>
  <c r="AE25"/>
  <c r="AG26"/>
  <c r="AG23" i="125"/>
  <c r="AP24"/>
  <c r="AH25"/>
  <c r="AG26"/>
  <c r="AE27"/>
  <c r="AE28" s="1"/>
  <c r="BM40"/>
  <c r="BN40" s="1"/>
  <c r="AG23" i="127"/>
  <c r="AG25"/>
  <c r="AE27"/>
  <c r="AE28" s="1"/>
  <c r="AH23" i="129"/>
  <c r="AG24"/>
  <c r="AG26"/>
  <c r="AE27"/>
  <c r="AE28" s="1"/>
  <c r="AH23" i="130"/>
  <c r="AE24"/>
  <c r="BP27" i="124"/>
  <c r="AE26" i="108"/>
  <c r="AP23" i="118"/>
  <c r="AE23" i="127"/>
  <c r="AP24"/>
  <c r="AE25"/>
  <c r="AH28"/>
  <c r="AG23" i="129"/>
  <c r="AE24"/>
  <c r="AH25"/>
  <c r="AJ25" s="1"/>
  <c r="AO25" s="1"/>
  <c r="AE26"/>
  <c r="AH26" i="130"/>
  <c r="AJ26" s="1"/>
  <c r="AO26" s="1"/>
  <c r="AE23" i="128"/>
  <c r="AK28" i="124"/>
  <c r="AE24" i="125"/>
  <c r="AE25"/>
  <c r="CS27" i="130"/>
  <c r="AE23" i="108"/>
  <c r="AH24" i="127"/>
  <c r="W28" i="128"/>
  <c r="CC26" s="1"/>
  <c r="AP26"/>
  <c r="AK28" i="125"/>
  <c r="O26"/>
  <c r="AY23"/>
  <c r="BP23"/>
  <c r="AG28"/>
  <c r="BP24"/>
  <c r="AY24"/>
  <c r="H28"/>
  <c r="I30" s="1"/>
  <c r="AH23"/>
  <c r="AY26"/>
  <c r="L23"/>
  <c r="M23" s="1"/>
  <c r="AH24"/>
  <c r="N25"/>
  <c r="AW25"/>
  <c r="CS27"/>
  <c r="AH28"/>
  <c r="L24"/>
  <c r="M24" s="1"/>
  <c r="N24" s="1"/>
  <c r="N27"/>
  <c r="AE26"/>
  <c r="AY23" i="124"/>
  <c r="BP23"/>
  <c r="N26"/>
  <c r="AG28"/>
  <c r="BP24"/>
  <c r="AY24"/>
  <c r="N23"/>
  <c r="H28"/>
  <c r="I30" s="1"/>
  <c r="N24"/>
  <c r="AY26"/>
  <c r="AW25"/>
  <c r="L25"/>
  <c r="M25" s="1"/>
  <c r="N25" s="1"/>
  <c r="AG25"/>
  <c r="AH26"/>
  <c r="N27"/>
  <c r="AE26"/>
  <c r="N24" i="126"/>
  <c r="AY25"/>
  <c r="BP25"/>
  <c r="AY23"/>
  <c r="BP23"/>
  <c r="L23"/>
  <c r="M23" s="1"/>
  <c r="N23" s="1"/>
  <c r="N25"/>
  <c r="CS27"/>
  <c r="AH28"/>
  <c r="N26"/>
  <c r="AP27"/>
  <c r="BP24"/>
  <c r="BP26"/>
  <c r="BP27"/>
  <c r="BP26" i="128"/>
  <c r="AY26"/>
  <c r="AY27"/>
  <c r="BP27"/>
  <c r="BP23"/>
  <c r="BP24"/>
  <c r="V28"/>
  <c r="BP25"/>
  <c r="L26"/>
  <c r="M26" s="1"/>
  <c r="L27"/>
  <c r="M27" s="1"/>
  <c r="N27" s="1"/>
  <c r="AP27"/>
  <c r="AE23" i="130"/>
  <c r="AE26"/>
  <c r="AP27"/>
  <c r="AH25"/>
  <c r="AG25"/>
  <c r="AE25"/>
  <c r="AH27"/>
  <c r="AH24"/>
  <c r="AG27"/>
  <c r="AG28" s="1"/>
  <c r="AG24"/>
  <c r="AE27"/>
  <c r="AE28" s="1"/>
  <c r="AH28"/>
  <c r="AG23"/>
  <c r="N24"/>
  <c r="BP27"/>
  <c r="AY27"/>
  <c r="N23"/>
  <c r="N26"/>
  <c r="N25"/>
  <c r="AY23"/>
  <c r="AY25"/>
  <c r="BP24"/>
  <c r="BP26"/>
  <c r="H28"/>
  <c r="I30" s="1"/>
  <c r="N27"/>
  <c r="AY24"/>
  <c r="BP23"/>
  <c r="BP25"/>
  <c r="AY27" i="129"/>
  <c r="BP27"/>
  <c r="AY26"/>
  <c r="BP26"/>
  <c r="AY25"/>
  <c r="BP25"/>
  <c r="N23"/>
  <c r="AW23"/>
  <c r="L24"/>
  <c r="M24" s="1"/>
  <c r="N24" s="1"/>
  <c r="AY24"/>
  <c r="N25"/>
  <c r="L26"/>
  <c r="M26" s="1"/>
  <c r="N26" s="1"/>
  <c r="BP24"/>
  <c r="AK28"/>
  <c r="L27"/>
  <c r="M27" s="1"/>
  <c r="N27" s="1"/>
  <c r="AP27" i="127"/>
  <c r="BP27"/>
  <c r="AY27"/>
  <c r="N23"/>
  <c r="N25"/>
  <c r="N24"/>
  <c r="N26"/>
  <c r="AY23"/>
  <c r="BP24"/>
  <c r="BP26"/>
  <c r="H28"/>
  <c r="I30" s="1"/>
  <c r="N27"/>
  <c r="AG23" i="120"/>
  <c r="AG24" s="1"/>
  <c r="AE23"/>
  <c r="AE24" s="1"/>
  <c r="BM36" i="110"/>
  <c r="BN36" s="1"/>
  <c r="AG23" i="108"/>
  <c r="AH28"/>
  <c r="AH23" i="112"/>
  <c r="AH23" i="121"/>
  <c r="AE23" i="111"/>
  <c r="AE24" s="1"/>
  <c r="AE23" i="121"/>
  <c r="AE24" s="1"/>
  <c r="AH24" i="108"/>
  <c r="AG24"/>
  <c r="AH24" i="112"/>
  <c r="L23" i="115"/>
  <c r="M23" s="1"/>
  <c r="N23" s="1"/>
  <c r="O23" s="1"/>
  <c r="BM36"/>
  <c r="BN36" s="1"/>
  <c r="AP23" i="107"/>
  <c r="AH23"/>
  <c r="AJ23" s="1"/>
  <c r="AO23" s="1"/>
  <c r="AE24" i="108"/>
  <c r="AG25"/>
  <c r="AE23" i="113"/>
  <c r="AE24" s="1"/>
  <c r="BM36" i="122"/>
  <c r="BN36" s="1"/>
  <c r="AE23" i="107"/>
  <c r="AE24" s="1"/>
  <c r="AE25" i="108"/>
  <c r="H19" i="110"/>
  <c r="AE23" i="106"/>
  <c r="AE24" s="1"/>
  <c r="AG26" i="108"/>
  <c r="BM36" i="116"/>
  <c r="BN36" s="1"/>
  <c r="AE23" i="123"/>
  <c r="AE24" s="1"/>
  <c r="AH27" i="108"/>
  <c r="AJ27" s="1"/>
  <c r="AG23" i="112"/>
  <c r="AG24" s="1"/>
  <c r="AH23" i="108"/>
  <c r="AE27"/>
  <c r="AE28" s="1"/>
  <c r="AE23" i="114"/>
  <c r="AE24" s="1"/>
  <c r="AH23" i="119"/>
  <c r="BM36" i="107"/>
  <c r="BN36" s="1"/>
  <c r="AP23" i="115"/>
  <c r="AH23" i="118"/>
  <c r="BM36" i="119"/>
  <c r="BN36" s="1"/>
  <c r="BM36" i="121"/>
  <c r="BN36" s="1"/>
  <c r="AP27" i="108"/>
  <c r="AP23" i="117"/>
  <c r="AG23" i="118"/>
  <c r="AG24" s="1"/>
  <c r="AP23" i="120"/>
  <c r="AH23" i="123"/>
  <c r="AH23" i="106"/>
  <c r="AH24" i="107"/>
  <c r="AH23" i="111"/>
  <c r="AE23" i="117"/>
  <c r="AE24" s="1"/>
  <c r="AG23" i="106"/>
  <c r="AG24" s="1"/>
  <c r="AG23" i="111"/>
  <c r="AG24" s="1"/>
  <c r="AG23" i="116"/>
  <c r="AG24" s="1"/>
  <c r="AH24" i="118"/>
  <c r="BM36" i="120"/>
  <c r="BN36" s="1"/>
  <c r="H19" i="122"/>
  <c r="AP23" i="121"/>
  <c r="AG24" i="107"/>
  <c r="AP23" i="108"/>
  <c r="AP24"/>
  <c r="AH25"/>
  <c r="AJ25" s="1"/>
  <c r="AO25" s="1"/>
  <c r="AH26"/>
  <c r="BM40"/>
  <c r="BN40" s="1"/>
  <c r="AP23" i="109"/>
  <c r="AG23" i="113"/>
  <c r="AG24" s="1"/>
  <c r="BM36" i="114"/>
  <c r="BN36" s="1"/>
  <c r="AK24" i="115"/>
  <c r="AE23" i="116"/>
  <c r="AE24" s="1"/>
  <c r="AH24"/>
  <c r="AG23" i="119"/>
  <c r="AG24" s="1"/>
  <c r="AG23" i="123"/>
  <c r="AG24" s="1"/>
  <c r="AH23" i="109"/>
  <c r="H19" i="118"/>
  <c r="AK24" i="120"/>
  <c r="AG23" i="109"/>
  <c r="AG24" s="1"/>
  <c r="BM36"/>
  <c r="BN36" s="1"/>
  <c r="H19" i="111"/>
  <c r="BP23" i="112"/>
  <c r="H19" i="116"/>
  <c r="AH23" i="120"/>
  <c r="H19" i="107"/>
  <c r="AE23" i="109"/>
  <c r="AE24" s="1"/>
  <c r="H19" i="112"/>
  <c r="H19" i="113"/>
  <c r="BM36" i="117"/>
  <c r="BN36" s="1"/>
  <c r="H19" i="119"/>
  <c r="H19" i="123"/>
  <c r="H19" i="114"/>
  <c r="H19" i="117"/>
  <c r="H19" i="109"/>
  <c r="AE23" i="110"/>
  <c r="AP23" i="111"/>
  <c r="AP23" i="114"/>
  <c r="H19" i="115"/>
  <c r="AP23" i="116"/>
  <c r="H19" i="121"/>
  <c r="AP23" i="122"/>
  <c r="H19" i="108"/>
  <c r="AP25"/>
  <c r="BM36" i="111"/>
  <c r="BN36" s="1"/>
  <c r="AP23" i="112"/>
  <c r="BM36"/>
  <c r="BN36" s="1"/>
  <c r="BM36" i="113"/>
  <c r="BN36" s="1"/>
  <c r="BM36" i="118"/>
  <c r="BN36" s="1"/>
  <c r="AP23" i="119"/>
  <c r="H19" i="120"/>
  <c r="AP23" i="123"/>
  <c r="BP23"/>
  <c r="AY23"/>
  <c r="AK24"/>
  <c r="L23"/>
  <c r="M23" s="1"/>
  <c r="H24"/>
  <c r="I26" s="1"/>
  <c r="N23" i="122"/>
  <c r="AH23"/>
  <c r="AK24"/>
  <c r="AG23"/>
  <c r="H24"/>
  <c r="I26" s="1"/>
  <c r="AE23"/>
  <c r="AE24" s="1"/>
  <c r="BP23"/>
  <c r="BP23" i="121"/>
  <c r="AY23"/>
  <c r="AK24"/>
  <c r="L23"/>
  <c r="M23" s="1"/>
  <c r="N23" s="1"/>
  <c r="H24"/>
  <c r="I26" s="1"/>
  <c r="AY23" i="120"/>
  <c r="L23"/>
  <c r="M23" s="1"/>
  <c r="N23" s="1"/>
  <c r="BP23" i="119"/>
  <c r="AY23"/>
  <c r="AK24"/>
  <c r="L23"/>
  <c r="M23" s="1"/>
  <c r="H24"/>
  <c r="I26" s="1"/>
  <c r="BP23" i="118"/>
  <c r="AY23"/>
  <c r="AK24"/>
  <c r="L23"/>
  <c r="M23" s="1"/>
  <c r="N23" s="1"/>
  <c r="H24"/>
  <c r="I26" s="1"/>
  <c r="AK24" i="117"/>
  <c r="BP23"/>
  <c r="AY23"/>
  <c r="AH23"/>
  <c r="L23"/>
  <c r="M23" s="1"/>
  <c r="AG23"/>
  <c r="H24"/>
  <c r="I26" s="1"/>
  <c r="AY23" i="116"/>
  <c r="L23"/>
  <c r="M23" s="1"/>
  <c r="N23" s="1"/>
  <c r="AK24"/>
  <c r="BP23"/>
  <c r="AH23" i="115"/>
  <c r="AG23"/>
  <c r="AE23"/>
  <c r="AE24" s="1"/>
  <c r="BP23"/>
  <c r="BP23" i="114"/>
  <c r="AY23"/>
  <c r="L23"/>
  <c r="M23" s="1"/>
  <c r="N23" s="1"/>
  <c r="H24"/>
  <c r="I26" s="1"/>
  <c r="AY23" i="113"/>
  <c r="L23"/>
  <c r="M23" s="1"/>
  <c r="N23" s="1"/>
  <c r="AK24" i="112"/>
  <c r="L23"/>
  <c r="M23" s="1"/>
  <c r="N23" s="1"/>
  <c r="H24"/>
  <c r="I26" s="1"/>
  <c r="AK24" i="111"/>
  <c r="L23"/>
  <c r="M23" s="1"/>
  <c r="N23" s="1"/>
  <c r="H24"/>
  <c r="I26" s="1"/>
  <c r="BP23"/>
  <c r="AY23" i="110"/>
  <c r="AH23"/>
  <c r="L23"/>
  <c r="M23" s="1"/>
  <c r="N23" s="1"/>
  <c r="AG23"/>
  <c r="AY23" i="109"/>
  <c r="AK24"/>
  <c r="L23"/>
  <c r="M23" s="1"/>
  <c r="N23" s="1"/>
  <c r="H24"/>
  <c r="I26" s="1"/>
  <c r="BP23"/>
  <c r="BP27" i="108"/>
  <c r="AY27"/>
  <c r="N25"/>
  <c r="BP24"/>
  <c r="AY24"/>
  <c r="L23"/>
  <c r="M23" s="1"/>
  <c r="N23" s="1"/>
  <c r="L24"/>
  <c r="M24" s="1"/>
  <c r="N24" s="1"/>
  <c r="AG28"/>
  <c r="AW26"/>
  <c r="AK28"/>
  <c r="AY23"/>
  <c r="AW25"/>
  <c r="L27"/>
  <c r="M27" s="1"/>
  <c r="H28"/>
  <c r="I30" s="1"/>
  <c r="BP23"/>
  <c r="L26"/>
  <c r="M26" s="1"/>
  <c r="N26" s="1"/>
  <c r="AP26"/>
  <c r="AY23" i="107"/>
  <c r="AK24"/>
  <c r="L23"/>
  <c r="M23" s="1"/>
  <c r="N23" s="1"/>
  <c r="AG26" i="105"/>
  <c r="AE25"/>
  <c r="AH26"/>
  <c r="AH27"/>
  <c r="AG27"/>
  <c r="AG28" s="1"/>
  <c r="AE27"/>
  <c r="AE28" s="1"/>
  <c r="AH23"/>
  <c r="AE23"/>
  <c r="H19" i="104"/>
  <c r="L23"/>
  <c r="M23" s="1"/>
  <c r="N23" s="1"/>
  <c r="BM40" i="105"/>
  <c r="BN40" s="1"/>
  <c r="H28"/>
  <c r="I30" s="1"/>
  <c r="AG24"/>
  <c r="AP25"/>
  <c r="H24" i="106"/>
  <c r="I26" s="1"/>
  <c r="AP23" i="104"/>
  <c r="AH25" i="105"/>
  <c r="AP26"/>
  <c r="H19" i="103"/>
  <c r="H19" i="105"/>
  <c r="AP23"/>
  <c r="AH24"/>
  <c r="AG25"/>
  <c r="AE26"/>
  <c r="H19" i="106"/>
  <c r="AP23"/>
  <c r="AY23" i="104"/>
  <c r="AE24" i="105"/>
  <c r="AP27"/>
  <c r="BM36" i="106"/>
  <c r="BN36" s="1"/>
  <c r="AP23" i="103"/>
  <c r="AG23" i="105"/>
  <c r="N23" i="106"/>
  <c r="AY23"/>
  <c r="BP27" i="105"/>
  <c r="AY27"/>
  <c r="BP26"/>
  <c r="AY26"/>
  <c r="N25"/>
  <c r="AY25"/>
  <c r="BP25"/>
  <c r="AY24"/>
  <c r="BP24"/>
  <c r="L24"/>
  <c r="M24" s="1"/>
  <c r="N24" s="1"/>
  <c r="AP24"/>
  <c r="N27"/>
  <c r="N26"/>
  <c r="AY23"/>
  <c r="L23"/>
  <c r="M23" s="1"/>
  <c r="N23" s="1"/>
  <c r="AK24" i="104"/>
  <c r="BP23" i="103"/>
  <c r="AY23"/>
  <c r="AK24"/>
  <c r="N23"/>
  <c r="H24"/>
  <c r="CD28" i="92" l="1"/>
  <c r="AU28"/>
  <c r="CD27" i="93"/>
  <c r="AU28"/>
  <c r="AJ23" i="137"/>
  <c r="AO23" s="1"/>
  <c r="AJ23" i="82"/>
  <c r="AJ24" s="1"/>
  <c r="AU28" i="90"/>
  <c r="CD30"/>
  <c r="AJ25" i="133"/>
  <c r="AO25" s="1"/>
  <c r="AJ23" i="81"/>
  <c r="AJ24" s="1"/>
  <c r="AJ27" i="137"/>
  <c r="AJ28" s="1"/>
  <c r="AK26" i="135"/>
  <c r="AP26" s="1"/>
  <c r="AK24"/>
  <c r="AP24" s="1"/>
  <c r="AJ23" i="86"/>
  <c r="AO23" s="1"/>
  <c r="P27" i="135"/>
  <c r="Q27" s="1"/>
  <c r="R27" s="1"/>
  <c r="S27" s="1"/>
  <c r="AJ25" i="132"/>
  <c r="AO25" s="1"/>
  <c r="AK23" i="135"/>
  <c r="AP23" s="1"/>
  <c r="AK24" i="138"/>
  <c r="AP24" s="1"/>
  <c r="AG24" i="82"/>
  <c r="AJ23" i="88"/>
  <c r="AO23" i="87"/>
  <c r="AJ24" i="134"/>
  <c r="AO24" s="1"/>
  <c r="AJ28" i="135"/>
  <c r="AK23" i="136"/>
  <c r="AP23" s="1"/>
  <c r="AJ28" i="138"/>
  <c r="AJ25" i="137"/>
  <c r="AO25" s="1"/>
  <c r="AJ26" i="133"/>
  <c r="AO26" s="1"/>
  <c r="AJ24" i="85"/>
  <c r="AO24" s="1"/>
  <c r="AJ23" i="126"/>
  <c r="AO23" s="1"/>
  <c r="AG28" i="138"/>
  <c r="AJ23" i="124"/>
  <c r="AO23" s="1"/>
  <c r="AJ25" i="126"/>
  <c r="AO25" s="1"/>
  <c r="AK27" i="138"/>
  <c r="AJ24" i="126"/>
  <c r="AO24" s="1"/>
  <c r="BP25" i="134"/>
  <c r="AJ23" i="133"/>
  <c r="AO23" s="1"/>
  <c r="AU28" i="97"/>
  <c r="CD26" i="84"/>
  <c r="CU23" s="1"/>
  <c r="AT24"/>
  <c r="AU24" s="1"/>
  <c r="R24" i="83"/>
  <c r="I27" s="1"/>
  <c r="S23"/>
  <c r="X23" s="1"/>
  <c r="R24" i="82"/>
  <c r="I27" s="1"/>
  <c r="S23"/>
  <c r="O23" i="81"/>
  <c r="P23" s="1"/>
  <c r="Q23" s="1"/>
  <c r="O23" i="88"/>
  <c r="O23" i="87"/>
  <c r="O23" i="86"/>
  <c r="P23" s="1"/>
  <c r="Q23" s="1"/>
  <c r="AG25" i="85"/>
  <c r="AK23"/>
  <c r="AK25" s="1"/>
  <c r="AE25"/>
  <c r="AO23"/>
  <c r="O24"/>
  <c r="P24" s="1"/>
  <c r="Q24" s="1"/>
  <c r="O23"/>
  <c r="AJ28" i="134"/>
  <c r="AO27"/>
  <c r="AK25" i="136"/>
  <c r="AP25" s="1"/>
  <c r="AJ23" i="128"/>
  <c r="AO23" s="1"/>
  <c r="AJ24" i="133"/>
  <c r="AO24" s="1"/>
  <c r="AK23" i="138"/>
  <c r="AP23" s="1"/>
  <c r="AK26" i="136"/>
  <c r="AP26" s="1"/>
  <c r="BP24" i="133"/>
  <c r="AJ24" i="137"/>
  <c r="AO24" s="1"/>
  <c r="AK24" i="136"/>
  <c r="AP24" s="1"/>
  <c r="AK25" i="138"/>
  <c r="AP25" s="1"/>
  <c r="AK26"/>
  <c r="AP26" s="1"/>
  <c r="AJ24" i="108"/>
  <c r="AO24" s="1"/>
  <c r="AJ26" i="137"/>
  <c r="AO26" s="1"/>
  <c r="AK25" i="135"/>
  <c r="AP25" s="1"/>
  <c r="AJ26" i="132"/>
  <c r="AO26" s="1"/>
  <c r="AJ23" i="134"/>
  <c r="AO23" s="1"/>
  <c r="AK27" i="135"/>
  <c r="V24" i="137"/>
  <c r="CP24" s="1"/>
  <c r="W24"/>
  <c r="CQ24" s="1"/>
  <c r="AJ25" i="134"/>
  <c r="AO25" s="1"/>
  <c r="O24" i="138"/>
  <c r="P24" s="1"/>
  <c r="Q24" s="1"/>
  <c r="O27"/>
  <c r="O26"/>
  <c r="P26" s="1"/>
  <c r="Q26" s="1"/>
  <c r="N23"/>
  <c r="N25"/>
  <c r="AI24" i="137"/>
  <c r="AN24" s="1"/>
  <c r="AA24"/>
  <c r="AX28"/>
  <c r="AC24"/>
  <c r="CC24"/>
  <c r="BP27"/>
  <c r="AY27"/>
  <c r="O23"/>
  <c r="P23" s="1"/>
  <c r="Q23" s="1"/>
  <c r="AK28"/>
  <c r="AP27"/>
  <c r="N26"/>
  <c r="N25"/>
  <c r="N27"/>
  <c r="O24" i="136"/>
  <c r="O27"/>
  <c r="P27" s="1"/>
  <c r="Q27" s="1"/>
  <c r="O23"/>
  <c r="P23" s="1"/>
  <c r="Q23" s="1"/>
  <c r="O26"/>
  <c r="P26" s="1"/>
  <c r="Q26" s="1"/>
  <c r="N25"/>
  <c r="AE28"/>
  <c r="AK27"/>
  <c r="O25" i="135"/>
  <c r="O26"/>
  <c r="O23"/>
  <c r="P23" s="1"/>
  <c r="Q23" s="1"/>
  <c r="O24"/>
  <c r="N27" i="134"/>
  <c r="O24"/>
  <c r="P24" s="1"/>
  <c r="Q24" s="1"/>
  <c r="O25"/>
  <c r="P25" s="1"/>
  <c r="Q25" s="1"/>
  <c r="N26"/>
  <c r="O23"/>
  <c r="O25" i="133"/>
  <c r="P25" s="1"/>
  <c r="Q25" s="1"/>
  <c r="O26"/>
  <c r="P26" s="1"/>
  <c r="Q26" s="1"/>
  <c r="AJ28"/>
  <c r="AO27"/>
  <c r="N24"/>
  <c r="N23"/>
  <c r="N27"/>
  <c r="AJ23" i="121"/>
  <c r="AJ24" s="1"/>
  <c r="AJ23" i="114"/>
  <c r="AJ24" s="1"/>
  <c r="AJ25" i="131"/>
  <c r="AO25" s="1"/>
  <c r="AJ24" i="128"/>
  <c r="AO24" s="1"/>
  <c r="AJ23" i="132"/>
  <c r="AO23" s="1"/>
  <c r="AJ24" i="113"/>
  <c r="AJ23" i="131"/>
  <c r="AO23" s="1"/>
  <c r="AJ26"/>
  <c r="AO26" s="1"/>
  <c r="AJ25" i="124"/>
  <c r="AO25" s="1"/>
  <c r="AJ23" i="130"/>
  <c r="AO23" s="1"/>
  <c r="AY26" i="132"/>
  <c r="AJ23" i="112"/>
  <c r="AO23" s="1"/>
  <c r="AJ25" i="125"/>
  <c r="AO25" s="1"/>
  <c r="AJ26"/>
  <c r="AO26" s="1"/>
  <c r="AJ27" i="132"/>
  <c r="AG28"/>
  <c r="AJ24" i="124"/>
  <c r="AO24" s="1"/>
  <c r="AJ24" i="131"/>
  <c r="AO24" s="1"/>
  <c r="O27" i="132"/>
  <c r="P27" s="1"/>
  <c r="Q27" s="1"/>
  <c r="N24"/>
  <c r="N26"/>
  <c r="O25"/>
  <c r="O23"/>
  <c r="P23" s="1"/>
  <c r="Q23" s="1"/>
  <c r="O24" i="131"/>
  <c r="P24" s="1"/>
  <c r="Q24" s="1"/>
  <c r="R24" s="1"/>
  <c r="S24" s="1"/>
  <c r="O26"/>
  <c r="O23"/>
  <c r="AJ28"/>
  <c r="AO27"/>
  <c r="O27"/>
  <c r="P27" s="1"/>
  <c r="Q27" s="1"/>
  <c r="R27" s="1"/>
  <c r="O25"/>
  <c r="P25" s="1"/>
  <c r="Q25" s="1"/>
  <c r="AJ27" i="127"/>
  <c r="AO27" s="1"/>
  <c r="AJ27" i="126"/>
  <c r="AO27" s="1"/>
  <c r="AJ24" i="129"/>
  <c r="AO24" s="1"/>
  <c r="AJ24" i="125"/>
  <c r="AO24" s="1"/>
  <c r="AK23" i="113"/>
  <c r="AP23" s="1"/>
  <c r="AO27" i="128"/>
  <c r="AJ26"/>
  <c r="AO26" s="1"/>
  <c r="AJ26" i="124"/>
  <c r="AO26" s="1"/>
  <c r="AJ23" i="108"/>
  <c r="AO23" s="1"/>
  <c r="AJ23" i="118"/>
  <c r="AO23" s="1"/>
  <c r="P23" i="128"/>
  <c r="Q23" s="1"/>
  <c r="R23" s="1"/>
  <c r="S23" s="1"/>
  <c r="X23" s="1"/>
  <c r="AJ24" i="127"/>
  <c r="AO24" s="1"/>
  <c r="AJ26" i="129"/>
  <c r="AO26" s="1"/>
  <c r="AJ23"/>
  <c r="AO23" s="1"/>
  <c r="AJ23" i="109"/>
  <c r="AJ24" s="1"/>
  <c r="AJ24" i="107"/>
  <c r="AJ23" i="125"/>
  <c r="AO23" s="1"/>
  <c r="AJ23" i="127"/>
  <c r="AO23" s="1"/>
  <c r="AJ25"/>
  <c r="AO25" s="1"/>
  <c r="AJ23" i="106"/>
  <c r="AO23" s="1"/>
  <c r="AJ27" i="129"/>
  <c r="AG28"/>
  <c r="O24" i="128"/>
  <c r="P24" s="1"/>
  <c r="Q24" s="1"/>
  <c r="AJ26" i="108"/>
  <c r="AO26" s="1"/>
  <c r="AJ25" i="128"/>
  <c r="AO25" s="1"/>
  <c r="O24" i="125"/>
  <c r="P24" s="1"/>
  <c r="Q24" s="1"/>
  <c r="R24" s="1"/>
  <c r="S24" s="1"/>
  <c r="X24" s="1"/>
  <c r="CR24" s="1"/>
  <c r="BP25"/>
  <c r="AY25"/>
  <c r="AO27"/>
  <c r="AJ28"/>
  <c r="P26"/>
  <c r="Q26" s="1"/>
  <c r="R26" s="1"/>
  <c r="S26" s="1"/>
  <c r="X26" s="1"/>
  <c r="N23"/>
  <c r="O27"/>
  <c r="P27" s="1"/>
  <c r="Q27" s="1"/>
  <c r="O25"/>
  <c r="O27" i="124"/>
  <c r="O26"/>
  <c r="P26" s="1"/>
  <c r="Q26" s="1"/>
  <c r="O24"/>
  <c r="P24" s="1"/>
  <c r="Q24" s="1"/>
  <c r="O25"/>
  <c r="BP25"/>
  <c r="AY25"/>
  <c r="O23"/>
  <c r="P23" s="1"/>
  <c r="Q23" s="1"/>
  <c r="AO27"/>
  <c r="AJ28"/>
  <c r="O27" i="126"/>
  <c r="P27" s="1"/>
  <c r="Q27" s="1"/>
  <c r="O23"/>
  <c r="P23" s="1"/>
  <c r="Q23" s="1"/>
  <c r="O25"/>
  <c r="P25" s="1"/>
  <c r="Q25" s="1"/>
  <c r="O24"/>
  <c r="O26"/>
  <c r="O27" i="128"/>
  <c r="P27" s="1"/>
  <c r="Q27" s="1"/>
  <c r="R27" s="1"/>
  <c r="X25"/>
  <c r="AI25"/>
  <c r="AN25" s="1"/>
  <c r="AA25"/>
  <c r="CT25" s="1"/>
  <c r="N26"/>
  <c r="AJ24" i="130"/>
  <c r="AO24" s="1"/>
  <c r="AJ25"/>
  <c r="AO25" s="1"/>
  <c r="AJ27"/>
  <c r="AO27" s="1"/>
  <c r="O23"/>
  <c r="O24"/>
  <c r="O25"/>
  <c r="O27"/>
  <c r="O26"/>
  <c r="O26" i="129"/>
  <c r="O27"/>
  <c r="O24"/>
  <c r="P24" s="1"/>
  <c r="Q24" s="1"/>
  <c r="R24" s="1"/>
  <c r="S24" s="1"/>
  <c r="O23"/>
  <c r="AY23"/>
  <c r="BP23"/>
  <c r="O25"/>
  <c r="P25" s="1"/>
  <c r="Q25" s="1"/>
  <c r="O26" i="127"/>
  <c r="P26" s="1"/>
  <c r="Q26" s="1"/>
  <c r="O23"/>
  <c r="P23" s="1"/>
  <c r="Q23" s="1"/>
  <c r="O25"/>
  <c r="P25" s="1"/>
  <c r="Q25" s="1"/>
  <c r="O27"/>
  <c r="O24"/>
  <c r="P24" s="1"/>
  <c r="Q24" s="1"/>
  <c r="AJ28" i="108"/>
  <c r="AO27"/>
  <c r="AJ23" i="120"/>
  <c r="AJ23" i="111"/>
  <c r="AO23" s="1"/>
  <c r="AJ23" i="119"/>
  <c r="AJ24" s="1"/>
  <c r="AJ23" i="105"/>
  <c r="AO23" s="1"/>
  <c r="AJ23" i="116"/>
  <c r="AO23" s="1"/>
  <c r="AJ27" i="105"/>
  <c r="AJ28" s="1"/>
  <c r="P23" i="115"/>
  <c r="Q23" s="1"/>
  <c r="R23" s="1"/>
  <c r="R24" s="1"/>
  <c r="I27" s="1"/>
  <c r="AJ23" i="123"/>
  <c r="AJ24" s="1"/>
  <c r="AE24" i="110"/>
  <c r="AK23"/>
  <c r="AJ26" i="105"/>
  <c r="AO26" s="1"/>
  <c r="N23" i="123"/>
  <c r="O23" i="122"/>
  <c r="P23" s="1"/>
  <c r="Q23" s="1"/>
  <c r="AG24"/>
  <c r="AJ23"/>
  <c r="O23" i="121"/>
  <c r="O23" i="120"/>
  <c r="N23" i="119"/>
  <c r="O23" i="118"/>
  <c r="AJ23" i="117"/>
  <c r="AG24"/>
  <c r="N23"/>
  <c r="O23" i="116"/>
  <c r="AG24" i="115"/>
  <c r="AJ23"/>
  <c r="O23" i="114"/>
  <c r="O23" i="113"/>
  <c r="O23" i="112"/>
  <c r="O23" i="111"/>
  <c r="P23" s="1"/>
  <c r="Q23" s="1"/>
  <c r="O23" i="110"/>
  <c r="AG24"/>
  <c r="AJ23"/>
  <c r="O23" i="109"/>
  <c r="O23" i="108"/>
  <c r="P23" s="1"/>
  <c r="Q23" s="1"/>
  <c r="R23" s="1"/>
  <c r="S23" s="1"/>
  <c r="X23" s="1"/>
  <c r="O26"/>
  <c r="P26" s="1"/>
  <c r="Q26" s="1"/>
  <c r="O24"/>
  <c r="P24" s="1"/>
  <c r="Q24" s="1"/>
  <c r="R24" s="1"/>
  <c r="S24" s="1"/>
  <c r="X24" s="1"/>
  <c r="BP26"/>
  <c r="AY26"/>
  <c r="O25"/>
  <c r="P25" s="1"/>
  <c r="Q25" s="1"/>
  <c r="AY25"/>
  <c r="BP25"/>
  <c r="N27"/>
  <c r="O23" i="107"/>
  <c r="AJ24" i="105"/>
  <c r="AO24" s="1"/>
  <c r="AJ25"/>
  <c r="AO25" s="1"/>
  <c r="O23" i="106"/>
  <c r="O23" i="105"/>
  <c r="P23" s="1"/>
  <c r="Q23" s="1"/>
  <c r="O24"/>
  <c r="P24" s="1"/>
  <c r="Q24" s="1"/>
  <c r="R24" s="1"/>
  <c r="S24" s="1"/>
  <c r="O27"/>
  <c r="O25"/>
  <c r="P25" s="1"/>
  <c r="Q25" s="1"/>
  <c r="O26"/>
  <c r="P26" s="1"/>
  <c r="Q26" s="1"/>
  <c r="O23" i="104"/>
  <c r="O23" i="103"/>
  <c r="CC26" i="92" l="1"/>
  <c r="CD26"/>
  <c r="CC27" i="97"/>
  <c r="CD27"/>
  <c r="DB23" s="1"/>
  <c r="AO23" i="82"/>
  <c r="AO23" i="81"/>
  <c r="AO27" i="137"/>
  <c r="AJ24" i="86"/>
  <c r="R28" i="135"/>
  <c r="I31" s="1"/>
  <c r="AJ24" i="88"/>
  <c r="AO23"/>
  <c r="AO23" i="109"/>
  <c r="AJ25" i="85"/>
  <c r="AK28" i="138"/>
  <c r="AP27"/>
  <c r="CR23" i="83"/>
  <c r="X24"/>
  <c r="CC24" s="1"/>
  <c r="CX23" i="84"/>
  <c r="CZ23"/>
  <c r="CC23" i="83"/>
  <c r="CD25" s="1"/>
  <c r="W23"/>
  <c r="AI23"/>
  <c r="S24"/>
  <c r="I28" s="1"/>
  <c r="V23"/>
  <c r="AA23"/>
  <c r="W23" i="82"/>
  <c r="AI23"/>
  <c r="AA23"/>
  <c r="V23"/>
  <c r="S24"/>
  <c r="I28" s="1"/>
  <c r="CC23"/>
  <c r="R23" i="81"/>
  <c r="P23" i="88"/>
  <c r="Q23" s="1"/>
  <c r="R23" s="1"/>
  <c r="P23" i="87"/>
  <c r="Q23" s="1"/>
  <c r="R23" s="1"/>
  <c r="R23" i="86"/>
  <c r="AP23" i="85"/>
  <c r="P23"/>
  <c r="Q23" s="1"/>
  <c r="R23" s="1"/>
  <c r="R24"/>
  <c r="S24" s="1"/>
  <c r="AR24" i="137"/>
  <c r="AX24" s="1"/>
  <c r="AZ24" s="1"/>
  <c r="BO24" s="1"/>
  <c r="AJ24" i="112"/>
  <c r="AK28" i="135"/>
  <c r="AP27"/>
  <c r="R24" i="138"/>
  <c r="S24" s="1"/>
  <c r="O25"/>
  <c r="P27"/>
  <c r="Q27" s="1"/>
  <c r="R27" s="1"/>
  <c r="R26"/>
  <c r="S26" s="1"/>
  <c r="O23"/>
  <c r="P23" s="1"/>
  <c r="Q23" s="1"/>
  <c r="CT24" i="137"/>
  <c r="AB24"/>
  <c r="R23"/>
  <c r="S23" s="1"/>
  <c r="O25"/>
  <c r="O27"/>
  <c r="P27" s="1"/>
  <c r="Q27" s="1"/>
  <c r="O26"/>
  <c r="P26" s="1"/>
  <c r="Q26" s="1"/>
  <c r="AK28" i="136"/>
  <c r="AP27"/>
  <c r="R27"/>
  <c r="P24"/>
  <c r="Q24" s="1"/>
  <c r="R24" s="1"/>
  <c r="S24" s="1"/>
  <c r="R23"/>
  <c r="S23" s="1"/>
  <c r="R26"/>
  <c r="S26" s="1"/>
  <c r="O25"/>
  <c r="P25" s="1"/>
  <c r="Q25" s="1"/>
  <c r="P24" i="135"/>
  <c r="Q24" s="1"/>
  <c r="R24" s="1"/>
  <c r="S24" s="1"/>
  <c r="P25"/>
  <c r="Q25" s="1"/>
  <c r="R25" s="1"/>
  <c r="S25" s="1"/>
  <c r="AC27"/>
  <c r="S28"/>
  <c r="I32" s="1"/>
  <c r="AI27"/>
  <c r="V27"/>
  <c r="W27"/>
  <c r="CQ27" s="1"/>
  <c r="AA27"/>
  <c r="R23"/>
  <c r="S23" s="1"/>
  <c r="P26"/>
  <c r="Q26" s="1"/>
  <c r="R26" s="1"/>
  <c r="S26" s="1"/>
  <c r="O26" i="134"/>
  <c r="O27"/>
  <c r="P23"/>
  <c r="Q23" s="1"/>
  <c r="R23" s="1"/>
  <c r="S23" s="1"/>
  <c r="R25"/>
  <c r="S25" s="1"/>
  <c r="R24"/>
  <c r="S24" s="1"/>
  <c r="O23" i="133"/>
  <c r="R25"/>
  <c r="S25" s="1"/>
  <c r="O24"/>
  <c r="P24" s="1"/>
  <c r="Q24" s="1"/>
  <c r="O27"/>
  <c r="P27" s="1"/>
  <c r="Q27" s="1"/>
  <c r="R26"/>
  <c r="S26" s="1"/>
  <c r="AO23" i="114"/>
  <c r="AO23" i="121"/>
  <c r="AJ24" i="116"/>
  <c r="W24" i="131"/>
  <c r="CQ24" s="1"/>
  <c r="V24"/>
  <c r="CP24" s="1"/>
  <c r="AJ24" i="118"/>
  <c r="AJ28" i="132"/>
  <c r="AO27"/>
  <c r="AJ28" i="127"/>
  <c r="O26" i="132"/>
  <c r="P26" s="1"/>
  <c r="Q26" s="1"/>
  <c r="R23"/>
  <c r="S23" s="1"/>
  <c r="X23" s="1"/>
  <c r="R27"/>
  <c r="O24"/>
  <c r="P24" s="1"/>
  <c r="Q24" s="1"/>
  <c r="P25"/>
  <c r="Q25" s="1"/>
  <c r="R25" s="1"/>
  <c r="S25" s="1"/>
  <c r="X25" s="1"/>
  <c r="CR25" s="1"/>
  <c r="R28" i="131"/>
  <c r="I31" s="1"/>
  <c r="S27"/>
  <c r="AA24"/>
  <c r="CT24" s="1"/>
  <c r="AC24"/>
  <c r="CC24"/>
  <c r="AX28"/>
  <c r="AI24"/>
  <c r="AN24" s="1"/>
  <c r="AR24" s="1"/>
  <c r="AX24" s="1"/>
  <c r="AZ24" s="1"/>
  <c r="BO24" s="1"/>
  <c r="X24"/>
  <c r="R25"/>
  <c r="S25" s="1"/>
  <c r="P26"/>
  <c r="Q26" s="1"/>
  <c r="R26" s="1"/>
  <c r="S26" s="1"/>
  <c r="P23"/>
  <c r="Q23" s="1"/>
  <c r="R23" s="1"/>
  <c r="S23" s="1"/>
  <c r="AJ28" i="126"/>
  <c r="AA23" i="128"/>
  <c r="CT23" s="1"/>
  <c r="AR25"/>
  <c r="AX25" s="1"/>
  <c r="AZ25" s="1"/>
  <c r="BO25" s="1"/>
  <c r="AI23"/>
  <c r="AN23" s="1"/>
  <c r="AR23" s="1"/>
  <c r="AX23" s="1"/>
  <c r="AZ23" s="1"/>
  <c r="BO23" s="1"/>
  <c r="AK24" i="113"/>
  <c r="AO27" i="105"/>
  <c r="CR26" i="125"/>
  <c r="R24" i="128"/>
  <c r="S24" s="1"/>
  <c r="AJ24" i="106"/>
  <c r="AJ28" i="130"/>
  <c r="AJ28" i="129"/>
  <c r="AO27"/>
  <c r="AX28" i="125"/>
  <c r="CC24"/>
  <c r="V24"/>
  <c r="W24"/>
  <c r="CQ24" s="1"/>
  <c r="AA24"/>
  <c r="CT24" s="1"/>
  <c r="AI24"/>
  <c r="AN24" s="1"/>
  <c r="AR24" s="1"/>
  <c r="AX24" s="1"/>
  <c r="AZ24" s="1"/>
  <c r="BO24" s="1"/>
  <c r="V26"/>
  <c r="W26"/>
  <c r="CQ26" s="1"/>
  <c r="AI26"/>
  <c r="AN26" s="1"/>
  <c r="AR26" s="1"/>
  <c r="AX26" s="1"/>
  <c r="AZ26" s="1"/>
  <c r="BO26" s="1"/>
  <c r="AA26"/>
  <c r="CT26" s="1"/>
  <c r="O23"/>
  <c r="P23" s="1"/>
  <c r="Q23" s="1"/>
  <c r="R27"/>
  <c r="P25"/>
  <c r="Q25" s="1"/>
  <c r="R25" s="1"/>
  <c r="S25" s="1"/>
  <c r="X25" s="1"/>
  <c r="CR25" s="1"/>
  <c r="P25" i="124"/>
  <c r="Q25" s="1"/>
  <c r="R25" s="1"/>
  <c r="S25" s="1"/>
  <c r="P27"/>
  <c r="Q27" s="1"/>
  <c r="R27" s="1"/>
  <c r="R26"/>
  <c r="S26" s="1"/>
  <c r="R23"/>
  <c r="S23" s="1"/>
  <c r="R24"/>
  <c r="S24" s="1"/>
  <c r="P24" i="126"/>
  <c r="Q24" s="1"/>
  <c r="R24" s="1"/>
  <c r="S24" s="1"/>
  <c r="R27"/>
  <c r="P26"/>
  <c r="Q26" s="1"/>
  <c r="R26" s="1"/>
  <c r="S26" s="1"/>
  <c r="R23"/>
  <c r="S23" s="1"/>
  <c r="R25"/>
  <c r="S25" s="1"/>
  <c r="R28" i="128"/>
  <c r="I31" s="1"/>
  <c r="S27"/>
  <c r="AB25"/>
  <c r="AC25" s="1"/>
  <c r="CR25"/>
  <c r="O26"/>
  <c r="CR23"/>
  <c r="P26" i="130"/>
  <c r="Q26" s="1"/>
  <c r="R26" s="1"/>
  <c r="S26" s="1"/>
  <c r="X26" s="1"/>
  <c r="CR26" s="1"/>
  <c r="P23"/>
  <c r="Q23" s="1"/>
  <c r="R23" s="1"/>
  <c r="S23" s="1"/>
  <c r="X23" s="1"/>
  <c r="P27"/>
  <c r="Q27" s="1"/>
  <c r="R27" s="1"/>
  <c r="P24"/>
  <c r="Q24" s="1"/>
  <c r="R24" s="1"/>
  <c r="S24" s="1"/>
  <c r="X24" s="1"/>
  <c r="CR24" s="1"/>
  <c r="P25"/>
  <c r="Q25" s="1"/>
  <c r="R25" s="1"/>
  <c r="S25" s="1"/>
  <c r="X25" s="1"/>
  <c r="CR25" s="1"/>
  <c r="CC24" i="129"/>
  <c r="AI24"/>
  <c r="AN24" s="1"/>
  <c r="AR24" s="1"/>
  <c r="AX24" s="1"/>
  <c r="AZ24" s="1"/>
  <c r="BO24" s="1"/>
  <c r="X24"/>
  <c r="AX28"/>
  <c r="AA24"/>
  <c r="P27"/>
  <c r="Q27" s="1"/>
  <c r="R27" s="1"/>
  <c r="P26"/>
  <c r="Q26" s="1"/>
  <c r="R26" s="1"/>
  <c r="S26" s="1"/>
  <c r="R25"/>
  <c r="S25" s="1"/>
  <c r="P23"/>
  <c r="Q23" s="1"/>
  <c r="R23" s="1"/>
  <c r="S23" s="1"/>
  <c r="R26" i="127"/>
  <c r="S26" s="1"/>
  <c r="X26" s="1"/>
  <c r="R24"/>
  <c r="S24" s="1"/>
  <c r="X24" s="1"/>
  <c r="R23"/>
  <c r="S23" s="1"/>
  <c r="X23" s="1"/>
  <c r="P27"/>
  <c r="Q27" s="1"/>
  <c r="R27" s="1"/>
  <c r="R25"/>
  <c r="S25" s="1"/>
  <c r="X25" s="1"/>
  <c r="AO23" i="120"/>
  <c r="AJ24"/>
  <c r="AO23" i="123"/>
  <c r="AO23" i="119"/>
  <c r="AJ24" i="111"/>
  <c r="R26" i="108"/>
  <c r="S26" s="1"/>
  <c r="X26" s="1"/>
  <c r="S23" i="115"/>
  <c r="V23" s="1"/>
  <c r="AP23" i="110"/>
  <c r="AK24"/>
  <c r="O23" i="123"/>
  <c r="P23" s="1"/>
  <c r="Q23" s="1"/>
  <c r="AO23" i="122"/>
  <c r="AJ24"/>
  <c r="R23"/>
  <c r="P23" i="121"/>
  <c r="Q23" s="1"/>
  <c r="R23" s="1"/>
  <c r="P23" i="120"/>
  <c r="Q23" s="1"/>
  <c r="R23" s="1"/>
  <c r="O23" i="119"/>
  <c r="P23" s="1"/>
  <c r="Q23" s="1"/>
  <c r="P23" i="118"/>
  <c r="Q23" s="1"/>
  <c r="R23" s="1"/>
  <c r="AO23" i="117"/>
  <c r="AJ24"/>
  <c r="O23"/>
  <c r="P23" i="116"/>
  <c r="Q23" s="1"/>
  <c r="R23" s="1"/>
  <c r="AO23" i="115"/>
  <c r="AJ24"/>
  <c r="P23" i="114"/>
  <c r="Q23" s="1"/>
  <c r="R23" s="1"/>
  <c r="P23" i="113"/>
  <c r="Q23" s="1"/>
  <c r="R23" s="1"/>
  <c r="P23" i="112"/>
  <c r="Q23" s="1"/>
  <c r="R23" s="1"/>
  <c r="R23" i="111"/>
  <c r="S23" s="1"/>
  <c r="AJ24" i="110"/>
  <c r="AO23"/>
  <c r="P23"/>
  <c r="Q23" s="1"/>
  <c r="R23" s="1"/>
  <c r="P23" i="109"/>
  <c r="Q23" s="1"/>
  <c r="R23" s="1"/>
  <c r="AI23" i="108"/>
  <c r="AN23" s="1"/>
  <c r="AR23" s="1"/>
  <c r="AX23" s="1"/>
  <c r="AZ23" s="1"/>
  <c r="BO23" s="1"/>
  <c r="AC23"/>
  <c r="AA23"/>
  <c r="W23"/>
  <c r="V23"/>
  <c r="V26"/>
  <c r="W26"/>
  <c r="O27"/>
  <c r="P27" s="1"/>
  <c r="Q27" s="1"/>
  <c r="R25"/>
  <c r="S25" s="1"/>
  <c r="X25" s="1"/>
  <c r="W24"/>
  <c r="AI24"/>
  <c r="AN24" s="1"/>
  <c r="AR24" s="1"/>
  <c r="AX24" s="1"/>
  <c r="AZ24" s="1"/>
  <c r="BO24" s="1"/>
  <c r="AC24"/>
  <c r="AA24"/>
  <c r="V24"/>
  <c r="P23" i="107"/>
  <c r="Q23" s="1"/>
  <c r="R23" s="1"/>
  <c r="P23" i="106"/>
  <c r="Q23" s="1"/>
  <c r="R23" s="1"/>
  <c r="AI24" i="105"/>
  <c r="AN24" s="1"/>
  <c r="AR24" s="1"/>
  <c r="AX24" s="1"/>
  <c r="AZ24" s="1"/>
  <c r="BO24" s="1"/>
  <c r="AC24"/>
  <c r="AA24"/>
  <c r="V24"/>
  <c r="W24"/>
  <c r="R23"/>
  <c r="S23" s="1"/>
  <c r="R26"/>
  <c r="S26" s="1"/>
  <c r="P27"/>
  <c r="Q27" s="1"/>
  <c r="R27" s="1"/>
  <c r="R25"/>
  <c r="S25" s="1"/>
  <c r="P23" i="104"/>
  <c r="Q23" s="1"/>
  <c r="R23" s="1"/>
  <c r="P23" i="103"/>
  <c r="Q23" s="1"/>
  <c r="R23" s="1"/>
  <c r="CX23" i="97" l="1"/>
  <c r="W23" i="115"/>
  <c r="W24" s="1"/>
  <c r="V24" i="85"/>
  <c r="CP24" s="1"/>
  <c r="W24"/>
  <c r="CQ24" s="1"/>
  <c r="CD26" i="82"/>
  <c r="CU23" s="1"/>
  <c r="CZ23" s="1"/>
  <c r="CD26" i="83"/>
  <c r="CU23"/>
  <c r="S23" i="85"/>
  <c r="AA23" s="1"/>
  <c r="R25"/>
  <c r="AA24" i="83"/>
  <c r="CT23"/>
  <c r="CQ23"/>
  <c r="W24"/>
  <c r="CC25" s="1"/>
  <c r="AI24"/>
  <c r="AN23"/>
  <c r="AR23" s="1"/>
  <c r="AX23" s="1"/>
  <c r="AZ23" s="1"/>
  <c r="BO23" s="1"/>
  <c r="CP23"/>
  <c r="AB23"/>
  <c r="V24"/>
  <c r="W24" i="82"/>
  <c r="CC25" s="1"/>
  <c r="CQ23"/>
  <c r="AI24"/>
  <c r="AN23"/>
  <c r="AR23" s="1"/>
  <c r="AX23" s="1"/>
  <c r="AZ23" s="1"/>
  <c r="BO23" s="1"/>
  <c r="CT23"/>
  <c r="AA24"/>
  <c r="V24"/>
  <c r="CC24" s="1"/>
  <c r="CP23"/>
  <c r="AB23"/>
  <c r="R24" i="81"/>
  <c r="I27" s="1"/>
  <c r="S23"/>
  <c r="R24" i="88"/>
  <c r="I27" s="1"/>
  <c r="S23"/>
  <c r="R24" i="87"/>
  <c r="I27" s="1"/>
  <c r="S23"/>
  <c r="S23" i="86"/>
  <c r="AI24" i="85"/>
  <c r="AN24" s="1"/>
  <c r="AR24" s="1"/>
  <c r="AX24" s="1"/>
  <c r="AZ24" s="1"/>
  <c r="BO24" s="1"/>
  <c r="AA24"/>
  <c r="AX25"/>
  <c r="CC24"/>
  <c r="W23" i="137"/>
  <c r="V23"/>
  <c r="R28" i="138"/>
  <c r="I31" s="1"/>
  <c r="S27"/>
  <c r="P25"/>
  <c r="Q25" s="1"/>
  <c r="R25" s="1"/>
  <c r="S25" s="1"/>
  <c r="AA26"/>
  <c r="CT26" s="1"/>
  <c r="V26"/>
  <c r="AC26"/>
  <c r="W26"/>
  <c r="CQ26" s="1"/>
  <c r="AI26"/>
  <c r="AN26" s="1"/>
  <c r="AR26" s="1"/>
  <c r="AX26" s="1"/>
  <c r="AZ26" s="1"/>
  <c r="BO26" s="1"/>
  <c r="W24"/>
  <c r="CQ24" s="1"/>
  <c r="AI24"/>
  <c r="AN24" s="1"/>
  <c r="AR24" s="1"/>
  <c r="AX24" s="1"/>
  <c r="AZ24" s="1"/>
  <c r="BO24" s="1"/>
  <c r="AC24"/>
  <c r="V24"/>
  <c r="AA24"/>
  <c r="CT24" s="1"/>
  <c r="AX28"/>
  <c r="CC24"/>
  <c r="R23"/>
  <c r="S23" s="1"/>
  <c r="R26" i="137"/>
  <c r="S26" s="1"/>
  <c r="AI23"/>
  <c r="AN23" s="1"/>
  <c r="AR23" s="1"/>
  <c r="AX23" s="1"/>
  <c r="AZ23" s="1"/>
  <c r="BO23" s="1"/>
  <c r="AA23"/>
  <c r="AC23"/>
  <c r="P25"/>
  <c r="Q25" s="1"/>
  <c r="R25" s="1"/>
  <c r="S25" s="1"/>
  <c r="R27"/>
  <c r="AI24" i="136"/>
  <c r="AN24" s="1"/>
  <c r="AR24" s="1"/>
  <c r="AX24" s="1"/>
  <c r="AZ24" s="1"/>
  <c r="BO24" s="1"/>
  <c r="AC24"/>
  <c r="AA24"/>
  <c r="AX28"/>
  <c r="CC24"/>
  <c r="R28"/>
  <c r="I31" s="1"/>
  <c r="S27"/>
  <c r="AI23"/>
  <c r="AN23" s="1"/>
  <c r="AR23" s="1"/>
  <c r="AX23" s="1"/>
  <c r="AZ23" s="1"/>
  <c r="BO23" s="1"/>
  <c r="AA23"/>
  <c r="AC23"/>
  <c r="AA26"/>
  <c r="AC26"/>
  <c r="AI26"/>
  <c r="AN26" s="1"/>
  <c r="AR26" s="1"/>
  <c r="AX26" s="1"/>
  <c r="AZ26" s="1"/>
  <c r="BO26" s="1"/>
  <c r="R25"/>
  <c r="S25" s="1"/>
  <c r="W24" i="135"/>
  <c r="CQ24" s="1"/>
  <c r="AI24"/>
  <c r="AN24" s="1"/>
  <c r="AR24" s="1"/>
  <c r="AX24" s="1"/>
  <c r="AZ24" s="1"/>
  <c r="BO24" s="1"/>
  <c r="AA24"/>
  <c r="CT24" s="1"/>
  <c r="AX28"/>
  <c r="CC24"/>
  <c r="V24"/>
  <c r="AC24"/>
  <c r="AA26"/>
  <c r="CT26" s="1"/>
  <c r="AC26"/>
  <c r="V26"/>
  <c r="W26"/>
  <c r="CQ26" s="1"/>
  <c r="AI26"/>
  <c r="AN26" s="1"/>
  <c r="AR26" s="1"/>
  <c r="AX26" s="1"/>
  <c r="AZ26" s="1"/>
  <c r="BO26" s="1"/>
  <c r="AN27"/>
  <c r="AR27" s="1"/>
  <c r="AX27" s="1"/>
  <c r="AZ27" s="1"/>
  <c r="BO27" s="1"/>
  <c r="AI28"/>
  <c r="AI25"/>
  <c r="AN25" s="1"/>
  <c r="AR25" s="1"/>
  <c r="AX25" s="1"/>
  <c r="AZ25" s="1"/>
  <c r="BO25" s="1"/>
  <c r="AC25"/>
  <c r="AA25"/>
  <c r="CT25" s="1"/>
  <c r="V25"/>
  <c r="W25"/>
  <c r="CQ25" s="1"/>
  <c r="AA28"/>
  <c r="CT27"/>
  <c r="AB27"/>
  <c r="CP27"/>
  <c r="CC23"/>
  <c r="W23"/>
  <c r="AI23"/>
  <c r="AN23" s="1"/>
  <c r="AR23" s="1"/>
  <c r="AX23" s="1"/>
  <c r="AZ23" s="1"/>
  <c r="BO23" s="1"/>
  <c r="AA23"/>
  <c r="CT23" s="1"/>
  <c r="AW28"/>
  <c r="AC23"/>
  <c r="V23"/>
  <c r="P26" i="134"/>
  <c r="Q26" s="1"/>
  <c r="R26" s="1"/>
  <c r="S26" s="1"/>
  <c r="P27"/>
  <c r="Q27" s="1"/>
  <c r="R27" s="1"/>
  <c r="AI23"/>
  <c r="AN23" s="1"/>
  <c r="AR23" s="1"/>
  <c r="AX23" s="1"/>
  <c r="AZ23" s="1"/>
  <c r="BO23" s="1"/>
  <c r="AA23"/>
  <c r="CT23" s="1"/>
  <c r="V23"/>
  <c r="W23"/>
  <c r="AA25"/>
  <c r="CT25" s="1"/>
  <c r="V25"/>
  <c r="AI25"/>
  <c r="AN25" s="1"/>
  <c r="AR25" s="1"/>
  <c r="AX25" s="1"/>
  <c r="AZ25" s="1"/>
  <c r="BO25" s="1"/>
  <c r="W25"/>
  <c r="CQ25" s="1"/>
  <c r="AA24"/>
  <c r="CT24" s="1"/>
  <c r="CC24"/>
  <c r="AX28"/>
  <c r="W24"/>
  <c r="CQ24" s="1"/>
  <c r="AI24"/>
  <c r="AN24" s="1"/>
  <c r="AR24" s="1"/>
  <c r="AX24" s="1"/>
  <c r="AZ24" s="1"/>
  <c r="BO24" s="1"/>
  <c r="V24"/>
  <c r="P23" i="133"/>
  <c r="Q23" s="1"/>
  <c r="R23" s="1"/>
  <c r="S23" s="1"/>
  <c r="AA25"/>
  <c r="CT25" s="1"/>
  <c r="AC25"/>
  <c r="AI25"/>
  <c r="AN25" s="1"/>
  <c r="AR25" s="1"/>
  <c r="AX25" s="1"/>
  <c r="AZ25" s="1"/>
  <c r="BO25" s="1"/>
  <c r="X25"/>
  <c r="R24"/>
  <c r="S24" s="1"/>
  <c r="AC26"/>
  <c r="AA26"/>
  <c r="CT26" s="1"/>
  <c r="AI26"/>
  <c r="AN26" s="1"/>
  <c r="AR26" s="1"/>
  <c r="AX26" s="1"/>
  <c r="AZ26" s="1"/>
  <c r="BO26" s="1"/>
  <c r="X26"/>
  <c r="R27"/>
  <c r="W23" i="131"/>
  <c r="V23"/>
  <c r="W27"/>
  <c r="CQ27" s="1"/>
  <c r="V27"/>
  <c r="CP27" s="1"/>
  <c r="V25"/>
  <c r="CP25" s="1"/>
  <c r="W25"/>
  <c r="CQ25" s="1"/>
  <c r="V26"/>
  <c r="CP26" s="1"/>
  <c r="W26"/>
  <c r="CQ26" s="1"/>
  <c r="CR23" i="132"/>
  <c r="AC25"/>
  <c r="V25"/>
  <c r="AI25"/>
  <c r="AN25" s="1"/>
  <c r="AR25" s="1"/>
  <c r="AX25" s="1"/>
  <c r="AZ25" s="1"/>
  <c r="BO25" s="1"/>
  <c r="W25"/>
  <c r="CQ25" s="1"/>
  <c r="AA25"/>
  <c r="CT25" s="1"/>
  <c r="R28"/>
  <c r="I31" s="1"/>
  <c r="S27"/>
  <c r="X27" s="1"/>
  <c r="CR27" s="1"/>
  <c r="V23"/>
  <c r="W23"/>
  <c r="AI23"/>
  <c r="AN23" s="1"/>
  <c r="AR23" s="1"/>
  <c r="AX23" s="1"/>
  <c r="AZ23" s="1"/>
  <c r="BO23" s="1"/>
  <c r="AA23"/>
  <c r="CT23" s="1"/>
  <c r="AC23"/>
  <c r="R26"/>
  <c r="S26" s="1"/>
  <c r="X26" s="1"/>
  <c r="CR26" s="1"/>
  <c r="R24"/>
  <c r="S24" s="1"/>
  <c r="X24" s="1"/>
  <c r="CR24" s="1"/>
  <c r="AB24" i="131"/>
  <c r="CR24"/>
  <c r="AC27"/>
  <c r="S28"/>
  <c r="I32" s="1"/>
  <c r="AI27"/>
  <c r="X27"/>
  <c r="AA27"/>
  <c r="AC25"/>
  <c r="AI25"/>
  <c r="AN25" s="1"/>
  <c r="AR25" s="1"/>
  <c r="AX25" s="1"/>
  <c r="AZ25" s="1"/>
  <c r="BO25" s="1"/>
  <c r="X25"/>
  <c r="AA25"/>
  <c r="CT25" s="1"/>
  <c r="AC26"/>
  <c r="AI26"/>
  <c r="AN26" s="1"/>
  <c r="AR26" s="1"/>
  <c r="AX26" s="1"/>
  <c r="AZ26" s="1"/>
  <c r="BO26" s="1"/>
  <c r="X26"/>
  <c r="AA26"/>
  <c r="CT26" s="1"/>
  <c r="AA23"/>
  <c r="CT23" s="1"/>
  <c r="AC23"/>
  <c r="AW28"/>
  <c r="CC23"/>
  <c r="CD29" s="1"/>
  <c r="AI23"/>
  <c r="AN23" s="1"/>
  <c r="AR23" s="1"/>
  <c r="AX23" s="1"/>
  <c r="AZ23" s="1"/>
  <c r="BO23" s="1"/>
  <c r="X23"/>
  <c r="AA23" i="115"/>
  <c r="AA24" s="1"/>
  <c r="AB23" i="128"/>
  <c r="AC23" s="1"/>
  <c r="AB24" i="129"/>
  <c r="AC24" s="1"/>
  <c r="V23" i="126"/>
  <c r="W23"/>
  <c r="AX28" i="128"/>
  <c r="AA24"/>
  <c r="CT24" s="1"/>
  <c r="AI24"/>
  <c r="AN24" s="1"/>
  <c r="AR24" s="1"/>
  <c r="AX24" s="1"/>
  <c r="AZ24" s="1"/>
  <c r="BO24" s="1"/>
  <c r="X24"/>
  <c r="CC24"/>
  <c r="AI26" i="108"/>
  <c r="AN26" s="1"/>
  <c r="AR26" s="1"/>
  <c r="AX26" s="1"/>
  <c r="AZ26" s="1"/>
  <c r="BO26" s="1"/>
  <c r="V25" i="126"/>
  <c r="CP25" s="1"/>
  <c r="W25"/>
  <c r="CQ25" s="1"/>
  <c r="AA26" i="108"/>
  <c r="AB26" s="1"/>
  <c r="AC26"/>
  <c r="W24" i="126"/>
  <c r="CQ24" s="1"/>
  <c r="V24"/>
  <c r="CP24" s="1"/>
  <c r="CR23" i="130"/>
  <c r="V26" i="126"/>
  <c r="CP26" s="1"/>
  <c r="W26"/>
  <c r="CQ26" s="1"/>
  <c r="V25" i="125"/>
  <c r="W25"/>
  <c r="CQ25" s="1"/>
  <c r="AI25"/>
  <c r="AN25" s="1"/>
  <c r="AR25" s="1"/>
  <c r="AX25" s="1"/>
  <c r="AZ25" s="1"/>
  <c r="BO25" s="1"/>
  <c r="AA25"/>
  <c r="CT25" s="1"/>
  <c r="S27"/>
  <c r="X27" s="1"/>
  <c r="CR27" s="1"/>
  <c r="R28"/>
  <c r="I31" s="1"/>
  <c r="AB24"/>
  <c r="AC24" s="1"/>
  <c r="CP24"/>
  <c r="R23"/>
  <c r="S23" s="1"/>
  <c r="X23" s="1"/>
  <c r="CP26"/>
  <c r="AB26"/>
  <c r="AC26" s="1"/>
  <c r="R28" i="124"/>
  <c r="I31" s="1"/>
  <c r="S27"/>
  <c r="CC23" s="1"/>
  <c r="AX28"/>
  <c r="CC24"/>
  <c r="V24"/>
  <c r="W24"/>
  <c r="CQ24" s="1"/>
  <c r="AI24"/>
  <c r="AN24" s="1"/>
  <c r="AR24" s="1"/>
  <c r="AX24" s="1"/>
  <c r="AZ24" s="1"/>
  <c r="BO24" s="1"/>
  <c r="AA24"/>
  <c r="CT24" s="1"/>
  <c r="V25"/>
  <c r="W25"/>
  <c r="CQ25" s="1"/>
  <c r="AI25"/>
  <c r="AN25" s="1"/>
  <c r="AR25" s="1"/>
  <c r="AX25" s="1"/>
  <c r="AZ25" s="1"/>
  <c r="BO25" s="1"/>
  <c r="AA25"/>
  <c r="CT25" s="1"/>
  <c r="V26"/>
  <c r="W26"/>
  <c r="CQ26" s="1"/>
  <c r="AI26"/>
  <c r="AN26" s="1"/>
  <c r="AR26" s="1"/>
  <c r="AX26" s="1"/>
  <c r="AZ26" s="1"/>
  <c r="BO26" s="1"/>
  <c r="AA26"/>
  <c r="CT26" s="1"/>
  <c r="AA23"/>
  <c r="CT23" s="1"/>
  <c r="V23"/>
  <c r="W23"/>
  <c r="AI23"/>
  <c r="AN23" s="1"/>
  <c r="AR23" s="1"/>
  <c r="AX23" s="1"/>
  <c r="AZ23" s="1"/>
  <c r="BO23" s="1"/>
  <c r="AI26" i="126"/>
  <c r="AN26" s="1"/>
  <c r="AR26" s="1"/>
  <c r="AX26" s="1"/>
  <c r="AZ26" s="1"/>
  <c r="BO26" s="1"/>
  <c r="X26"/>
  <c r="AA26"/>
  <c r="CT26" s="1"/>
  <c r="R28"/>
  <c r="I31" s="1"/>
  <c r="S27"/>
  <c r="AW28" s="1"/>
  <c r="CC24"/>
  <c r="AA24"/>
  <c r="CT24" s="1"/>
  <c r="AI24"/>
  <c r="AN24" s="1"/>
  <c r="AR24" s="1"/>
  <c r="AX24" s="1"/>
  <c r="AZ24" s="1"/>
  <c r="BO24" s="1"/>
  <c r="AX28"/>
  <c r="X24"/>
  <c r="AI23"/>
  <c r="AN23" s="1"/>
  <c r="AR23" s="1"/>
  <c r="AX23" s="1"/>
  <c r="AZ23" s="1"/>
  <c r="BO23" s="1"/>
  <c r="X23"/>
  <c r="AA23"/>
  <c r="CT23" s="1"/>
  <c r="AA25"/>
  <c r="CT25" s="1"/>
  <c r="AI25"/>
  <c r="AN25" s="1"/>
  <c r="AR25" s="1"/>
  <c r="AX25" s="1"/>
  <c r="AZ25" s="1"/>
  <c r="BO25" s="1"/>
  <c r="X25"/>
  <c r="AA27" i="128"/>
  <c r="S28"/>
  <c r="I32" s="1"/>
  <c r="AI27"/>
  <c r="X27"/>
  <c r="P26"/>
  <c r="Q26" s="1"/>
  <c r="R26" s="1"/>
  <c r="S26" s="1"/>
  <c r="W26" i="130"/>
  <c r="CQ26" s="1"/>
  <c r="AA26"/>
  <c r="CT26" s="1"/>
  <c r="AC26"/>
  <c r="AI26"/>
  <c r="AN26" s="1"/>
  <c r="AR26" s="1"/>
  <c r="AX26" s="1"/>
  <c r="AZ26" s="1"/>
  <c r="BO26" s="1"/>
  <c r="V26"/>
  <c r="V23"/>
  <c r="AI23"/>
  <c r="AN23" s="1"/>
  <c r="AR23" s="1"/>
  <c r="AX23" s="1"/>
  <c r="AZ23" s="1"/>
  <c r="BO23" s="1"/>
  <c r="W23"/>
  <c r="AC23"/>
  <c r="AA23"/>
  <c r="CT23" s="1"/>
  <c r="R28"/>
  <c r="I31" s="1"/>
  <c r="S27"/>
  <c r="X27" s="1"/>
  <c r="CR27" s="1"/>
  <c r="AI25"/>
  <c r="AN25" s="1"/>
  <c r="AR25" s="1"/>
  <c r="AX25" s="1"/>
  <c r="AZ25" s="1"/>
  <c r="BO25" s="1"/>
  <c r="V25"/>
  <c r="W25"/>
  <c r="CQ25" s="1"/>
  <c r="AA25"/>
  <c r="CT25" s="1"/>
  <c r="AC25"/>
  <c r="W24"/>
  <c r="CQ24" s="1"/>
  <c r="AX28"/>
  <c r="AA24"/>
  <c r="CT24" s="1"/>
  <c r="AC24"/>
  <c r="AI24"/>
  <c r="AN24" s="1"/>
  <c r="AR24" s="1"/>
  <c r="AX24" s="1"/>
  <c r="AZ24" s="1"/>
  <c r="BO24" s="1"/>
  <c r="CC24"/>
  <c r="V24"/>
  <c r="AA23" i="129"/>
  <c r="AI23"/>
  <c r="AN23" s="1"/>
  <c r="AR23" s="1"/>
  <c r="AX23" s="1"/>
  <c r="AZ23" s="1"/>
  <c r="BO23" s="1"/>
  <c r="X23"/>
  <c r="R28"/>
  <c r="I31" s="1"/>
  <c r="S27"/>
  <c r="AW28" s="1"/>
  <c r="AA25"/>
  <c r="AI25"/>
  <c r="AN25" s="1"/>
  <c r="AR25" s="1"/>
  <c r="AX25" s="1"/>
  <c r="AZ25" s="1"/>
  <c r="BO25" s="1"/>
  <c r="X25"/>
  <c r="AI26"/>
  <c r="AN26" s="1"/>
  <c r="AR26" s="1"/>
  <c r="AX26" s="1"/>
  <c r="AZ26" s="1"/>
  <c r="BO26" s="1"/>
  <c r="X26"/>
  <c r="AA26"/>
  <c r="W24" i="127"/>
  <c r="CK24" s="1"/>
  <c r="AX28"/>
  <c r="AC24"/>
  <c r="AA24"/>
  <c r="V24"/>
  <c r="AI24"/>
  <c r="AN24" s="1"/>
  <c r="AR24" s="1"/>
  <c r="AX24" s="1"/>
  <c r="AZ24" s="1"/>
  <c r="BO24" s="1"/>
  <c r="CC24"/>
  <c r="R28"/>
  <c r="I31" s="1"/>
  <c r="S27"/>
  <c r="X27" s="1"/>
  <c r="X28" s="1"/>
  <c r="V23"/>
  <c r="W23"/>
  <c r="AI23"/>
  <c r="AN23" s="1"/>
  <c r="AR23" s="1"/>
  <c r="AX23" s="1"/>
  <c r="AZ23" s="1"/>
  <c r="BO23" s="1"/>
  <c r="AA23"/>
  <c r="AC23"/>
  <c r="W26"/>
  <c r="CK26" s="1"/>
  <c r="AI26"/>
  <c r="AN26" s="1"/>
  <c r="AR26" s="1"/>
  <c r="AX26" s="1"/>
  <c r="AZ26" s="1"/>
  <c r="BO26" s="1"/>
  <c r="AA26"/>
  <c r="AC26"/>
  <c r="V26"/>
  <c r="AC25"/>
  <c r="W25"/>
  <c r="CK25" s="1"/>
  <c r="AI25"/>
  <c r="AN25" s="1"/>
  <c r="AR25" s="1"/>
  <c r="AX25" s="1"/>
  <c r="AZ25" s="1"/>
  <c r="BO25" s="1"/>
  <c r="V25"/>
  <c r="AA25"/>
  <c r="S24" i="115"/>
  <c r="I28" s="1"/>
  <c r="AI23"/>
  <c r="AN23" s="1"/>
  <c r="AR23" s="1"/>
  <c r="AX23" s="1"/>
  <c r="AZ23" s="1"/>
  <c r="BO23" s="1"/>
  <c r="R23" i="123"/>
  <c r="R24" i="122"/>
  <c r="I27" s="1"/>
  <c r="S23"/>
  <c r="R24" i="121"/>
  <c r="I27" s="1"/>
  <c r="S23"/>
  <c r="Y23" s="1"/>
  <c r="Y24" s="1"/>
  <c r="R24" i="120"/>
  <c r="I27" s="1"/>
  <c r="S23"/>
  <c r="R23" i="119"/>
  <c r="R24" i="118"/>
  <c r="I27" s="1"/>
  <c r="S23"/>
  <c r="P23" i="117"/>
  <c r="Q23" s="1"/>
  <c r="R23" s="1"/>
  <c r="R24" i="116"/>
  <c r="I27" s="1"/>
  <c r="S23"/>
  <c r="V24" i="115"/>
  <c r="R24" i="114"/>
  <c r="I27" s="1"/>
  <c r="S23"/>
  <c r="R24" i="113"/>
  <c r="I27" s="1"/>
  <c r="S23"/>
  <c r="R24" i="112"/>
  <c r="I27" s="1"/>
  <c r="S23"/>
  <c r="W23" s="1"/>
  <c r="W24" s="1"/>
  <c r="V23" i="111"/>
  <c r="V24" s="1"/>
  <c r="Y23"/>
  <c r="Y24" s="1"/>
  <c r="R24"/>
  <c r="I27" s="1"/>
  <c r="S24"/>
  <c r="I28" s="1"/>
  <c r="AI23"/>
  <c r="AA23"/>
  <c r="R24" i="110"/>
  <c r="I27" s="1"/>
  <c r="S23"/>
  <c r="R24" i="109"/>
  <c r="I27" s="1"/>
  <c r="S23"/>
  <c r="V25" i="108"/>
  <c r="W25"/>
  <c r="AI25"/>
  <c r="AN25" s="1"/>
  <c r="AR25" s="1"/>
  <c r="AX25" s="1"/>
  <c r="AZ25" s="1"/>
  <c r="BO25" s="1"/>
  <c r="AA25"/>
  <c r="AC25"/>
  <c r="AB23"/>
  <c r="AB24"/>
  <c r="R27"/>
  <c r="R24" i="107"/>
  <c r="I27" s="1"/>
  <c r="S23"/>
  <c r="X23" s="1"/>
  <c r="X24" s="1"/>
  <c r="R24" i="106"/>
  <c r="I27" s="1"/>
  <c r="S23"/>
  <c r="V26" i="105"/>
  <c r="W26"/>
  <c r="AI26"/>
  <c r="AN26" s="1"/>
  <c r="AR26" s="1"/>
  <c r="AX26" s="1"/>
  <c r="AZ26" s="1"/>
  <c r="BO26" s="1"/>
  <c r="AA26"/>
  <c r="AC26"/>
  <c r="W25"/>
  <c r="AI25"/>
  <c r="AN25" s="1"/>
  <c r="AR25" s="1"/>
  <c r="AX25" s="1"/>
  <c r="AZ25" s="1"/>
  <c r="BO25" s="1"/>
  <c r="AA25"/>
  <c r="V25"/>
  <c r="AC25"/>
  <c r="R28"/>
  <c r="I31" s="1"/>
  <c r="S27"/>
  <c r="AC23"/>
  <c r="V23"/>
  <c r="AA23"/>
  <c r="W23"/>
  <c r="AI23"/>
  <c r="AN23" s="1"/>
  <c r="AR23" s="1"/>
  <c r="AX23" s="1"/>
  <c r="AZ23" s="1"/>
  <c r="BO23" s="1"/>
  <c r="AB24"/>
  <c r="R24" i="104"/>
  <c r="S23"/>
  <c r="R24" i="103"/>
  <c r="S23"/>
  <c r="AI23" i="85" l="1"/>
  <c r="AI25" s="1"/>
  <c r="AW28" i="136"/>
  <c r="CD25" i="135"/>
  <c r="CD27" i="82"/>
  <c r="CX23" s="1"/>
  <c r="AA25" i="85"/>
  <c r="CX23" i="83"/>
  <c r="V23" i="85"/>
  <c r="W23"/>
  <c r="AB23" s="1"/>
  <c r="AC23" s="1"/>
  <c r="S25"/>
  <c r="AB24" i="83"/>
  <c r="I29" s="1"/>
  <c r="I30" s="1"/>
  <c r="AC23"/>
  <c r="AC24" s="1"/>
  <c r="AT24" s="1"/>
  <c r="AU24" s="1"/>
  <c r="CZ23"/>
  <c r="AB24" i="82"/>
  <c r="I29" s="1"/>
  <c r="I30" s="1"/>
  <c r="AC23"/>
  <c r="AC24" s="1"/>
  <c r="W23" i="81"/>
  <c r="AI23"/>
  <c r="AA23"/>
  <c r="S24"/>
  <c r="I28" s="1"/>
  <c r="CC23"/>
  <c r="V23"/>
  <c r="W23" i="88"/>
  <c r="AI23"/>
  <c r="AA23"/>
  <c r="S24"/>
  <c r="I28" s="1"/>
  <c r="CC23"/>
  <c r="V23"/>
  <c r="W23" i="87"/>
  <c r="AI23"/>
  <c r="AA23"/>
  <c r="S24"/>
  <c r="I28" s="1"/>
  <c r="CC23"/>
  <c r="V23"/>
  <c r="R24" i="86"/>
  <c r="I27" s="1"/>
  <c r="CC23"/>
  <c r="V23"/>
  <c r="AA23"/>
  <c r="W23"/>
  <c r="AI23"/>
  <c r="S24"/>
  <c r="I28" s="1"/>
  <c r="I28" i="85"/>
  <c r="CT23"/>
  <c r="CT24"/>
  <c r="AB24"/>
  <c r="AC24" s="1"/>
  <c r="W25" i="137"/>
  <c r="CQ25" s="1"/>
  <c r="V25"/>
  <c r="CP25" s="1"/>
  <c r="CQ23"/>
  <c r="CP23"/>
  <c r="V26"/>
  <c r="CP26" s="1"/>
  <c r="W26"/>
  <c r="CQ26" s="1"/>
  <c r="AI25" i="138"/>
  <c r="AN25" s="1"/>
  <c r="AR25" s="1"/>
  <c r="AX25" s="1"/>
  <c r="AZ25" s="1"/>
  <c r="BO25" s="1"/>
  <c r="AC25"/>
  <c r="AA25"/>
  <c r="CT25" s="1"/>
  <c r="V25"/>
  <c r="W25"/>
  <c r="CQ25" s="1"/>
  <c r="CC23"/>
  <c r="CD25" s="1"/>
  <c r="W23"/>
  <c r="AA23"/>
  <c r="CT23" s="1"/>
  <c r="AC23"/>
  <c r="AI23"/>
  <c r="AN23" s="1"/>
  <c r="AR23" s="1"/>
  <c r="AX23" s="1"/>
  <c r="AZ23" s="1"/>
  <c r="BO23" s="1"/>
  <c r="V23"/>
  <c r="AW28"/>
  <c r="AC27"/>
  <c r="AI27"/>
  <c r="S28"/>
  <c r="I32" s="1"/>
  <c r="V27"/>
  <c r="W27"/>
  <c r="CQ27" s="1"/>
  <c r="AA27"/>
  <c r="CP24"/>
  <c r="AB24"/>
  <c r="CP26"/>
  <c r="AB26"/>
  <c r="AA26" i="137"/>
  <c r="AC26"/>
  <c r="AI26"/>
  <c r="AN26" s="1"/>
  <c r="AR26" s="1"/>
  <c r="AX26" s="1"/>
  <c r="AZ26" s="1"/>
  <c r="BO26" s="1"/>
  <c r="AA25"/>
  <c r="AC25"/>
  <c r="AI25"/>
  <c r="AN25" s="1"/>
  <c r="AR25" s="1"/>
  <c r="AX25" s="1"/>
  <c r="AZ25" s="1"/>
  <c r="BO25" s="1"/>
  <c r="R28"/>
  <c r="I31" s="1"/>
  <c r="S27"/>
  <c r="CC23" s="1"/>
  <c r="CD25" s="1"/>
  <c r="CT23"/>
  <c r="AB23"/>
  <c r="CT23" i="136"/>
  <c r="AB23"/>
  <c r="CT26"/>
  <c r="AB26"/>
  <c r="CT24"/>
  <c r="AB24"/>
  <c r="AC27"/>
  <c r="S28"/>
  <c r="I32" s="1"/>
  <c r="AI27"/>
  <c r="AA27"/>
  <c r="AI25"/>
  <c r="AN25" s="1"/>
  <c r="AR25" s="1"/>
  <c r="AX25" s="1"/>
  <c r="AZ25" s="1"/>
  <c r="BO25" s="1"/>
  <c r="AA25"/>
  <c r="AC25"/>
  <c r="CC23"/>
  <c r="CD25" s="1"/>
  <c r="W28" i="135"/>
  <c r="CQ23"/>
  <c r="AB25"/>
  <c r="CP25"/>
  <c r="AB26"/>
  <c r="CP26"/>
  <c r="AC28"/>
  <c r="AT28" s="1"/>
  <c r="AU28" s="1"/>
  <c r="CP23"/>
  <c r="AB23"/>
  <c r="V28"/>
  <c r="CP24"/>
  <c r="AB24"/>
  <c r="R28" i="134"/>
  <c r="I31" s="1"/>
  <c r="S27"/>
  <c r="CC23" s="1"/>
  <c r="CD25" s="1"/>
  <c r="AB24"/>
  <c r="AC24" s="1"/>
  <c r="CP24"/>
  <c r="V26"/>
  <c r="W26"/>
  <c r="CQ26" s="1"/>
  <c r="AA26"/>
  <c r="CT26" s="1"/>
  <c r="AI26"/>
  <c r="AN26" s="1"/>
  <c r="AR26" s="1"/>
  <c r="AX26" s="1"/>
  <c r="AZ26" s="1"/>
  <c r="BO26" s="1"/>
  <c r="CQ23"/>
  <c r="CP25"/>
  <c r="AB25"/>
  <c r="AC25" s="1"/>
  <c r="AB23"/>
  <c r="CP23"/>
  <c r="CR26" i="133"/>
  <c r="AB26"/>
  <c r="AI23"/>
  <c r="AN23" s="1"/>
  <c r="AR23" s="1"/>
  <c r="AX23" s="1"/>
  <c r="AZ23" s="1"/>
  <c r="BO23" s="1"/>
  <c r="X23"/>
  <c r="AA23"/>
  <c r="CT23" s="1"/>
  <c r="AC23"/>
  <c r="R28"/>
  <c r="I31" s="1"/>
  <c r="S27"/>
  <c r="CC23" s="1"/>
  <c r="CR25"/>
  <c r="AB25"/>
  <c r="AA24"/>
  <c r="CT24" s="1"/>
  <c r="X24"/>
  <c r="AC24"/>
  <c r="AX28"/>
  <c r="CC24"/>
  <c r="AI24"/>
  <c r="AN24" s="1"/>
  <c r="AR24" s="1"/>
  <c r="AX24" s="1"/>
  <c r="AZ24" s="1"/>
  <c r="BO24" s="1"/>
  <c r="CC23" i="126"/>
  <c r="CD29" s="1"/>
  <c r="W28" i="131"/>
  <c r="CC26" s="1"/>
  <c r="CD28" s="1"/>
  <c r="CQ23"/>
  <c r="X28" i="132"/>
  <c r="CC25" s="1"/>
  <c r="CD26" s="1"/>
  <c r="CP23" i="131"/>
  <c r="V28"/>
  <c r="CC25" s="1"/>
  <c r="CD27" s="1"/>
  <c r="V26" i="132"/>
  <c r="W26"/>
  <c r="CQ26" s="1"/>
  <c r="AA26"/>
  <c r="CT26" s="1"/>
  <c r="AI26"/>
  <c r="AN26" s="1"/>
  <c r="AR26" s="1"/>
  <c r="AX26" s="1"/>
  <c r="AZ26" s="1"/>
  <c r="BO26" s="1"/>
  <c r="AC26"/>
  <c r="AB23"/>
  <c r="CP23"/>
  <c r="CP25"/>
  <c r="AB25"/>
  <c r="CC23"/>
  <c r="S28"/>
  <c r="I32" s="1"/>
  <c r="V27"/>
  <c r="W27"/>
  <c r="CQ27" s="1"/>
  <c r="AI27"/>
  <c r="AA27"/>
  <c r="AC27"/>
  <c r="AC24"/>
  <c r="AX28"/>
  <c r="W24"/>
  <c r="CQ24" s="1"/>
  <c r="AI24"/>
  <c r="AN24" s="1"/>
  <c r="AR24" s="1"/>
  <c r="AX24" s="1"/>
  <c r="AZ24" s="1"/>
  <c r="BO24" s="1"/>
  <c r="CC24"/>
  <c r="AA24"/>
  <c r="CT24" s="1"/>
  <c r="V24"/>
  <c r="CQ23"/>
  <c r="AW28"/>
  <c r="AA28" i="131"/>
  <c r="CT27"/>
  <c r="CR25"/>
  <c r="AB25"/>
  <c r="AC28"/>
  <c r="AT28" s="1"/>
  <c r="AU28" s="1"/>
  <c r="CR23"/>
  <c r="X28"/>
  <c r="AB23"/>
  <c r="AN27"/>
  <c r="AR27" s="1"/>
  <c r="AX27" s="1"/>
  <c r="AZ27" s="1"/>
  <c r="BO27" s="1"/>
  <c r="AI28"/>
  <c r="CR26"/>
  <c r="AB26"/>
  <c r="CR27"/>
  <c r="AB27"/>
  <c r="AI24" i="115"/>
  <c r="AB23"/>
  <c r="AC23" s="1"/>
  <c r="AC24" s="1"/>
  <c r="AT24" s="1"/>
  <c r="AW28" i="127"/>
  <c r="CP23" i="126"/>
  <c r="AB25" i="129"/>
  <c r="AC25" s="1"/>
  <c r="AW28" i="124"/>
  <c r="CR23" i="125"/>
  <c r="X28"/>
  <c r="CC25" s="1"/>
  <c r="CQ23" i="126"/>
  <c r="V27"/>
  <c r="CP27" s="1"/>
  <c r="W27"/>
  <c r="CQ27" s="1"/>
  <c r="CC23" i="127"/>
  <c r="CD29" s="1"/>
  <c r="CR24" i="128"/>
  <c r="AB24"/>
  <c r="AC24" s="1"/>
  <c r="CC23" i="130"/>
  <c r="CD27" s="1"/>
  <c r="X28"/>
  <c r="CC25" s="1"/>
  <c r="CD26" s="1"/>
  <c r="AA23" i="125"/>
  <c r="CT23" s="1"/>
  <c r="AW28"/>
  <c r="CC23"/>
  <c r="V23"/>
  <c r="W23"/>
  <c r="AI23"/>
  <c r="AN23" s="1"/>
  <c r="AR23" s="1"/>
  <c r="AX23" s="1"/>
  <c r="AZ23" s="1"/>
  <c r="BO23" s="1"/>
  <c r="CP25"/>
  <c r="AB25"/>
  <c r="AC25" s="1"/>
  <c r="S28"/>
  <c r="I32" s="1"/>
  <c r="V27"/>
  <c r="W27"/>
  <c r="CQ27" s="1"/>
  <c r="AI27"/>
  <c r="AA27"/>
  <c r="AB23" i="124"/>
  <c r="AC23" s="1"/>
  <c r="CP23"/>
  <c r="CQ23"/>
  <c r="S28"/>
  <c r="I32" s="1"/>
  <c r="V27"/>
  <c r="V28" s="1"/>
  <c r="CC25" s="1"/>
  <c r="W27"/>
  <c r="CQ27" s="1"/>
  <c r="AI27"/>
  <c r="AA27"/>
  <c r="CP25"/>
  <c r="AB25"/>
  <c r="AC25" s="1"/>
  <c r="AB24"/>
  <c r="AC24" s="1"/>
  <c r="CP24"/>
  <c r="CP26"/>
  <c r="AB26"/>
  <c r="AC26" s="1"/>
  <c r="CR26" i="126"/>
  <c r="AB26"/>
  <c r="AC26" s="1"/>
  <c r="CR24"/>
  <c r="AB24"/>
  <c r="AC24" s="1"/>
  <c r="CR25"/>
  <c r="AB25"/>
  <c r="AC25" s="1"/>
  <c r="CR23"/>
  <c r="AB23"/>
  <c r="S28"/>
  <c r="I32" s="1"/>
  <c r="AI27"/>
  <c r="X27"/>
  <c r="X28" s="1"/>
  <c r="AA27"/>
  <c r="AA26" i="128"/>
  <c r="CT26" s="1"/>
  <c r="AI26"/>
  <c r="AN26" s="1"/>
  <c r="AR26" s="1"/>
  <c r="AX26" s="1"/>
  <c r="AZ26" s="1"/>
  <c r="BO26" s="1"/>
  <c r="X26"/>
  <c r="AW28"/>
  <c r="CC23"/>
  <c r="AA28"/>
  <c r="CT27"/>
  <c r="AN27"/>
  <c r="AR27" s="1"/>
  <c r="AX27" s="1"/>
  <c r="AZ27" s="1"/>
  <c r="BO27" s="1"/>
  <c r="AI28"/>
  <c r="CR27"/>
  <c r="AB27"/>
  <c r="AC27" s="1"/>
  <c r="AB23" i="130"/>
  <c r="CP23"/>
  <c r="AB25"/>
  <c r="CP25"/>
  <c r="CP24"/>
  <c r="AB24"/>
  <c r="CQ23"/>
  <c r="CP26"/>
  <c r="AB26"/>
  <c r="S28"/>
  <c r="I32" s="1"/>
  <c r="AC27"/>
  <c r="AC28" s="1"/>
  <c r="AT28" s="1"/>
  <c r="AU28" s="1"/>
  <c r="V27"/>
  <c r="V28" s="1"/>
  <c r="W27"/>
  <c r="CQ27" s="1"/>
  <c r="AI27"/>
  <c r="AA27"/>
  <c r="AW28"/>
  <c r="CC23" i="129"/>
  <c r="AB23"/>
  <c r="AB26"/>
  <c r="AC26" s="1"/>
  <c r="S28"/>
  <c r="I32" s="1"/>
  <c r="AI27"/>
  <c r="X27"/>
  <c r="AA27"/>
  <c r="AA28" s="1"/>
  <c r="AB25" i="127"/>
  <c r="CJ25"/>
  <c r="S28"/>
  <c r="I32" s="1"/>
  <c r="AC27"/>
  <c r="AC28" s="1"/>
  <c r="AT28" s="1"/>
  <c r="AU28" s="1"/>
  <c r="W27"/>
  <c r="CK27" s="1"/>
  <c r="AI27"/>
  <c r="V27"/>
  <c r="V28" s="1"/>
  <c r="CC25" s="1"/>
  <c r="CD27" s="1"/>
  <c r="AA27"/>
  <c r="AA28" s="1"/>
  <c r="AB23"/>
  <c r="CJ23"/>
  <c r="CK23"/>
  <c r="CJ26"/>
  <c r="AB26"/>
  <c r="CJ24"/>
  <c r="AB24"/>
  <c r="V23" i="118"/>
  <c r="V24" s="1"/>
  <c r="Y23"/>
  <c r="Y24" s="1"/>
  <c r="AB25" i="108"/>
  <c r="R24" i="123"/>
  <c r="I27" s="1"/>
  <c r="S23"/>
  <c r="V23" i="122"/>
  <c r="S24"/>
  <c r="I28" s="1"/>
  <c r="AI23"/>
  <c r="AA23"/>
  <c r="AA24" s="1"/>
  <c r="Y23"/>
  <c r="Y24" s="1"/>
  <c r="V23" i="121"/>
  <c r="W23"/>
  <c r="W24" s="1"/>
  <c r="S24"/>
  <c r="I28" s="1"/>
  <c r="AI23"/>
  <c r="AA23"/>
  <c r="AA24" s="1"/>
  <c r="V23" i="120"/>
  <c r="W23"/>
  <c r="W24" s="1"/>
  <c r="S24"/>
  <c r="I28" s="1"/>
  <c r="AI23"/>
  <c r="AA23"/>
  <c r="AA24" s="1"/>
  <c r="R24" i="119"/>
  <c r="I27" s="1"/>
  <c r="S23"/>
  <c r="W23" s="1"/>
  <c r="W24" s="1"/>
  <c r="S24" i="118"/>
  <c r="I28" s="1"/>
  <c r="AI23"/>
  <c r="X23"/>
  <c r="AA23"/>
  <c r="AA24" s="1"/>
  <c r="R24" i="117"/>
  <c r="I27" s="1"/>
  <c r="S23"/>
  <c r="X23" s="1"/>
  <c r="X24" s="1"/>
  <c r="W23" i="116"/>
  <c r="W24" s="1"/>
  <c r="V23"/>
  <c r="S24"/>
  <c r="I28" s="1"/>
  <c r="AI23"/>
  <c r="AA23"/>
  <c r="AA24" s="1"/>
  <c r="S24" i="114"/>
  <c r="I28" s="1"/>
  <c r="AI23"/>
  <c r="Y23"/>
  <c r="Y24" s="1"/>
  <c r="V23"/>
  <c r="AA23"/>
  <c r="AA24" s="1"/>
  <c r="AC23" i="113"/>
  <c r="AC24" s="1"/>
  <c r="AT24" s="1"/>
  <c r="V23"/>
  <c r="W23"/>
  <c r="W24" s="1"/>
  <c r="S24"/>
  <c r="I28" s="1"/>
  <c r="AI23"/>
  <c r="AA23"/>
  <c r="AA24" s="1"/>
  <c r="V23" i="112"/>
  <c r="S24"/>
  <c r="I28" s="1"/>
  <c r="AI23"/>
  <c r="Y23"/>
  <c r="Y24" s="1"/>
  <c r="AA23"/>
  <c r="AA24" s="1"/>
  <c r="AN23" i="111"/>
  <c r="AR23" s="1"/>
  <c r="AX23" s="1"/>
  <c r="AZ23" s="1"/>
  <c r="BO23" s="1"/>
  <c r="AI24"/>
  <c r="AA24"/>
  <c r="AB23"/>
  <c r="V23" i="110"/>
  <c r="W23"/>
  <c r="W24" s="1"/>
  <c r="S24"/>
  <c r="I28" s="1"/>
  <c r="AI23"/>
  <c r="AA23"/>
  <c r="AA24" s="1"/>
  <c r="V23" i="109"/>
  <c r="W23"/>
  <c r="W24" s="1"/>
  <c r="S24"/>
  <c r="I28" s="1"/>
  <c r="AI23"/>
  <c r="AA23"/>
  <c r="AA24" s="1"/>
  <c r="R28" i="108"/>
  <c r="I31" s="1"/>
  <c r="S27"/>
  <c r="X27" s="1"/>
  <c r="X28" s="1"/>
  <c r="V23" i="107"/>
  <c r="W23"/>
  <c r="W24" s="1"/>
  <c r="AC23"/>
  <c r="AC24" s="1"/>
  <c r="AT24" s="1"/>
  <c r="S24"/>
  <c r="I28" s="1"/>
  <c r="AI23"/>
  <c r="AA23"/>
  <c r="AA24" s="1"/>
  <c r="AB26" i="105"/>
  <c r="V23" i="106"/>
  <c r="W23"/>
  <c r="W24" s="1"/>
  <c r="S24"/>
  <c r="I28" s="1"/>
  <c r="AI23"/>
  <c r="AA23"/>
  <c r="AA24" s="1"/>
  <c r="AC23"/>
  <c r="AC24" s="1"/>
  <c r="AT24" s="1"/>
  <c r="AB25" i="105"/>
  <c r="V27"/>
  <c r="W27"/>
  <c r="W28" s="1"/>
  <c r="S28"/>
  <c r="I32" s="1"/>
  <c r="AI27"/>
  <c r="AA27"/>
  <c r="AA28" s="1"/>
  <c r="AC27"/>
  <c r="AC28" s="1"/>
  <c r="AT28" s="1"/>
  <c r="AU28" s="1"/>
  <c r="AB23"/>
  <c r="S24" i="104"/>
  <c r="AE23" s="1"/>
  <c r="AE24" s="1"/>
  <c r="AI23"/>
  <c r="X23"/>
  <c r="AA23"/>
  <c r="V23" i="103"/>
  <c r="W23"/>
  <c r="W24" s="1"/>
  <c r="S24"/>
  <c r="AH23" s="1"/>
  <c r="AH24" s="1"/>
  <c r="AI23"/>
  <c r="AA23"/>
  <c r="AN23" i="85" l="1"/>
  <c r="AW28" i="137"/>
  <c r="AC28" i="138"/>
  <c r="AT28" s="1"/>
  <c r="AU28" s="1"/>
  <c r="CD27" i="133"/>
  <c r="CP23" i="85"/>
  <c r="V25"/>
  <c r="CC25" s="1"/>
  <c r="CQ23"/>
  <c r="W25"/>
  <c r="CC26" s="1"/>
  <c r="AR23"/>
  <c r="AX23" s="1"/>
  <c r="AZ23" s="1"/>
  <c r="BO23" s="1"/>
  <c r="AT24" i="82"/>
  <c r="AU24" s="1"/>
  <c r="W24" i="81"/>
  <c r="CC25" s="1"/>
  <c r="CQ23"/>
  <c r="AI24"/>
  <c r="AN23"/>
  <c r="AR23" s="1"/>
  <c r="AX23" s="1"/>
  <c r="AZ23" s="1"/>
  <c r="BO23" s="1"/>
  <c r="CT23"/>
  <c r="AA24"/>
  <c r="V24"/>
  <c r="CC24" s="1"/>
  <c r="CP23"/>
  <c r="AB23"/>
  <c r="V24" i="88"/>
  <c r="CC24" s="1"/>
  <c r="CP23"/>
  <c r="AB23"/>
  <c r="W24"/>
  <c r="CC25" s="1"/>
  <c r="CQ23"/>
  <c r="AI24"/>
  <c r="AN23"/>
  <c r="AR23" s="1"/>
  <c r="AX23" s="1"/>
  <c r="AZ23" s="1"/>
  <c r="BO23" s="1"/>
  <c r="CT23"/>
  <c r="AA24"/>
  <c r="V24" i="87"/>
  <c r="CC24" s="1"/>
  <c r="CP23"/>
  <c r="AB23"/>
  <c r="W24"/>
  <c r="CC25" s="1"/>
  <c r="CQ23"/>
  <c r="AI24"/>
  <c r="AN23"/>
  <c r="AR23" s="1"/>
  <c r="AX23" s="1"/>
  <c r="AZ23" s="1"/>
  <c r="BO23" s="1"/>
  <c r="CT23"/>
  <c r="AA24"/>
  <c r="W24" i="86"/>
  <c r="CC25" s="1"/>
  <c r="CQ23"/>
  <c r="AI24"/>
  <c r="AN23"/>
  <c r="AR23" s="1"/>
  <c r="AX23" s="1"/>
  <c r="AZ23" s="1"/>
  <c r="BO23" s="1"/>
  <c r="AA24"/>
  <c r="CT23"/>
  <c r="CP23"/>
  <c r="AB23"/>
  <c r="AC25" i="85"/>
  <c r="I29"/>
  <c r="AW25"/>
  <c r="CC23"/>
  <c r="AW28" i="133"/>
  <c r="AC28" i="136"/>
  <c r="AT28" s="1"/>
  <c r="AU28" s="1"/>
  <c r="V27" i="137"/>
  <c r="CP27" s="1"/>
  <c r="W27"/>
  <c r="CQ27" s="1"/>
  <c r="CP23" i="138"/>
  <c r="AB23"/>
  <c r="V28"/>
  <c r="AB25"/>
  <c r="CP25"/>
  <c r="AN27"/>
  <c r="AR27" s="1"/>
  <c r="AX27" s="1"/>
  <c r="AZ27" s="1"/>
  <c r="BO27" s="1"/>
  <c r="AI28"/>
  <c r="AA28"/>
  <c r="CT27"/>
  <c r="CQ23"/>
  <c r="W28"/>
  <c r="AB27"/>
  <c r="CP27"/>
  <c r="CT26" i="137"/>
  <c r="AB26"/>
  <c r="AC27"/>
  <c r="AC28" s="1"/>
  <c r="AT28" s="1"/>
  <c r="AU28" s="1"/>
  <c r="S28"/>
  <c r="I32" s="1"/>
  <c r="AI27"/>
  <c r="AA27"/>
  <c r="CT25"/>
  <c r="AB25"/>
  <c r="AA28" i="136"/>
  <c r="CT27"/>
  <c r="AB27"/>
  <c r="CT25"/>
  <c r="AB25"/>
  <c r="AN27"/>
  <c r="AR27" s="1"/>
  <c r="AX27" s="1"/>
  <c r="AZ27" s="1"/>
  <c r="BO27" s="1"/>
  <c r="AI28"/>
  <c r="AB28" i="135"/>
  <c r="I33" s="1"/>
  <c r="I34" s="1"/>
  <c r="AC23" i="134"/>
  <c r="S28"/>
  <c r="I32" s="1"/>
  <c r="V27"/>
  <c r="W27"/>
  <c r="CQ27" s="1"/>
  <c r="AI27"/>
  <c r="AA27"/>
  <c r="AW28"/>
  <c r="W28"/>
  <c r="AB26"/>
  <c r="AC26" s="1"/>
  <c r="CP26"/>
  <c r="AC27" i="133"/>
  <c r="AC28" s="1"/>
  <c r="AT28" s="1"/>
  <c r="AU28" s="1"/>
  <c r="S28"/>
  <c r="I32" s="1"/>
  <c r="AI27"/>
  <c r="X27"/>
  <c r="X28" s="1"/>
  <c r="CC25" s="1"/>
  <c r="CD26" s="1"/>
  <c r="AA27"/>
  <c r="CR23"/>
  <c r="AB23"/>
  <c r="CR24"/>
  <c r="AB24"/>
  <c r="AC28" i="132"/>
  <c r="AT28" s="1"/>
  <c r="AU28" s="1"/>
  <c r="W28"/>
  <c r="CD27"/>
  <c r="AI28"/>
  <c r="AN27"/>
  <c r="AR27" s="1"/>
  <c r="AX27" s="1"/>
  <c r="AZ27" s="1"/>
  <c r="BO27" s="1"/>
  <c r="AB24"/>
  <c r="CP24"/>
  <c r="CT27"/>
  <c r="AA28"/>
  <c r="CP26"/>
  <c r="AB26"/>
  <c r="CP27"/>
  <c r="AB27"/>
  <c r="V28"/>
  <c r="AB28" i="131"/>
  <c r="I33" s="1"/>
  <c r="I34" s="1"/>
  <c r="AB24" i="115"/>
  <c r="I29" s="1"/>
  <c r="I30" s="1"/>
  <c r="W28" i="127"/>
  <c r="CC26" s="1"/>
  <c r="CD28" s="1"/>
  <c r="W28" i="124"/>
  <c r="CC26" s="1"/>
  <c r="CD27" s="1"/>
  <c r="W28" i="126"/>
  <c r="CC26" s="1"/>
  <c r="CD28" s="1"/>
  <c r="V28"/>
  <c r="CC25" s="1"/>
  <c r="CD27" s="1"/>
  <c r="AB27" i="129"/>
  <c r="AC27" s="1"/>
  <c r="AA28" i="130"/>
  <c r="CT27"/>
  <c r="CP27" i="125"/>
  <c r="AB27"/>
  <c r="AC27" s="1"/>
  <c r="AI28"/>
  <c r="AN27"/>
  <c r="AR27" s="1"/>
  <c r="AX27" s="1"/>
  <c r="AZ27" s="1"/>
  <c r="BO27" s="1"/>
  <c r="V28"/>
  <c r="AB23"/>
  <c r="AC23" s="1"/>
  <c r="CP23"/>
  <c r="CT27"/>
  <c r="AA28"/>
  <c r="W28"/>
  <c r="CQ23"/>
  <c r="CT27" i="124"/>
  <c r="AA28"/>
  <c r="AI28"/>
  <c r="AN27"/>
  <c r="AR27" s="1"/>
  <c r="AX27" s="1"/>
  <c r="AZ27" s="1"/>
  <c r="BO27" s="1"/>
  <c r="CP27"/>
  <c r="AB27"/>
  <c r="AC27" s="1"/>
  <c r="AC28" s="1"/>
  <c r="AT28" s="1"/>
  <c r="AU28" s="1"/>
  <c r="AA28" i="126"/>
  <c r="CT27"/>
  <c r="AC23"/>
  <c r="CR27"/>
  <c r="AB27"/>
  <c r="AC27" s="1"/>
  <c r="AN27"/>
  <c r="AR27" s="1"/>
  <c r="AX27" s="1"/>
  <c r="AZ27" s="1"/>
  <c r="BO27" s="1"/>
  <c r="AI28"/>
  <c r="AB26" i="128"/>
  <c r="CR26"/>
  <c r="X28"/>
  <c r="CC25" s="1"/>
  <c r="CD26" s="1"/>
  <c r="AB27" i="130"/>
  <c r="AB28" s="1"/>
  <c r="I33" s="1"/>
  <c r="I34" s="1"/>
  <c r="CP27"/>
  <c r="W28"/>
  <c r="CC26" s="1"/>
  <c r="AN27"/>
  <c r="AR27" s="1"/>
  <c r="AX27" s="1"/>
  <c r="AZ27" s="1"/>
  <c r="BO27" s="1"/>
  <c r="AI28"/>
  <c r="X28" i="129"/>
  <c r="CC25" s="1"/>
  <c r="CD26" s="1"/>
  <c r="AC23"/>
  <c r="AN27"/>
  <c r="AR27" s="1"/>
  <c r="AX27" s="1"/>
  <c r="AZ27" s="1"/>
  <c r="BO27" s="1"/>
  <c r="AI28"/>
  <c r="AN27" i="127"/>
  <c r="AR27" s="1"/>
  <c r="AX27" s="1"/>
  <c r="AZ27" s="1"/>
  <c r="BO27" s="1"/>
  <c r="AI28"/>
  <c r="AB27"/>
  <c r="AB28" s="1"/>
  <c r="I33" s="1"/>
  <c r="I34" s="1"/>
  <c r="CJ27"/>
  <c r="V23" i="123"/>
  <c r="W23"/>
  <c r="W24" s="1"/>
  <c r="S24"/>
  <c r="I28" s="1"/>
  <c r="AI23"/>
  <c r="AA23"/>
  <c r="AA24" s="1"/>
  <c r="AB23" i="122"/>
  <c r="V24"/>
  <c r="AN23"/>
  <c r="AR23" s="1"/>
  <c r="AX23" s="1"/>
  <c r="AZ23" s="1"/>
  <c r="BO23" s="1"/>
  <c r="AI24"/>
  <c r="AN23" i="121"/>
  <c r="AR23" s="1"/>
  <c r="AX23" s="1"/>
  <c r="AZ23" s="1"/>
  <c r="BO23" s="1"/>
  <c r="AI24"/>
  <c r="AB23"/>
  <c r="V24"/>
  <c r="AB23" i="120"/>
  <c r="V24"/>
  <c r="AN23"/>
  <c r="AR23" s="1"/>
  <c r="AX23" s="1"/>
  <c r="AZ23" s="1"/>
  <c r="BO23" s="1"/>
  <c r="AI24"/>
  <c r="V23" i="119"/>
  <c r="S24"/>
  <c r="I28" s="1"/>
  <c r="AI23"/>
  <c r="Y23"/>
  <c r="Y24" s="1"/>
  <c r="AA23"/>
  <c r="AA24" s="1"/>
  <c r="AN23" i="118"/>
  <c r="AR23" s="1"/>
  <c r="AX23" s="1"/>
  <c r="AZ23" s="1"/>
  <c r="BO23" s="1"/>
  <c r="AI24"/>
  <c r="X24"/>
  <c r="AB23"/>
  <c r="V23" i="117"/>
  <c r="W23"/>
  <c r="W24" s="1"/>
  <c r="S24"/>
  <c r="I28" s="1"/>
  <c r="AI23"/>
  <c r="AA23"/>
  <c r="AA24" s="1"/>
  <c r="AB23" i="116"/>
  <c r="V24"/>
  <c r="AN23"/>
  <c r="AR23" s="1"/>
  <c r="AX23" s="1"/>
  <c r="AZ23" s="1"/>
  <c r="BO23" s="1"/>
  <c r="AI24"/>
  <c r="AN23" i="114"/>
  <c r="AR23" s="1"/>
  <c r="AX23" s="1"/>
  <c r="AZ23" s="1"/>
  <c r="BO23" s="1"/>
  <c r="AI24"/>
  <c r="AB23"/>
  <c r="V24"/>
  <c r="AB23" i="113"/>
  <c r="AB24" s="1"/>
  <c r="I29" s="1"/>
  <c r="I30" s="1"/>
  <c r="V24"/>
  <c r="AN23"/>
  <c r="AR23" s="1"/>
  <c r="AX23" s="1"/>
  <c r="AZ23" s="1"/>
  <c r="BO23" s="1"/>
  <c r="AI24"/>
  <c r="AB23" i="112"/>
  <c r="V24"/>
  <c r="AN23"/>
  <c r="AR23" s="1"/>
  <c r="AX23" s="1"/>
  <c r="AZ23" s="1"/>
  <c r="BO23" s="1"/>
  <c r="AI24"/>
  <c r="AB24" i="111"/>
  <c r="I29" s="1"/>
  <c r="I30" s="1"/>
  <c r="AC23"/>
  <c r="AC24" s="1"/>
  <c r="AT24" s="1"/>
  <c r="AN23" i="110"/>
  <c r="AR23" s="1"/>
  <c r="AX23" s="1"/>
  <c r="AZ23" s="1"/>
  <c r="BO23" s="1"/>
  <c r="AI24"/>
  <c r="AB23"/>
  <c r="V24"/>
  <c r="AN23" i="109"/>
  <c r="AR23" s="1"/>
  <c r="AX23" s="1"/>
  <c r="AZ23" s="1"/>
  <c r="BO23" s="1"/>
  <c r="AI24"/>
  <c r="AB23"/>
  <c r="V24"/>
  <c r="AC27" i="108"/>
  <c r="AC28" s="1"/>
  <c r="AT28" s="1"/>
  <c r="AU28" s="1"/>
  <c r="V27"/>
  <c r="W27"/>
  <c r="W28" s="1"/>
  <c r="S28"/>
  <c r="I32" s="1"/>
  <c r="AI27"/>
  <c r="AA27"/>
  <c r="AA28" s="1"/>
  <c r="AB23" i="107"/>
  <c r="AB24" s="1"/>
  <c r="I29" s="1"/>
  <c r="I30" s="1"/>
  <c r="V24"/>
  <c r="AN23"/>
  <c r="AR23" s="1"/>
  <c r="AX23" s="1"/>
  <c r="AZ23" s="1"/>
  <c r="BO23" s="1"/>
  <c r="AI24"/>
  <c r="AH23" i="104"/>
  <c r="AH24" s="1"/>
  <c r="AG23"/>
  <c r="AG23" i="103"/>
  <c r="AJ23" s="1"/>
  <c r="V24" i="106"/>
  <c r="AB23"/>
  <c r="AB24" s="1"/>
  <c r="I29" s="1"/>
  <c r="I30" s="1"/>
  <c r="AI24"/>
  <c r="AN23"/>
  <c r="AR23" s="1"/>
  <c r="AX23" s="1"/>
  <c r="AZ23" s="1"/>
  <c r="BO23" s="1"/>
  <c r="AI28" i="105"/>
  <c r="AN27"/>
  <c r="AR27" s="1"/>
  <c r="AX27" s="1"/>
  <c r="AZ27" s="1"/>
  <c r="BO27" s="1"/>
  <c r="V28"/>
  <c r="AB27"/>
  <c r="AB28" s="1"/>
  <c r="I33" s="1"/>
  <c r="I34" s="1"/>
  <c r="AI24" i="104"/>
  <c r="AN23"/>
  <c r="X24"/>
  <c r="AB23"/>
  <c r="AI24" i="103"/>
  <c r="AN23"/>
  <c r="AE23"/>
  <c r="AE24" s="1"/>
  <c r="V24"/>
  <c r="AB23"/>
  <c r="W28" i="137" l="1"/>
  <c r="AT25" i="85"/>
  <c r="AU25" s="1"/>
  <c r="CD27"/>
  <c r="CX23" s="1"/>
  <c r="AB24" i="81"/>
  <c r="I29" s="1"/>
  <c r="I30" s="1"/>
  <c r="AC23"/>
  <c r="AC24" s="1"/>
  <c r="AB24" i="88"/>
  <c r="I29" s="1"/>
  <c r="I30" s="1"/>
  <c r="AC23"/>
  <c r="AC24" s="1"/>
  <c r="AB24" i="87"/>
  <c r="I29" s="1"/>
  <c r="I30" s="1"/>
  <c r="AC23"/>
  <c r="AC24" s="1"/>
  <c r="AC23" i="86"/>
  <c r="V24"/>
  <c r="CC24" s="1"/>
  <c r="AB25" i="85"/>
  <c r="I30" s="1"/>
  <c r="I31" s="1"/>
  <c r="V28" i="137"/>
  <c r="AB28" i="136"/>
  <c r="I33" s="1"/>
  <c r="I34" s="1"/>
  <c r="AB28" i="138"/>
  <c r="I33" s="1"/>
  <c r="I34" s="1"/>
  <c r="AB27" i="137"/>
  <c r="AB28" s="1"/>
  <c r="I33" s="1"/>
  <c r="I34" s="1"/>
  <c r="AA28"/>
  <c r="CT27"/>
  <c r="AN27"/>
  <c r="AR27" s="1"/>
  <c r="AX27" s="1"/>
  <c r="AZ27" s="1"/>
  <c r="BO27" s="1"/>
  <c r="AI28"/>
  <c r="CP27" i="134"/>
  <c r="AB27"/>
  <c r="V28"/>
  <c r="AN27"/>
  <c r="AR27" s="1"/>
  <c r="AX27" s="1"/>
  <c r="AZ27" s="1"/>
  <c r="BO27" s="1"/>
  <c r="AI28"/>
  <c r="AA28"/>
  <c r="CT27"/>
  <c r="AN27" i="133"/>
  <c r="AR27" s="1"/>
  <c r="AX27" s="1"/>
  <c r="AZ27" s="1"/>
  <c r="BO27" s="1"/>
  <c r="AI28"/>
  <c r="AB27"/>
  <c r="AB28" s="1"/>
  <c r="I33" s="1"/>
  <c r="I34" s="1"/>
  <c r="CR27"/>
  <c r="AA28"/>
  <c r="CT27"/>
  <c r="AC28" i="126"/>
  <c r="AT28" s="1"/>
  <c r="AU28" s="1"/>
  <c r="AB28" i="132"/>
  <c r="I33" s="1"/>
  <c r="I34" s="1"/>
  <c r="AB28" i="126"/>
  <c r="I33" s="1"/>
  <c r="I34" s="1"/>
  <c r="AC28" i="125"/>
  <c r="AT28" s="1"/>
  <c r="AB28" i="124"/>
  <c r="I33" s="1"/>
  <c r="I34" s="1"/>
  <c r="AB28" i="129"/>
  <c r="I33" s="1"/>
  <c r="I34" s="1"/>
  <c r="AB28" i="128"/>
  <c r="I33" s="1"/>
  <c r="I34" s="1"/>
  <c r="AC26"/>
  <c r="AC28" s="1"/>
  <c r="AT28" s="1"/>
  <c r="AU28" s="1"/>
  <c r="AC28" i="129"/>
  <c r="AT28" s="1"/>
  <c r="AU28" s="1"/>
  <c r="AB28" i="125"/>
  <c r="I33" s="1"/>
  <c r="I34" s="1"/>
  <c r="AB24" i="109"/>
  <c r="I29" s="1"/>
  <c r="I30" s="1"/>
  <c r="AC23"/>
  <c r="AC24" s="1"/>
  <c r="AT24" s="1"/>
  <c r="AB23" i="123"/>
  <c r="V24"/>
  <c r="AN23"/>
  <c r="AR23" s="1"/>
  <c r="AX23" s="1"/>
  <c r="AZ23" s="1"/>
  <c r="BO23" s="1"/>
  <c r="AI24"/>
  <c r="AB24" i="122"/>
  <c r="I29" s="1"/>
  <c r="I30" s="1"/>
  <c r="AC23"/>
  <c r="AC24" s="1"/>
  <c r="AT24" s="1"/>
  <c r="AB24" i="121"/>
  <c r="I29" s="1"/>
  <c r="I30" s="1"/>
  <c r="AC23"/>
  <c r="AC24" s="1"/>
  <c r="AT24" s="1"/>
  <c r="AB24" i="120"/>
  <c r="I29" s="1"/>
  <c r="I30" s="1"/>
  <c r="AC23"/>
  <c r="AC24" s="1"/>
  <c r="AT24" s="1"/>
  <c r="AN23" i="119"/>
  <c r="AR23" s="1"/>
  <c r="AX23" s="1"/>
  <c r="AZ23" s="1"/>
  <c r="BO23" s="1"/>
  <c r="AI24"/>
  <c r="AB23"/>
  <c r="V24"/>
  <c r="AB24" i="118"/>
  <c r="I29" s="1"/>
  <c r="I30" s="1"/>
  <c r="AC23"/>
  <c r="AC24" s="1"/>
  <c r="AT24" s="1"/>
  <c r="V24" i="117"/>
  <c r="AB23"/>
  <c r="AN23"/>
  <c r="AR23" s="1"/>
  <c r="AX23" s="1"/>
  <c r="AZ23" s="1"/>
  <c r="BO23" s="1"/>
  <c r="AI24"/>
  <c r="AB24" i="116"/>
  <c r="I29" s="1"/>
  <c r="I30" s="1"/>
  <c r="AC23"/>
  <c r="AC24" s="1"/>
  <c r="AT24" s="1"/>
  <c r="AB24" i="114"/>
  <c r="I29" s="1"/>
  <c r="I30" s="1"/>
  <c r="AC23"/>
  <c r="AC24" s="1"/>
  <c r="AT24" s="1"/>
  <c r="AB24" i="112"/>
  <c r="I29" s="1"/>
  <c r="I30" s="1"/>
  <c r="AC23"/>
  <c r="AC24" s="1"/>
  <c r="AT24" s="1"/>
  <c r="AB24" i="110"/>
  <c r="I29" s="1"/>
  <c r="I30" s="1"/>
  <c r="AC23"/>
  <c r="AC24" s="1"/>
  <c r="AT24" s="1"/>
  <c r="V28" i="108"/>
  <c r="AB27"/>
  <c r="AB28" s="1"/>
  <c r="I33" s="1"/>
  <c r="I34" s="1"/>
  <c r="AN27"/>
  <c r="AR27" s="1"/>
  <c r="AX27" s="1"/>
  <c r="AZ27" s="1"/>
  <c r="BO27" s="1"/>
  <c r="AI28"/>
  <c r="AJ23" i="104"/>
  <c r="AJ24" s="1"/>
  <c r="AG24"/>
  <c r="AG24" i="103"/>
  <c r="AB24" i="104"/>
  <c r="AC23"/>
  <c r="AC24" s="1"/>
  <c r="AB24" i="103"/>
  <c r="AC23"/>
  <c r="AC24" s="1"/>
  <c r="AO23"/>
  <c r="AR23" s="1"/>
  <c r="AX23" s="1"/>
  <c r="AZ23" s="1"/>
  <c r="BO23" s="1"/>
  <c r="AJ24"/>
  <c r="AU28" i="125" l="1"/>
  <c r="CC26" s="1"/>
  <c r="CD27"/>
  <c r="CU23" s="1"/>
  <c r="CD26" i="81"/>
  <c r="CU23" s="1"/>
  <c r="AT24"/>
  <c r="AU24" s="1"/>
  <c r="CD26" i="88"/>
  <c r="CU23" s="1"/>
  <c r="AT24"/>
  <c r="AU24" s="1"/>
  <c r="CD26" i="87"/>
  <c r="CU23" s="1"/>
  <c r="AT24"/>
  <c r="AU24" s="1"/>
  <c r="AB24" i="86"/>
  <c r="I29" s="1"/>
  <c r="I30" s="1"/>
  <c r="AC24"/>
  <c r="AC27" i="134"/>
  <c r="AC28" s="1"/>
  <c r="AT28" s="1"/>
  <c r="AU28" s="1"/>
  <c r="AB28"/>
  <c r="I33" s="1"/>
  <c r="I34" s="1"/>
  <c r="AB24" i="123"/>
  <c r="I29" s="1"/>
  <c r="I30" s="1"/>
  <c r="AC23"/>
  <c r="AC24" s="1"/>
  <c r="AT24" s="1"/>
  <c r="AB24" i="119"/>
  <c r="I29" s="1"/>
  <c r="I30" s="1"/>
  <c r="AC23"/>
  <c r="AC24" s="1"/>
  <c r="AT24" s="1"/>
  <c r="AB24" i="117"/>
  <c r="I29" s="1"/>
  <c r="I30" s="1"/>
  <c r="AC23"/>
  <c r="AC24" s="1"/>
  <c r="AT24" s="1"/>
  <c r="AO23" i="104"/>
  <c r="AR23" s="1"/>
  <c r="AX23" s="1"/>
  <c r="AZ23" s="1"/>
  <c r="BO23" s="1"/>
  <c r="H24" i="102"/>
  <c r="BM37"/>
  <c r="BN36"/>
  <c r="BM36"/>
  <c r="AD28"/>
  <c r="AG27" s="1"/>
  <c r="Z28"/>
  <c r="AM27"/>
  <c r="AW27" s="1"/>
  <c r="AY27" s="1"/>
  <c r="AK27"/>
  <c r="Y27"/>
  <c r="Y28" s="1"/>
  <c r="X27"/>
  <c r="X28" s="1"/>
  <c r="H27"/>
  <c r="H28" s="1"/>
  <c r="I30" s="1"/>
  <c r="AM26"/>
  <c r="AW26" s="1"/>
  <c r="AK26"/>
  <c r="Y26"/>
  <c r="X26"/>
  <c r="H26"/>
  <c r="L26" s="1"/>
  <c r="M26" s="1"/>
  <c r="AM25"/>
  <c r="AK25"/>
  <c r="Y25"/>
  <c r="X25"/>
  <c r="H25"/>
  <c r="L25" s="1"/>
  <c r="M25" s="1"/>
  <c r="AM24"/>
  <c r="AW24" s="1"/>
  <c r="AK24"/>
  <c r="Y24"/>
  <c r="X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101"/>
  <c r="BN32"/>
  <c r="BM32"/>
  <c r="AD24"/>
  <c r="AH24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AD25" i="100"/>
  <c r="AM24"/>
  <c r="AW24" s="1"/>
  <c r="Y24"/>
  <c r="X24"/>
  <c r="H24"/>
  <c r="L24" s="1"/>
  <c r="M24" s="1"/>
  <c r="AM23"/>
  <c r="AW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9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98"/>
  <c r="BN32"/>
  <c r="BM32"/>
  <c r="AD24"/>
  <c r="AH24" s="1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CX23" i="125" l="1"/>
  <c r="CZ23"/>
  <c r="CX23" i="81"/>
  <c r="CZ23"/>
  <c r="CX23" i="88"/>
  <c r="CZ23"/>
  <c r="CX23" i="87"/>
  <c r="CZ23"/>
  <c r="CD26" i="86"/>
  <c r="CU23" s="1"/>
  <c r="AT24"/>
  <c r="AU24" s="1"/>
  <c r="AG23" i="102"/>
  <c r="AE23"/>
  <c r="AH27"/>
  <c r="AJ27" s="1"/>
  <c r="AE26"/>
  <c r="AH24"/>
  <c r="AE24"/>
  <c r="AH25"/>
  <c r="AG25"/>
  <c r="AG26"/>
  <c r="AE27"/>
  <c r="AE28" s="1"/>
  <c r="AH28"/>
  <c r="AP25"/>
  <c r="BP27"/>
  <c r="BP24" i="100"/>
  <c r="AY24"/>
  <c r="AP23" i="99"/>
  <c r="AP24" i="102"/>
  <c r="AP23" i="101"/>
  <c r="AP27" i="102"/>
  <c r="AH23" i="101"/>
  <c r="AK28" i="102"/>
  <c r="BM36" i="99"/>
  <c r="BN36" s="1"/>
  <c r="AG23" i="101"/>
  <c r="AG24" s="1"/>
  <c r="AE23"/>
  <c r="AE24" s="1"/>
  <c r="BM36"/>
  <c r="BN36" s="1"/>
  <c r="AP23" i="102"/>
  <c r="H19" i="100"/>
  <c r="BM40" i="102"/>
  <c r="BN40" s="1"/>
  <c r="H19" i="101"/>
  <c r="H19" i="99"/>
  <c r="H19" i="102"/>
  <c r="N26"/>
  <c r="BP26"/>
  <c r="AY26"/>
  <c r="AY23"/>
  <c r="BP23"/>
  <c r="BP24"/>
  <c r="AY24"/>
  <c r="AG28"/>
  <c r="AP26"/>
  <c r="AH23"/>
  <c r="L24"/>
  <c r="M24" s="1"/>
  <c r="N24" s="1"/>
  <c r="AG24"/>
  <c r="AE25"/>
  <c r="N25"/>
  <c r="AW25"/>
  <c r="AH26"/>
  <c r="L27"/>
  <c r="M27" s="1"/>
  <c r="N27" s="1"/>
  <c r="L23"/>
  <c r="M23" s="1"/>
  <c r="N23" s="1"/>
  <c r="BP23" i="101"/>
  <c r="AY23"/>
  <c r="AK24"/>
  <c r="L23"/>
  <c r="M23" s="1"/>
  <c r="N24" i="100"/>
  <c r="BP23"/>
  <c r="AY23"/>
  <c r="N23"/>
  <c r="H25"/>
  <c r="AY23" i="99"/>
  <c r="BP23"/>
  <c r="AH23"/>
  <c r="AK24"/>
  <c r="L23"/>
  <c r="M23" s="1"/>
  <c r="AG23"/>
  <c r="H24"/>
  <c r="I26" s="1"/>
  <c r="AE23"/>
  <c r="AE24" s="1"/>
  <c r="AH24" i="96"/>
  <c r="AH25" i="91"/>
  <c r="AG23" i="95"/>
  <c r="AG24" s="1"/>
  <c r="AP23" i="98"/>
  <c r="AG23" i="91"/>
  <c r="BM36" i="89"/>
  <c r="BN36" s="1"/>
  <c r="AP23" i="96"/>
  <c r="AE23"/>
  <c r="AE24" s="1"/>
  <c r="AH23" i="95"/>
  <c r="AE23"/>
  <c r="AE24" s="1"/>
  <c r="AP25" i="91"/>
  <c r="AP23" i="94"/>
  <c r="AE23"/>
  <c r="AH24" i="91"/>
  <c r="AG25"/>
  <c r="AH26"/>
  <c r="BM36" i="95"/>
  <c r="BN36" s="1"/>
  <c r="AH23" i="91"/>
  <c r="AG24"/>
  <c r="AE25"/>
  <c r="AE24"/>
  <c r="AG25" i="94"/>
  <c r="BM40"/>
  <c r="BN40" s="1"/>
  <c r="AP23" i="89"/>
  <c r="AE23" i="91"/>
  <c r="AH23" i="89"/>
  <c r="BM40" i="91"/>
  <c r="BN40" s="1"/>
  <c r="BM36" i="98"/>
  <c r="BN36" s="1"/>
  <c r="AG23" i="89"/>
  <c r="AG24" s="1"/>
  <c r="AP24" i="94"/>
  <c r="CY24" i="89"/>
  <c r="AP27" i="91"/>
  <c r="AW24" i="94"/>
  <c r="AY24" s="1"/>
  <c r="AH25"/>
  <c r="AE25"/>
  <c r="AH23" i="96"/>
  <c r="AJ23" s="1"/>
  <c r="H19" i="91"/>
  <c r="AE23" i="89"/>
  <c r="AE24" s="1"/>
  <c r="AP24" i="91"/>
  <c r="BM36" i="96"/>
  <c r="BN36" s="1"/>
  <c r="H19" i="89"/>
  <c r="AP23" i="91"/>
  <c r="H19" i="94"/>
  <c r="AH24"/>
  <c r="AK24" i="96"/>
  <c r="BY19" i="89"/>
  <c r="DG23"/>
  <c r="N23" i="94"/>
  <c r="O23" s="1"/>
  <c r="AG24"/>
  <c r="H19" i="95"/>
  <c r="H19" i="98"/>
  <c r="CY23" i="89"/>
  <c r="AH23" i="94"/>
  <c r="AE24"/>
  <c r="AP25"/>
  <c r="AP26"/>
  <c r="CX23" i="89"/>
  <c r="CX24" s="1"/>
  <c r="AH24"/>
  <c r="ED36"/>
  <c r="EE36" s="1"/>
  <c r="AG23" i="94"/>
  <c r="AH26"/>
  <c r="AP27"/>
  <c r="AP23" i="95"/>
  <c r="H19" i="96"/>
  <c r="AP26" i="91"/>
  <c r="L24" i="94"/>
  <c r="M24" s="1"/>
  <c r="N24" s="1"/>
  <c r="O24" s="1"/>
  <c r="P24" s="1"/>
  <c r="Q24" s="1"/>
  <c r="R24" s="1"/>
  <c r="S24" s="1"/>
  <c r="N23" i="91"/>
  <c r="O23" s="1"/>
  <c r="P23" s="1"/>
  <c r="Q23" s="1"/>
  <c r="AY23" i="98"/>
  <c r="BP23"/>
  <c r="H24"/>
  <c r="I26" s="1"/>
  <c r="L23"/>
  <c r="M23" s="1"/>
  <c r="AJ23"/>
  <c r="AK24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DP23" i="89"/>
  <c r="EG23"/>
  <c r="CC23"/>
  <c r="CD23" s="1"/>
  <c r="BY24"/>
  <c r="BZ26" s="1"/>
  <c r="L23"/>
  <c r="M23" s="1"/>
  <c r="N23" s="1"/>
  <c r="BP23"/>
  <c r="DB24"/>
  <c r="CX23" i="86" l="1"/>
  <c r="CZ23"/>
  <c r="AJ25" i="91"/>
  <c r="AO25" s="1"/>
  <c r="AJ23" i="102"/>
  <c r="AO23" s="1"/>
  <c r="AJ26"/>
  <c r="AO26" s="1"/>
  <c r="AJ25"/>
  <c r="AO25" s="1"/>
  <c r="AJ24"/>
  <c r="AO24" s="1"/>
  <c r="AJ23" i="101"/>
  <c r="AO23" s="1"/>
  <c r="AJ23" i="95"/>
  <c r="AJ24" s="1"/>
  <c r="O27" i="102"/>
  <c r="P27" s="1"/>
  <c r="Q27" s="1"/>
  <c r="R27" s="1"/>
  <c r="O24"/>
  <c r="P24" s="1"/>
  <c r="Q24" s="1"/>
  <c r="R24" s="1"/>
  <c r="S24" s="1"/>
  <c r="O26"/>
  <c r="O25"/>
  <c r="O23"/>
  <c r="AY25"/>
  <c r="BP25"/>
  <c r="AJ28"/>
  <c r="AO27"/>
  <c r="N23" i="101"/>
  <c r="O24" i="100"/>
  <c r="P24" s="1"/>
  <c r="Q24" s="1"/>
  <c r="O23"/>
  <c r="AG24" i="99"/>
  <c r="AJ23"/>
  <c r="N23"/>
  <c r="AJ25" i="94"/>
  <c r="AO25" s="1"/>
  <c r="AJ23" i="91"/>
  <c r="AO23" s="1"/>
  <c r="AJ26"/>
  <c r="AO26" s="1"/>
  <c r="AJ24"/>
  <c r="AO24" s="1"/>
  <c r="BP24" i="94"/>
  <c r="AJ23" i="89"/>
  <c r="AJ24" i="94"/>
  <c r="AO24" s="1"/>
  <c r="DA23" i="89"/>
  <c r="AJ26" i="94"/>
  <c r="AO26" s="1"/>
  <c r="AJ23"/>
  <c r="AO23" s="1"/>
  <c r="AO23" i="98"/>
  <c r="AJ24"/>
  <c r="N23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7" i="91"/>
  <c r="P27" s="1"/>
  <c r="Q27" s="1"/>
  <c r="O24"/>
  <c r="P24" s="1"/>
  <c r="Q24" s="1"/>
  <c r="O26"/>
  <c r="R23"/>
  <c r="S23" s="1"/>
  <c r="O25"/>
  <c r="AJ27"/>
  <c r="AG28"/>
  <c r="O23" i="89"/>
  <c r="CE23"/>
  <c r="AJ24" i="101" l="1"/>
  <c r="AO23" i="95"/>
  <c r="W24" i="102"/>
  <c r="AA24"/>
  <c r="V24"/>
  <c r="AI24"/>
  <c r="AN24" s="1"/>
  <c r="AR24" s="1"/>
  <c r="AX24" s="1"/>
  <c r="AZ24" s="1"/>
  <c r="BO24" s="1"/>
  <c r="R28"/>
  <c r="I31" s="1"/>
  <c r="S27"/>
  <c r="P25"/>
  <c r="Q25" s="1"/>
  <c r="R25" s="1"/>
  <c r="S25" s="1"/>
  <c r="P23"/>
  <c r="Q23" s="1"/>
  <c r="R23" s="1"/>
  <c r="S23" s="1"/>
  <c r="P26"/>
  <c r="Q26" s="1"/>
  <c r="R26" s="1"/>
  <c r="S26" s="1"/>
  <c r="O23" i="101"/>
  <c r="P23" i="100"/>
  <c r="Q23" s="1"/>
  <c r="R23" s="1"/>
  <c r="R24"/>
  <c r="S24" s="1"/>
  <c r="O23" i="99"/>
  <c r="AO23"/>
  <c r="AJ24"/>
  <c r="V23" i="91"/>
  <c r="W23"/>
  <c r="AJ24" i="89"/>
  <c r="AO23"/>
  <c r="DF23"/>
  <c r="DA24"/>
  <c r="AR24" i="94"/>
  <c r="AX24" s="1"/>
  <c r="AZ24" s="1"/>
  <c r="BO24" s="1"/>
  <c r="O23" i="98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P23" i="89"/>
  <c r="Q23" s="1"/>
  <c r="R23" s="1"/>
  <c r="CF23"/>
  <c r="AB24" i="102" l="1"/>
  <c r="AC24" s="1"/>
  <c r="AI23"/>
  <c r="AN23" s="1"/>
  <c r="AR23" s="1"/>
  <c r="AX23" s="1"/>
  <c r="AZ23" s="1"/>
  <c r="BO23" s="1"/>
  <c r="V23"/>
  <c r="AA23"/>
  <c r="W23"/>
  <c r="W26"/>
  <c r="AI26"/>
  <c r="AN26" s="1"/>
  <c r="AR26" s="1"/>
  <c r="AX26" s="1"/>
  <c r="AZ26" s="1"/>
  <c r="BO26" s="1"/>
  <c r="AA26"/>
  <c r="V26"/>
  <c r="V27"/>
  <c r="W27"/>
  <c r="W28" s="1"/>
  <c r="S28"/>
  <c r="I32" s="1"/>
  <c r="AI27"/>
  <c r="AA27"/>
  <c r="AA28" s="1"/>
  <c r="V25"/>
  <c r="W25"/>
  <c r="AI25"/>
  <c r="AN25" s="1"/>
  <c r="AR25" s="1"/>
  <c r="AX25" s="1"/>
  <c r="AZ25" s="1"/>
  <c r="BO25" s="1"/>
  <c r="AA25"/>
  <c r="P23" i="101"/>
  <c r="Q23" s="1"/>
  <c r="R23" s="1"/>
  <c r="R25" i="100"/>
  <c r="S23"/>
  <c r="V24"/>
  <c r="W24"/>
  <c r="AI24"/>
  <c r="AN24" s="1"/>
  <c r="AA24"/>
  <c r="AC24"/>
  <c r="P23" i="99"/>
  <c r="Q23" s="1"/>
  <c r="R23" s="1"/>
  <c r="V26" i="91"/>
  <c r="W26"/>
  <c r="W25"/>
  <c r="V25"/>
  <c r="V24"/>
  <c r="W24"/>
  <c r="AB23"/>
  <c r="AC23" s="1"/>
  <c r="R23" i="98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R24" i="89"/>
  <c r="I27" s="1"/>
  <c r="S23"/>
  <c r="CG23"/>
  <c r="CH23" s="1"/>
  <c r="CI23" s="1"/>
  <c r="AB25" i="102" l="1"/>
  <c r="AC25" s="1"/>
  <c r="AB26"/>
  <c r="AC26" s="1"/>
  <c r="AB23"/>
  <c r="AN27"/>
  <c r="AR27" s="1"/>
  <c r="AX27" s="1"/>
  <c r="AZ27" s="1"/>
  <c r="BO27" s="1"/>
  <c r="AI28"/>
  <c r="V28"/>
  <c r="AB27"/>
  <c r="AC27" s="1"/>
  <c r="R24" i="101"/>
  <c r="I27" s="1"/>
  <c r="S23"/>
  <c r="V23" i="100"/>
  <c r="W23"/>
  <c r="W25" s="1"/>
  <c r="AI23"/>
  <c r="S25"/>
  <c r="AH23" s="1"/>
  <c r="AH25" s="1"/>
  <c r="AA23"/>
  <c r="AB24"/>
  <c r="R24" i="99"/>
  <c r="I27" s="1"/>
  <c r="S23"/>
  <c r="S28" i="91"/>
  <c r="I32" s="1"/>
  <c r="V27"/>
  <c r="V28" s="1"/>
  <c r="W27"/>
  <c r="W28" s="1"/>
  <c r="AB25" i="94"/>
  <c r="AC25" s="1"/>
  <c r="AB26" i="91"/>
  <c r="AC26" s="1"/>
  <c r="AB25"/>
  <c r="AC25" s="1"/>
  <c r="AB26" i="94"/>
  <c r="AC26" s="1"/>
  <c r="AB24" i="91"/>
  <c r="AC24" s="1"/>
  <c r="R24" i="98"/>
  <c r="I27" s="1"/>
  <c r="S23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7" i="91"/>
  <c r="X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AB28" i="102" l="1"/>
  <c r="I33" s="1"/>
  <c r="I34" s="1"/>
  <c r="AC23"/>
  <c r="AC28" s="1"/>
  <c r="AT28" s="1"/>
  <c r="AU28" s="1"/>
  <c r="V23" i="101"/>
  <c r="W23"/>
  <c r="W24" s="1"/>
  <c r="S24"/>
  <c r="I28" s="1"/>
  <c r="AI23"/>
  <c r="AA23"/>
  <c r="AA24" s="1"/>
  <c r="V25" i="100"/>
  <c r="AB23"/>
  <c r="AG23"/>
  <c r="AH24"/>
  <c r="AG24"/>
  <c r="AE24"/>
  <c r="AI25"/>
  <c r="AN23"/>
  <c r="AE23"/>
  <c r="AC23" i="99"/>
  <c r="AC24" s="1"/>
  <c r="AT24" s="1"/>
  <c r="V23"/>
  <c r="W23"/>
  <c r="W24" s="1"/>
  <c r="AA23"/>
  <c r="AA24" s="1"/>
  <c r="S24"/>
  <c r="I28" s="1"/>
  <c r="AI23"/>
  <c r="AA23" i="98"/>
  <c r="AA24" s="1"/>
  <c r="AC23"/>
  <c r="AC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N27" i="91"/>
  <c r="AR27" s="1"/>
  <c r="AX27" s="1"/>
  <c r="AZ27" s="1"/>
  <c r="BO27" s="1"/>
  <c r="AI28"/>
  <c r="X28"/>
  <c r="AB27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AK24" i="100" l="1"/>
  <c r="AP24" s="1"/>
  <c r="AE25"/>
  <c r="AK23"/>
  <c r="AN23" i="101"/>
  <c r="AR23" s="1"/>
  <c r="AX23" s="1"/>
  <c r="AZ23" s="1"/>
  <c r="BO23" s="1"/>
  <c r="AI24"/>
  <c r="AB23"/>
  <c r="V24"/>
  <c r="AB25" i="100"/>
  <c r="AC23"/>
  <c r="AC25" s="1"/>
  <c r="AG25"/>
  <c r="AJ23"/>
  <c r="AJ24"/>
  <c r="AO24" s="1"/>
  <c r="AB23" i="99"/>
  <c r="AB24" s="1"/>
  <c r="I29" s="1"/>
  <c r="I30" s="1"/>
  <c r="V24"/>
  <c r="AN23"/>
  <c r="AR23" s="1"/>
  <c r="AX23" s="1"/>
  <c r="AZ23" s="1"/>
  <c r="BO23" s="1"/>
  <c r="AI24"/>
  <c r="AB23" i="98"/>
  <c r="AB24" s="1"/>
  <c r="I29" s="1"/>
  <c r="I30" s="1"/>
  <c r="V24"/>
  <c r="AN23"/>
  <c r="AR23" s="1"/>
  <c r="AX23" s="1"/>
  <c r="AZ23" s="1"/>
  <c r="BO23" s="1"/>
  <c r="AI24"/>
  <c r="AN23" i="96"/>
  <c r="AR23" s="1"/>
  <c r="AX23" s="1"/>
  <c r="AZ23" s="1"/>
  <c r="BO23" s="1"/>
  <c r="AI24"/>
  <c r="AB23"/>
  <c r="AB24" s="1"/>
  <c r="I29" s="1"/>
  <c r="I30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P23" i="100" l="1"/>
  <c r="AK25"/>
  <c r="AR24"/>
  <c r="AX24" s="1"/>
  <c r="AZ24" s="1"/>
  <c r="BO24" s="1"/>
  <c r="AB24" i="101"/>
  <c r="I29" s="1"/>
  <c r="I30" s="1"/>
  <c r="AC23"/>
  <c r="AC24" s="1"/>
  <c r="AT24" s="1"/>
  <c r="AO23" i="100"/>
  <c r="AJ25"/>
  <c r="AT28" i="91"/>
  <c r="AU28" s="1"/>
  <c r="AR23" i="100" l="1"/>
  <c r="AX23" s="1"/>
  <c r="AZ23" s="1"/>
  <c r="BO23" s="1"/>
  <c r="AD24" i="75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8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D24" i="65"/>
  <c r="AM23"/>
  <c r="AW23" s="1"/>
  <c r="AK23"/>
  <c r="AK24" s="1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H25" i="56" l="1"/>
  <c r="AB24" i="20"/>
  <c r="X26" i="2"/>
  <c r="AP24" i="5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O24" s="1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B25" i="20" l="1"/>
  <c r="AJ23" i="50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O23" s="1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S24" i="66" l="1"/>
  <c r="AH23" s="1"/>
  <c r="AH24" s="1"/>
  <c r="AJ24" i="47"/>
  <c r="AI23" i="66"/>
  <c r="AI24" s="1"/>
  <c r="AA23"/>
  <c r="AJ25" i="51"/>
  <c r="AJ25" i="68"/>
  <c r="X23" i="65"/>
  <c r="X24" s="1"/>
  <c r="AO23" i="51"/>
  <c r="AI23" i="65"/>
  <c r="AN23" s="1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O24" i="8"/>
  <c r="P24" s="1"/>
  <c r="Q24" s="1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E23" i="66" l="1"/>
  <c r="AE24" s="1"/>
  <c r="AG23"/>
  <c r="AJ23" s="1"/>
  <c r="AB23"/>
  <c r="AB24" s="1"/>
  <c r="V24"/>
  <c r="AI24" i="65"/>
  <c r="AN23" i="66"/>
  <c r="AB23" i="65"/>
  <c r="AB24" s="1"/>
  <c r="AG23" i="45"/>
  <c r="AG24" s="1"/>
  <c r="AJ23" i="65"/>
  <c r="AJ24" s="1"/>
  <c r="S24" i="58"/>
  <c r="AE23" s="1"/>
  <c r="AE24" s="1"/>
  <c r="AE23" i="77"/>
  <c r="AG23" i="43"/>
  <c r="AG24" s="1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O23" i="65" l="1"/>
  <c r="AR23" s="1"/>
  <c r="AX23" s="1"/>
  <c r="AZ23" s="1"/>
  <c r="BO23" s="1"/>
  <c r="AG24" i="66"/>
  <c r="AK23" i="58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G23" i="60" l="1"/>
  <c r="AL23" s="1"/>
  <c r="AO23" s="1"/>
  <c r="AU23" s="1"/>
  <c r="AW23" s="1"/>
  <c r="BL23" s="1"/>
  <c r="AK23" i="78"/>
  <c r="AP23" s="1"/>
  <c r="AR23" s="1"/>
  <c r="AX23" s="1"/>
  <c r="AZ23" s="1"/>
  <c r="BO23" s="1"/>
  <c r="AK24" i="64"/>
  <c r="AJ24" i="45"/>
  <c r="AG23" i="9"/>
  <c r="AG25" s="1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J23" s="1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D26" s="1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G24" i="54"/>
  <c r="AE24"/>
  <c r="AH24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I24"/>
  <c r="S24" i="70"/>
  <c r="AH23" s="1"/>
  <c r="AH24" s="1"/>
  <c r="AI23"/>
  <c r="AC23"/>
  <c r="AC24" s="1"/>
  <c r="V24" i="6"/>
  <c r="AB23"/>
  <c r="V24" i="31"/>
  <c r="W24"/>
  <c r="W25" s="1"/>
  <c r="AI24"/>
  <c r="AA24"/>
  <c r="AA25" s="1"/>
  <c r="AC24"/>
  <c r="S25"/>
  <c r="I29" s="1"/>
  <c r="AC23"/>
  <c r="AN23" i="13"/>
  <c r="AL23" i="9" l="1"/>
  <c r="AO23" s="1"/>
  <c r="AU23" s="1"/>
  <c r="AW23" s="1"/>
  <c r="BL23" s="1"/>
  <c r="AX23" i="47"/>
  <c r="AR23"/>
  <c r="AR23" i="48"/>
  <c r="AX23" s="1"/>
  <c r="AP23" i="71"/>
  <c r="AR23" s="1"/>
  <c r="AX23" s="1"/>
  <c r="AZ23" s="1"/>
  <c r="BO23" s="1"/>
  <c r="AE23" i="13"/>
  <c r="AE25" s="1"/>
  <c r="AG25" i="39"/>
  <c r="AK24" i="78"/>
  <c r="AJ24" i="35"/>
  <c r="AO24" s="1"/>
  <c r="AR24" s="1"/>
  <c r="AX24" s="1"/>
  <c r="AZ24" s="1"/>
  <c r="BO24" s="1"/>
  <c r="AK23" i="80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Z23" i="47" l="1"/>
  <c r="BO23" s="1"/>
  <c r="AZ23" i="48"/>
  <c r="BO23" s="1"/>
  <c r="AO23" i="27"/>
  <c r="AR23" s="1"/>
  <c r="AX23" s="1"/>
  <c r="AZ23" s="1"/>
  <c r="BO23" s="1"/>
  <c r="AK24" i="72"/>
  <c r="AJ24" i="6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B25" i="34"/>
  <c r="AC23"/>
  <c r="AC25" s="1"/>
  <c r="AB25" i="28"/>
  <c r="AC23"/>
  <c r="AC25" s="1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Z23" i="8" l="1"/>
  <c r="BO23" s="1"/>
  <c r="AX23"/>
  <c r="AJ25" i="56"/>
  <c r="AJ25" i="12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<sst xmlns="http://schemas.openxmlformats.org/spreadsheetml/2006/main" count="28315" uniqueCount="705">
  <si>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</si>
  <si>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</si>
  <si>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</si>
  <si>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</si>
  <si>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</si>
  <si>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</si>
  <si>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</si>
  <si>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</si>
  <si>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</si>
  <si>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</si>
  <si>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</si>
  <si>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</si>
  <si>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</si>
  <si>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</si>
  <si>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</si>
  <si>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</si>
  <si>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</si>
  <si>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</si>
  <si>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</si>
  <si>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</si>
  <si>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</si>
  <si>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</si>
  <si>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</si>
  <si>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</si>
  <si>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</si>
  <si>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</si>
  <si>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</si>
  <si>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</si>
  <si>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</si>
  <si>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</si>
  <si>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</si>
  <si>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</si>
  <si>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</si>
  <si>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</si>
  <si>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</si>
  <si>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</si>
  <si>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</si>
  <si>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</si>
  <si>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</si>
  <si>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</si>
  <si>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</si>
  <si>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</si>
  <si>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</si>
  <si>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</si>
  <si>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</si>
  <si>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</si>
  <si>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</si>
  <si>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</si>
  <si>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</si>
  <si>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</si>
  <si>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</si>
  <si>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</si>
  <si>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</si>
  <si>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</si>
  <si>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</si>
  <si>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</si>
  <si>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</si>
  <si>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</si>
  <si>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</si>
  <si>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</si>
  <si>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</si>
  <si>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</si>
  <si>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</si>
  <si>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</si>
  <si>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</si>
  <si>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</si>
  <si>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</si>
  <si>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</si>
  <si>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</si>
  <si>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</si>
  <si>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</si>
  <si>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</si>
  <si>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</si>
  <si>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</si>
  <si>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</si>
  <si>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</si>
  <si>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</si>
  <si>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</si>
  <si>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</si>
  <si>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</si>
  <si>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</si>
  <si>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</si>
  <si>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</si>
  <si>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</si>
  <si>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</si>
  <si>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</si>
  <si>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</si>
  <si>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</si>
  <si>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</si>
  <si>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</si>
  <si>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</si>
  <si>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</si>
  <si>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</si>
  <si>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</si>
  <si>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</si>
  <si>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</si>
  <si>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</si>
  <si>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</si>
  <si>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</si>
  <si>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</si>
  <si>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</si>
  <si>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</si>
  <si>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</si>
  <si>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</si>
  <si>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</si>
  <si>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</si>
  <si>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</si>
  <si>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</si>
  <si>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</si>
  <si>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</si>
  <si>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</si>
  <si>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</si>
  <si>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</si>
  <si>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</si>
  <si>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</si>
  <si>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</si>
  <si>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</si>
  <si>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</si>
  <si>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</si>
  <si>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</si>
  <si>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</si>
  <si>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</si>
  <si>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</si>
  <si>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</si>
  <si>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</si>
  <si>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</si>
  <si>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</si>
  <si>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</si>
  <si>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</si>
  <si>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</si>
  <si>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</si>
  <si>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</si>
  <si>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</si>
  <si>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</si>
  <si>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</si>
  <si>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</si>
  <si>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</si>
  <si>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</si>
  <si>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</si>
  <si>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</si>
  <si>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</si>
  <si>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</si>
  <si>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</si>
  <si>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</si>
  <si>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</si>
  <si>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</si>
  <si>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</si>
  <si>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</si>
  <si>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</si>
  <si>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</si>
  <si>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</si>
  <si>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</si>
  <si>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</si>
  <si>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</si>
  <si>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</si>
  <si>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</si>
  <si>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</si>
  <si>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</si>
  <si>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</si>
  <si>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</si>
  <si>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</si>
  <si>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</si>
  <si>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</si>
  <si>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</si>
  <si>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</si>
  <si>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</si>
  <si>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</si>
  <si>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</si>
  <si>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</si>
  <si>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</si>
  <si>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</si>
  <si>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</si>
  <si>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</si>
  <si>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</si>
  <si>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</si>
  <si>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</si>
  <si>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</si>
  <si>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</si>
  <si>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</si>
  <si>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</si>
  <si>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</si>
  <si>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</si>
  <si>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</si>
  <si>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</si>
  <si>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</si>
  <si>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</si>
  <si>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</si>
  <si>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</si>
  <si>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</si>
  <si>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</si>
  <si>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</si>
  <si>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</si>
  <si>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</si>
  <si>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</si>
  <si>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</si>
  <si>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</si>
  <si>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</si>
  <si>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</si>
  <si>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</si>
  <si>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</si>
  <si>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</si>
  <si>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</si>
  <si>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</si>
  <si>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</si>
  <si>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</si>
  <si>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</si>
  <si>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</si>
  <si>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</si>
  <si>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</si>
  <si>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</si>
  <si>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</si>
  <si>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</si>
  <si>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</si>
  <si>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</si>
  <si>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</si>
  <si>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</si>
  <si>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</si>
  <si>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</si>
  <si>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</si>
  <si>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</si>
  <si>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</si>
  <si>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</si>
  <si>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</si>
  <si>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</si>
  <si>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</si>
  <si>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</si>
  <si>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</si>
  <si>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</si>
  <si>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</si>
  <si>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</si>
  <si>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</si>
  <si>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</si>
  <si>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</si>
  <si>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</si>
  <si>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</si>
  <si>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</si>
  <si>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</si>
  <si>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</si>
  <si>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</si>
  <si>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</si>
  <si>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</si>
  <si>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</si>
  <si>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</si>
  <si>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</si>
  <si>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</si>
  <si>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</si>
  <si>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</si>
  <si>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</si>
  <si>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</si>
  <si>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</si>
  <si>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</si>
  <si>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</si>
  <si>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</si>
  <si>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</si>
  <si>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</si>
  <si>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</si>
  <si>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</si>
  <si>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</si>
  <si>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</si>
  <si>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</si>
  <si>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</si>
  <si>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</si>
  <si>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</si>
  <si>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</si>
  <si>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</si>
  <si>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</si>
  <si>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</si>
  <si>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</si>
  <si>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</si>
  <si>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</si>
  <si>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</si>
  <si>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</si>
  <si>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</si>
  <si>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</si>
  <si>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</si>
  <si>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</si>
  <si>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</si>
  <si>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</si>
  <si>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</si>
  <si>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</si>
  <si>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</si>
  <si>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</si>
  <si>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</si>
  <si>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</si>
  <si>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</si>
  <si>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</si>
  <si>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</si>
  <si>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</si>
  <si>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</si>
  <si>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</si>
  <si>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</si>
  <si>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</si>
  <si>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</si>
  <si>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</si>
  <si>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</si>
  <si>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</si>
  <si>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</si>
  <si>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</si>
  <si>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</si>
  <si>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</si>
  <si>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</si>
  <si>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</si>
  <si>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</si>
  <si>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</si>
  <si>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</si>
  <si>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</si>
  <si>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</si>
  <si>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</si>
  <si>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</si>
  <si>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</si>
  <si>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</si>
  <si>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</si>
  <si>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</si>
  <si>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</si>
  <si>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</si>
  <si>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</si>
  <si>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</si>
  <si>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</si>
  <si>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</si>
  <si>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</si>
  <si>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</si>
  <si>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</si>
  <si>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</si>
  <si>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</si>
  <si>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</si>
  <si>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</si>
  <si>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</si>
  <si>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</si>
  <si>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</si>
  <si>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</si>
  <si>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</si>
  <si>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</si>
  <si>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</si>
  <si>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</si>
  <si>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</si>
  <si>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</si>
  <si>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</si>
  <si>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</si>
  <si>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</si>
  <si>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</si>
  <si>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</si>
  <si>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</si>
  <si>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</si>
  <si>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</si>
  <si>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</si>
  <si>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</si>
  <si>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</si>
  <si>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</si>
  <si>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</si>
  <si>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</si>
  <si>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</si>
  <si>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</si>
  <si>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</si>
  <si>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</si>
  <si>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</si>
  <si>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</si>
  <si>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</si>
  <si>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</si>
  <si>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</si>
  <si>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</si>
  <si>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</si>
  <si>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</si>
  <si>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</si>
  <si>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</si>
  <si>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</si>
  <si>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</si>
  <si>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</si>
  <si>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</si>
  <si>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</si>
  <si>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</si>
  <si>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</si>
  <si>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</si>
  <si>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</si>
  <si>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</si>
  <si>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</si>
  <si>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</si>
  <si>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</si>
  <si>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</si>
  <si>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</si>
  <si>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</si>
  <si>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</si>
  <si>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</si>
  <si>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</si>
  <si>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</si>
  <si>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</si>
  <si>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</si>
  <si>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</si>
  <si>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</si>
  <si>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</si>
  <si>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</si>
  <si>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</si>
  <si>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</si>
  <si>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</si>
  <si>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</si>
  <si>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</si>
  <si>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</si>
  <si>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</si>
  <si>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</si>
  <si>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</si>
  <si>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</si>
  <si>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</si>
  <si>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</si>
  <si>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</si>
  <si>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</si>
  <si>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</si>
  <si>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</si>
  <si>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</si>
  <si>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</si>
  <si>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</si>
  <si>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</si>
  <si>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</si>
  <si>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</si>
  <si>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</si>
  <si>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</si>
  <si>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</si>
  <si>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</si>
  <si>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</si>
  <si>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</si>
  <si>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</si>
  <si>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</si>
  <si>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</si>
  <si>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</si>
  <si>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</si>
  <si>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</si>
  <si>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</si>
  <si>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</si>
  <si>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</si>
  <si>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</si>
  <si>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</si>
  <si>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</si>
  <si>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</si>
  <si>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</si>
  <si>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</si>
  <si>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</si>
  <si>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</si>
  <si>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</si>
  <si>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</si>
  <si>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</si>
  <si>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</si>
  <si>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</si>
  <si>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</si>
  <si>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</si>
  <si>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</si>
  <si>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</si>
  <si>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</si>
  <si>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</si>
  <si>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</si>
  <si>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</si>
  <si>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</si>
  <si>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</si>
  <si>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</si>
  <si>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</si>
  <si>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</si>
  <si>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</si>
  <si>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</si>
  <si>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</si>
  <si>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</si>
  <si>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</si>
  <si>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</si>
  <si>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</si>
  <si>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</si>
  <si>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</si>
  <si>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</si>
  <si>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</si>
  <si>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</si>
  <si>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</si>
  <si>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</si>
  <si>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</si>
  <si>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</si>
  <si>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</si>
  <si>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</si>
  <si>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</si>
  <si>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</si>
  <si>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</si>
  <si>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</si>
  <si>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</si>
  <si>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</si>
  <si>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</si>
  <si>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</si>
  <si>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</si>
  <si>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</si>
  <si>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</si>
  <si>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</si>
  <si>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</si>
  <si>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</si>
  <si>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</si>
  <si>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</si>
  <si>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</si>
  <si>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</si>
  <si>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</si>
  <si>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</si>
  <si>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</si>
  <si>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</si>
  <si>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</si>
  <si>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</si>
  <si>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</si>
  <si>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</si>
  <si>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</si>
  <si>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</si>
  <si>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</si>
  <si>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</si>
  <si>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</si>
  <si>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</si>
  <si>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</si>
  <si>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</si>
  <si>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</si>
  <si>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</si>
  <si>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TVS-CH-00011</t>
  </si>
  <si>
    <t>SUP00124</t>
  </si>
  <si>
    <t>G</t>
  </si>
  <si>
    <t>LC</t>
  </si>
  <si>
    <t>SUP00004</t>
  </si>
  <si>
    <t>ROAU-SIM-337897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</si>
  <si>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</si>
  <si>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</si>
  <si>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</si>
  <si>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</si>
  <si>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</si>
  <si>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</si>
  <si>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</si>
  <si>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</si>
  <si>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</si>
  <si>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</si>
  <si>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</si>
  <si>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</si>
  <si>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</si>
  <si>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</si>
  <si>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</si>
  <si>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</si>
  <si>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</si>
  <si>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</si>
  <si>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</si>
  <si>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</si>
  <si>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</si>
  <si>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</si>
  <si>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</si>
  <si>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</si>
  <si>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</si>
  <si>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</si>
  <si>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</si>
  <si>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</si>
  <si>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</si>
  <si>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</si>
  <si>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</si>
  <si>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142</t>
  </si>
  <si>
    <t>572.0045</t>
  </si>
  <si>
    <t>ROAU-RM-KPK-WOQE-RC-05</t>
  </si>
  <si>
    <t>ROAU-RM-KPK-WOQE-RC-04</t>
  </si>
  <si>
    <t>ROAU-RM-KPK-WOQE-UD-IMP-01</t>
  </si>
  <si>
    <t>ROAU-RM-KPK-WOQE-UD-IMP-02</t>
  </si>
  <si>
    <t>1123.6675</t>
  </si>
  <si>
    <t>20</t>
  </si>
  <si>
    <t>1668.302</t>
  </si>
  <si>
    <t>4269.32</t>
  </si>
  <si>
    <t>312</t>
  </si>
  <si>
    <t>1524.77609</t>
  </si>
  <si>
    <t>4400</t>
  </si>
  <si>
    <t>INS PK-54</t>
  </si>
  <si>
    <t>RM PK-54</t>
  </si>
  <si>
    <t>475.35</t>
  </si>
  <si>
    <t>19</t>
  </si>
  <si>
    <t>475.85788</t>
  </si>
  <si>
    <t>4500</t>
  </si>
  <si>
    <t>43</t>
  </si>
  <si>
    <t>475.57442</t>
  </si>
  <si>
    <t>INSWH-26</t>
  </si>
  <si>
    <t>RMWH-55</t>
  </si>
  <si>
    <t>480.25</t>
  </si>
  <si>
    <t>411.875</t>
  </si>
  <si>
    <t>INWH-31</t>
  </si>
  <si>
    <t>RMWH-31</t>
  </si>
  <si>
    <t>67</t>
  </si>
  <si>
    <t>INS-WH-SU!</t>
  </si>
  <si>
    <t>RMWH-SU1</t>
  </si>
  <si>
    <t>23</t>
  </si>
  <si>
    <t>235</t>
  </si>
  <si>
    <t>INS-UT-2</t>
  </si>
  <si>
    <t>RM-UT-2</t>
  </si>
  <si>
    <t>445.9</t>
  </si>
  <si>
    <t>DU1-INS WH</t>
  </si>
  <si>
    <t>DU1-RM WH</t>
  </si>
  <si>
    <t>437.03</t>
  </si>
  <si>
    <t>439.98667</t>
  </si>
  <si>
    <t>DU3-INS WH</t>
  </si>
  <si>
    <t>DU3-RM WH</t>
  </si>
  <si>
    <t>UT3-IN WH</t>
  </si>
  <si>
    <t>UT3-RM WH</t>
  </si>
  <si>
    <t>369.46</t>
  </si>
  <si>
    <t>377</t>
  </si>
  <si>
    <t>DC3-WH INS</t>
  </si>
  <si>
    <t>DC3-RM WH</t>
  </si>
  <si>
    <t>466</t>
  </si>
  <si>
    <t>447.59</t>
  </si>
  <si>
    <t>452.135</t>
  </si>
  <si>
    <t>INS WH-DC1</t>
  </si>
  <si>
    <t>RM WH-DC1</t>
  </si>
  <si>
    <t>444</t>
  </si>
  <si>
    <t>INS WH-DC5</t>
  </si>
  <si>
    <t>RM WH-DC5</t>
  </si>
  <si>
    <t>347.9</t>
  </si>
  <si>
    <t>355</t>
  </si>
  <si>
    <t>INS WH-DC7</t>
  </si>
  <si>
    <t>RM WH-DC7</t>
  </si>
  <si>
    <t>INS WH-DP7</t>
  </si>
  <si>
    <t>RM WH-DP7</t>
  </si>
  <si>
    <t>336.14</t>
  </si>
  <si>
    <t>INS WH-NR3</t>
  </si>
  <si>
    <t>RM WH-NR3</t>
  </si>
  <si>
    <t>565</t>
  </si>
  <si>
    <t>548.22</t>
  </si>
  <si>
    <t>551.93</t>
  </si>
  <si>
    <t>INS WH-NR7</t>
  </si>
  <si>
    <t>RM WH-NR7</t>
  </si>
  <si>
    <t>431.2</t>
  </si>
  <si>
    <t>440</t>
  </si>
  <si>
    <t>RAW MATERIAL</t>
  </si>
  <si>
    <t>INPUT CGST - 9%</t>
  </si>
  <si>
    <t>INPUT SGST - 9%</t>
  </si>
  <si>
    <t>Debit</t>
  </si>
  <si>
    <t>Credit</t>
  </si>
  <si>
    <t>GL_Account_Desc</t>
  </si>
  <si>
    <t>Gl_Account_Number</t>
  </si>
  <si>
    <t>Line_Amount</t>
  </si>
  <si>
    <t>CGST_Amount</t>
  </si>
  <si>
    <t>SGST_Amount</t>
  </si>
  <si>
    <t>INPUT IGST - 18%</t>
  </si>
  <si>
    <t>IGST_Amount</t>
  </si>
  <si>
    <t>INPUT RCM CGST</t>
  </si>
  <si>
    <t>INPUT RCM SGST</t>
  </si>
  <si>
    <t>OUTPUT CGST - RCM</t>
  </si>
  <si>
    <t>OUTPUT SGST - RCM</t>
  </si>
  <si>
    <t>OUTPUT _CGST _RCM_Amount</t>
  </si>
  <si>
    <t>OUTPUT_SGST _RCM_Amount</t>
  </si>
  <si>
    <t>LINUX PVT LTD- SF(AR)</t>
  </si>
  <si>
    <t>508</t>
  </si>
  <si>
    <t>568.88693</t>
  </si>
  <si>
    <t>BENNY ASSOCIATES(AR)</t>
  </si>
  <si>
    <t>INPUT RCM IGST</t>
  </si>
  <si>
    <t>OUTPUT IGST - RCM</t>
  </si>
  <si>
    <t>OUTPUT IGST_RCM</t>
  </si>
  <si>
    <t>OUTPUT UTGST_RCM</t>
  </si>
  <si>
    <t>OUTPUT CESS_RCM</t>
  </si>
  <si>
    <t>OUTPUT IGST_RCM_Amount</t>
  </si>
  <si>
    <t>OUTPUT UTGST_RCM_Amount</t>
  </si>
  <si>
    <t>OUTPUT CESS_RCM_Amount</t>
  </si>
  <si>
    <t>UTGST_Amount</t>
  </si>
  <si>
    <t>CESS_Amount</t>
  </si>
  <si>
    <t>PK POLYMERS UR(AP)</t>
  </si>
  <si>
    <t>KV CAREERS INTR-UR(AR)</t>
  </si>
  <si>
    <t>DOMESTIC REGISTERED SUPPLIER - WLF-1(AP)</t>
  </si>
  <si>
    <t>DOMESTIC REGISTERED SUPPLIER - WITH SEZ UNIT GST-2(AP)</t>
  </si>
  <si>
    <t>68</t>
  </si>
  <si>
    <t>426.97014</t>
  </si>
  <si>
    <t>90</t>
  </si>
  <si>
    <t>324</t>
  </si>
  <si>
    <t>308</t>
  </si>
  <si>
    <t>DOMESTIC UNREGISTERED SUPPLIER - WITH LF-2(AP)</t>
  </si>
  <si>
    <t>DOMESTIC UNREGISTERED SUPPLIER-WITH SEZ UNIT GST-2(AR)</t>
  </si>
  <si>
    <t>TRANSPORTATION CHARGES</t>
  </si>
  <si>
    <t>JJ AUTOMOBILES (AP)</t>
  </si>
  <si>
    <t>194C(TDS)</t>
  </si>
  <si>
    <t>PRAXAIR INDIA PVT LTD (AP)</t>
  </si>
  <si>
    <t>Supplier_Account_Debit_TDS</t>
  </si>
  <si>
    <t>Supplier_Account_Credit_TDS</t>
  </si>
  <si>
    <t>OverAllTDS_Account_Debit</t>
  </si>
  <si>
    <t>OverallTDS_Account_Cred</t>
  </si>
  <si>
    <t>TDS Account Debit</t>
  </si>
  <si>
    <t>TDS Account Credit</t>
  </si>
  <si>
    <t>SRI LAKSHMI ELECTRONICS(AP)</t>
  </si>
  <si>
    <t>4700</t>
  </si>
  <si>
    <t>SUP-001</t>
  </si>
  <si>
    <t>CHARGES ACCOUNT</t>
  </si>
  <si>
    <t>ROUND OFF</t>
  </si>
  <si>
    <t xml:space="preserve">RoundOfDebit </t>
  </si>
  <si>
    <t>RoundOffcredit</t>
  </si>
  <si>
    <t>LINUX PVT LTD- SF(AP)</t>
  </si>
  <si>
    <t>420</t>
  </si>
  <si>
    <t>2249.45973</t>
  </si>
  <si>
    <t>5834.78</t>
  </si>
  <si>
    <t>477</t>
  </si>
  <si>
    <t>2578.89079</t>
  </si>
  <si>
    <t>RM-U5</t>
  </si>
  <si>
    <t>RM-U6</t>
  </si>
  <si>
    <t>RM-U7</t>
  </si>
  <si>
    <t>RM-U8</t>
  </si>
  <si>
    <t>BENNY ASSOCIATES(AP)</t>
  </si>
  <si>
    <t>0.28</t>
  </si>
  <si>
    <t>INPUT CGST 14%</t>
  </si>
  <si>
    <t>INPUT SGST 14%</t>
  </si>
  <si>
    <t>5740.67</t>
  </si>
  <si>
    <t>515</t>
  </si>
  <si>
    <t>2811.45641</t>
  </si>
  <si>
    <t>6000</t>
  </si>
  <si>
    <t>5646.56</t>
  </si>
  <si>
    <t>519</t>
  </si>
  <si>
    <t>2833.1256</t>
  </si>
  <si>
    <t>558.95</t>
  </si>
  <si>
    <t>835</t>
  </si>
  <si>
    <t>567.15266</t>
  </si>
  <si>
    <t>876</t>
  </si>
  <si>
    <t>566.92495</t>
  </si>
  <si>
    <t>6493.55</t>
  </si>
  <si>
    <t>7000</t>
  </si>
  <si>
    <t>548</t>
  </si>
  <si>
    <t>3008.45872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</si>
</sst>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  <font>
      <b/>
      <sz val="9"/>
      <color rgb="FF008000"/>
      <name val="Arial"/>
      <family val="2"/>
    </font>
    <font>
      <b/>
      <sz val="9"/>
      <color theme="1"/>
      <name val="Arial"/>
      <family val="2"/>
    </font>
    <font>
      <sz val="9"/>
      <color rgb="FF26262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double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3" fillId="0" borderId="0">
      <alignment vertical="center"/>
    </xf>
    <xf numFmtId="0" fontId="13" fillId="0" borderId="0">
      <alignment vertical="center"/>
    </xf>
  </cellStyleXfs>
  <cellXfs count="310">
    <xf numFmtId="0" fontId="0" fillId="0" borderId="0" xfId="0"/>
    <xf numFmtId="0" fontId="6" fillId="0" borderId="0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4" xfId="0" applyFont="1" applyFill="1" applyBorder="1" applyAlignment="1"/>
    <xf numFmtId="0" fontId="8" fillId="0" borderId="5" xfId="0" applyFont="1" applyFill="1" applyBorder="1" applyAlignment="1"/>
    <xf numFmtId="164" fontId="8" fillId="0" borderId="5" xfId="0" applyNumberFormat="1" applyFont="1" applyFill="1" applyBorder="1" applyAlignment="1"/>
    <xf numFmtId="2" fontId="8" fillId="0" borderId="5" xfId="0" applyNumberFormat="1" applyFont="1" applyFill="1" applyBorder="1" applyAlignment="1"/>
    <xf numFmtId="2" fontId="8" fillId="0" borderId="6" xfId="0" applyNumberFormat="1" applyFont="1" applyFill="1" applyBorder="1" applyAlignment="1"/>
    <xf numFmtId="0" fontId="8" fillId="0" borderId="7" xfId="0" applyFont="1" applyFill="1" applyBorder="1" applyAlignment="1"/>
    <xf numFmtId="0" fontId="8" fillId="0" borderId="8" xfId="0" applyFont="1" applyFill="1" applyBorder="1" applyAlignment="1"/>
    <xf numFmtId="164" fontId="8" fillId="0" borderId="8" xfId="0" applyNumberFormat="1" applyFont="1" applyFill="1" applyBorder="1" applyAlignment="1"/>
    <xf numFmtId="2" fontId="8" fillId="0" borderId="8" xfId="0" applyNumberFormat="1" applyFont="1" applyFill="1" applyBorder="1" applyAlignment="1"/>
    <xf numFmtId="2" fontId="8" fillId="0" borderId="9" xfId="0" applyNumberFormat="1" applyFont="1" applyFill="1" applyBorder="1" applyAlignment="1"/>
    <xf numFmtId="0" fontId="8" fillId="0" borderId="0" xfId="0" applyFont="1" applyFill="1" applyAlignment="1"/>
    <xf numFmtId="0" fontId="7" fillId="3" borderId="11" xfId="0" applyFont="1" applyFill="1" applyBorder="1" applyAlignment="1">
      <alignment vertical="top"/>
    </xf>
    <xf numFmtId="0" fontId="7" fillId="0" borderId="0" xfId="0" applyFont="1" applyFill="1" applyBorder="1" applyAlignment="1"/>
    <xf numFmtId="0" fontId="7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8" fillId="0" borderId="13" xfId="0" applyFont="1" applyFill="1" applyBorder="1" applyAlignment="1"/>
    <xf numFmtId="0" fontId="8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7" fillId="3" borderId="14" xfId="0" applyFont="1" applyFill="1" applyBorder="1" applyAlignment="1"/>
    <xf numFmtId="0" fontId="7" fillId="3" borderId="15" xfId="0" applyFont="1" applyFill="1" applyBorder="1" applyAlignment="1"/>
    <xf numFmtId="0" fontId="7" fillId="3" borderId="13" xfId="0" applyFont="1" applyFill="1" applyBorder="1" applyAlignment="1"/>
    <xf numFmtId="10" fontId="8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8" fillId="0" borderId="0" xfId="0" applyFont="1" applyFill="1" applyBorder="1" applyAlignment="1"/>
    <xf numFmtId="0" fontId="7" fillId="4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9" fillId="0" borderId="0" xfId="0" applyFont="1" applyFill="1" applyAlignment="1"/>
    <xf numFmtId="0" fontId="7" fillId="6" borderId="12" xfId="0" applyFont="1" applyFill="1" applyBorder="1" applyAlignment="1">
      <alignment horizontal="center" vertical="center"/>
    </xf>
    <xf numFmtId="0" fontId="7" fillId="3" borderId="13" xfId="0" applyNumberFormat="1" applyFont="1" applyFill="1" applyBorder="1" applyAlignment="1"/>
    <xf numFmtId="2" fontId="7" fillId="3" borderId="13" xfId="0" applyNumberFormat="1" applyFont="1" applyFill="1" applyBorder="1" applyAlignment="1"/>
    <xf numFmtId="0" fontId="7" fillId="7" borderId="12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 wrapText="1"/>
    </xf>
    <xf numFmtId="10" fontId="8" fillId="0" borderId="13" xfId="0" applyNumberFormat="1" applyFont="1" applyFill="1" applyBorder="1" applyAlignment="1"/>
    <xf numFmtId="0" fontId="7" fillId="7" borderId="13" xfId="0" applyFont="1" applyFill="1" applyBorder="1" applyAlignment="1"/>
    <xf numFmtId="2" fontId="7" fillId="7" borderId="13" xfId="0" applyNumberFormat="1" applyFont="1" applyFill="1" applyBorder="1" applyAlignment="1"/>
    <xf numFmtId="0" fontId="7" fillId="8" borderId="12" xfId="0" applyFont="1" applyFill="1" applyBorder="1" applyAlignment="1">
      <alignment horizontal="center" vertical="center"/>
    </xf>
    <xf numFmtId="0" fontId="8" fillId="2" borderId="2" xfId="0" applyFont="1" applyFill="1" applyBorder="1" applyAlignment="1"/>
    <xf numFmtId="0" fontId="8" fillId="0" borderId="5" xfId="0" applyNumberFormat="1" applyFont="1" applyFill="1" applyBorder="1" applyAlignment="1"/>
    <xf numFmtId="0" fontId="8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6" fillId="0" borderId="0" xfId="0" applyFont="1" applyBorder="1" applyAlignment="1">
      <alignment horizontal="left" vertical="top"/>
    </xf>
    <xf numFmtId="0" fontId="8" fillId="0" borderId="4" xfId="0" applyFont="1" applyBorder="1"/>
    <xf numFmtId="0" fontId="8" fillId="0" borderId="5" xfId="0" applyFont="1" applyBorder="1"/>
    <xf numFmtId="164" fontId="8" fillId="0" borderId="5" xfId="0" applyNumberFormat="1" applyFont="1" applyBorder="1"/>
    <xf numFmtId="2" fontId="8" fillId="0" borderId="5" xfId="0" applyNumberFormat="1" applyFont="1" applyBorder="1"/>
    <xf numFmtId="2" fontId="8" fillId="0" borderId="6" xfId="0" applyNumberFormat="1" applyFont="1" applyBorder="1"/>
    <xf numFmtId="0" fontId="8" fillId="0" borderId="7" xfId="0" applyFont="1" applyBorder="1"/>
    <xf numFmtId="0" fontId="8" fillId="0" borderId="8" xfId="0" applyFont="1" applyBorder="1"/>
    <xf numFmtId="164" fontId="8" fillId="0" borderId="8" xfId="0" applyNumberFormat="1" applyFont="1" applyBorder="1"/>
    <xf numFmtId="2" fontId="8" fillId="0" borderId="8" xfId="0" applyNumberFormat="1" applyFont="1" applyBorder="1"/>
    <xf numFmtId="2" fontId="8" fillId="0" borderId="9" xfId="0" applyNumberFormat="1" applyFont="1" applyBorder="1"/>
    <xf numFmtId="0" fontId="8" fillId="0" borderId="0" xfId="0" applyFont="1"/>
    <xf numFmtId="0" fontId="7" fillId="0" borderId="0" xfId="0" applyFont="1" applyFill="1" applyBorder="1"/>
    <xf numFmtId="0" fontId="8" fillId="0" borderId="13" xfId="0" applyFont="1" applyBorder="1"/>
    <xf numFmtId="0" fontId="8" fillId="0" borderId="13" xfId="0" applyNumberFormat="1" applyFont="1" applyBorder="1"/>
    <xf numFmtId="0" fontId="0" fillId="0" borderId="0" xfId="0" applyBorder="1" applyAlignment="1"/>
    <xf numFmtId="0" fontId="7" fillId="3" borderId="13" xfId="0" applyFont="1" applyFill="1" applyBorder="1"/>
    <xf numFmtId="10" fontId="8" fillId="0" borderId="0" xfId="0" applyNumberFormat="1" applyFont="1" applyFill="1" applyBorder="1"/>
    <xf numFmtId="2" fontId="8" fillId="0" borderId="0" xfId="0" applyNumberFormat="1" applyFont="1" applyFill="1" applyBorder="1"/>
    <xf numFmtId="0" fontId="8" fillId="0" borderId="0" xfId="0" applyFont="1" applyBorder="1"/>
    <xf numFmtId="0" fontId="8" fillId="0" borderId="0" xfId="0" applyFont="1" applyFill="1" applyBorder="1"/>
    <xf numFmtId="0" fontId="9" fillId="0" borderId="0" xfId="0" applyFont="1"/>
    <xf numFmtId="0" fontId="7" fillId="3" borderId="13" xfId="0" applyNumberFormat="1" applyFont="1" applyFill="1" applyBorder="1"/>
    <xf numFmtId="2" fontId="7" fillId="3" borderId="13" xfId="0" applyNumberFormat="1" applyFont="1" applyFill="1" applyBorder="1"/>
    <xf numFmtId="10" fontId="8" fillId="0" borderId="13" xfId="0" applyNumberFormat="1" applyFont="1" applyBorder="1"/>
    <xf numFmtId="0" fontId="7" fillId="7" borderId="13" xfId="0" applyFont="1" applyFill="1" applyBorder="1"/>
    <xf numFmtId="2" fontId="7" fillId="7" borderId="13" xfId="0" applyNumberFormat="1" applyFont="1" applyFill="1" applyBorder="1"/>
    <xf numFmtId="0" fontId="8" fillId="2" borderId="2" xfId="0" applyFont="1" applyFill="1" applyBorder="1"/>
    <xf numFmtId="0" fontId="8" fillId="0" borderId="5" xfId="0" applyNumberFormat="1" applyFont="1" applyBorder="1"/>
    <xf numFmtId="0" fontId="8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8" fillId="0" borderId="13" xfId="0" applyNumberFormat="1" applyFont="1" applyBorder="1"/>
    <xf numFmtId="0" fontId="8" fillId="2" borderId="21" xfId="0" applyFont="1" applyFill="1" applyBorder="1"/>
    <xf numFmtId="0" fontId="8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10" fillId="9" borderId="22" xfId="0" applyFont="1" applyFill="1" applyBorder="1"/>
    <xf numFmtId="0" fontId="10" fillId="10" borderId="22" xfId="0" applyFont="1" applyFill="1" applyBorder="1"/>
    <xf numFmtId="0" fontId="0" fillId="0" borderId="17" xfId="0" applyNumberFormat="1" applyBorder="1"/>
    <xf numFmtId="0" fontId="7" fillId="2" borderId="13" xfId="0" applyFont="1" applyFill="1" applyBorder="1" applyAlignment="1">
      <alignment horizontal="center" vertical="center"/>
    </xf>
    <xf numFmtId="0" fontId="7" fillId="3" borderId="24" xfId="0" applyFont="1" applyFill="1" applyBorder="1" applyAlignment="1"/>
    <xf numFmtId="0" fontId="7" fillId="4" borderId="13" xfId="0" applyFont="1" applyFill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8" fillId="0" borderId="0" xfId="0" applyFont="1" applyAlignment="1"/>
    <xf numFmtId="0" fontId="8" fillId="0" borderId="12" xfId="0" applyFont="1" applyBorder="1"/>
    <xf numFmtId="0" fontId="7" fillId="6" borderId="13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8" fillId="0" borderId="13" xfId="0" applyNumberFormat="1" applyFont="1" applyBorder="1"/>
    <xf numFmtId="9" fontId="8" fillId="0" borderId="13" xfId="0" applyNumberFormat="1" applyFont="1" applyBorder="1"/>
    <xf numFmtId="9" fontId="7" fillId="3" borderId="13" xfId="0" applyNumberFormat="1" applyFont="1" applyFill="1" applyBorder="1"/>
    <xf numFmtId="0" fontId="8" fillId="0" borderId="5" xfId="1" applyFont="1" applyBorder="1" applyAlignment="1"/>
    <xf numFmtId="0" fontId="1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7" borderId="13" xfId="0" applyFont="1" applyFill="1" applyBorder="1" applyAlignment="1">
      <alignment horizontal="center" vertical="center" wrapText="1"/>
    </xf>
    <xf numFmtId="165" fontId="8" fillId="0" borderId="13" xfId="0" applyNumberFormat="1" applyFont="1" applyBorder="1"/>
    <xf numFmtId="0" fontId="7" fillId="7" borderId="13" xfId="0" applyNumberFormat="1" applyFont="1" applyFill="1" applyBorder="1"/>
    <xf numFmtId="0" fontId="8" fillId="0" borderId="2" xfId="0" applyFont="1" applyBorder="1"/>
    <xf numFmtId="0" fontId="0" fillId="0" borderId="17" xfId="0" applyBorder="1"/>
    <xf numFmtId="0" fontId="0" fillId="0" borderId="25" xfId="0" applyBorder="1"/>
    <xf numFmtId="0" fontId="8" fillId="0" borderId="3" xfId="0" applyFont="1" applyBorder="1"/>
    <xf numFmtId="0" fontId="8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8" fillId="0" borderId="0" xfId="0" applyNumberFormat="1" applyFont="1"/>
    <xf numFmtId="0" fontId="8" fillId="0" borderId="0" xfId="0" applyFont="1" applyFill="1" applyBorder="1" applyAlignment="1">
      <alignment horizontal="left"/>
    </xf>
    <xf numFmtId="2" fontId="12" fillId="0" borderId="0" xfId="0" applyNumberFormat="1" applyFont="1" applyFill="1" applyBorder="1"/>
    <xf numFmtId="0" fontId="12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8" fillId="0" borderId="0" xfId="0" quotePrefix="1" applyFont="1"/>
    <xf numFmtId="0" fontId="14" fillId="0" borderId="0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Border="1" applyAlignment="1">
      <alignment horizontal="left" vertical="top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left" vertical="center"/>
    </xf>
    <xf numFmtId="0" fontId="16" fillId="2" borderId="3" xfId="0" applyFont="1" applyFill="1" applyBorder="1" applyAlignment="1">
      <alignment horizontal="center" vertical="center"/>
    </xf>
    <xf numFmtId="0" fontId="15" fillId="0" borderId="4" xfId="0" applyFont="1" applyBorder="1"/>
    <xf numFmtId="0" fontId="15" fillId="0" borderId="5" xfId="0" applyFont="1" applyBorder="1"/>
    <xf numFmtId="164" fontId="15" fillId="0" borderId="5" xfId="0" applyNumberFormat="1" applyFont="1" applyBorder="1"/>
    <xf numFmtId="2" fontId="15" fillId="0" borderId="5" xfId="0" applyNumberFormat="1" applyFont="1" applyBorder="1"/>
    <xf numFmtId="2" fontId="15" fillId="0" borderId="6" xfId="0" applyNumberFormat="1" applyFont="1" applyBorder="1"/>
    <xf numFmtId="0" fontId="15" fillId="0" borderId="7" xfId="0" applyFont="1" applyBorder="1"/>
    <xf numFmtId="0" fontId="15" fillId="0" borderId="8" xfId="0" applyFont="1" applyBorder="1"/>
    <xf numFmtId="164" fontId="15" fillId="0" borderId="8" xfId="0" applyNumberFormat="1" applyFont="1" applyBorder="1"/>
    <xf numFmtId="2" fontId="15" fillId="0" borderId="8" xfId="0" applyNumberFormat="1" applyFont="1" applyBorder="1"/>
    <xf numFmtId="2" fontId="15" fillId="0" borderId="9" xfId="0" applyNumberFormat="1" applyFont="1" applyBorder="1"/>
    <xf numFmtId="0" fontId="16" fillId="3" borderId="11" xfId="0" applyFont="1" applyFill="1" applyBorder="1" applyAlignment="1">
      <alignment vertical="top"/>
    </xf>
    <xf numFmtId="0" fontId="16" fillId="0" borderId="0" xfId="0" applyFont="1" applyFill="1" applyBorder="1"/>
    <xf numFmtId="0" fontId="16" fillId="0" borderId="0" xfId="0" applyFont="1" applyFill="1" applyBorder="1" applyAlignment="1">
      <alignment horizontal="center"/>
    </xf>
    <xf numFmtId="0" fontId="15" fillId="0" borderId="0" xfId="0" applyFont="1" applyFill="1" applyBorder="1"/>
    <xf numFmtId="0" fontId="16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horizontal="center" vertical="center"/>
    </xf>
    <xf numFmtId="0" fontId="16" fillId="4" borderId="13" xfId="0" applyFont="1" applyFill="1" applyBorder="1" applyAlignment="1">
      <alignment horizontal="center" vertical="center"/>
    </xf>
    <xf numFmtId="0" fontId="16" fillId="13" borderId="13" xfId="0" applyFont="1" applyFill="1" applyBorder="1" applyAlignment="1">
      <alignment horizontal="center" vertical="center"/>
    </xf>
    <xf numFmtId="0" fontId="16" fillId="6" borderId="13" xfId="0" applyFont="1" applyFill="1" applyBorder="1" applyAlignment="1">
      <alignment horizontal="center" vertical="center"/>
    </xf>
    <xf numFmtId="0" fontId="16" fillId="6" borderId="12" xfId="0" applyFont="1" applyFill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6" fillId="8" borderId="13" xfId="0" applyFont="1" applyFill="1" applyBorder="1" applyAlignment="1">
      <alignment horizontal="center" vertical="center" wrapText="1"/>
    </xf>
    <xf numFmtId="0" fontId="15" fillId="2" borderId="2" xfId="0" applyFont="1" applyFill="1" applyBorder="1"/>
    <xf numFmtId="0" fontId="15" fillId="2" borderId="16" xfId="0" applyFont="1" applyFill="1" applyBorder="1"/>
    <xf numFmtId="0" fontId="15" fillId="2" borderId="2" xfId="0" applyFont="1" applyFill="1" applyBorder="1" applyAlignment="1"/>
    <xf numFmtId="0" fontId="15" fillId="0" borderId="13" xfId="0" applyFont="1" applyBorder="1"/>
    <xf numFmtId="0" fontId="15" fillId="0" borderId="13" xfId="0" applyNumberFormat="1" applyFont="1" applyBorder="1"/>
    <xf numFmtId="2" fontId="15" fillId="0" borderId="13" xfId="0" applyNumberFormat="1" applyFont="1" applyBorder="1"/>
    <xf numFmtId="10" fontId="15" fillId="0" borderId="13" xfId="0" applyNumberFormat="1" applyFont="1" applyBorder="1"/>
    <xf numFmtId="9" fontId="15" fillId="0" borderId="13" xfId="0" applyNumberFormat="1" applyFont="1" applyBorder="1"/>
    <xf numFmtId="164" fontId="15" fillId="0" borderId="13" xfId="0" applyNumberFormat="1" applyFont="1" applyBorder="1"/>
    <xf numFmtId="0" fontId="15" fillId="0" borderId="5" xfId="0" applyNumberFormat="1" applyFont="1" applyBorder="1"/>
    <xf numFmtId="0" fontId="15" fillId="0" borderId="5" xfId="1" applyFont="1" applyBorder="1" applyAlignment="1"/>
    <xf numFmtId="0" fontId="16" fillId="3" borderId="24" xfId="0" applyFont="1" applyFill="1" applyBorder="1" applyAlignment="1"/>
    <xf numFmtId="0" fontId="16" fillId="3" borderId="14" xfId="0" applyFont="1" applyFill="1" applyBorder="1" applyAlignment="1"/>
    <xf numFmtId="0" fontId="16" fillId="3" borderId="15" xfId="0" applyFont="1" applyFill="1" applyBorder="1" applyAlignment="1"/>
    <xf numFmtId="0" fontId="16" fillId="3" borderId="13" xfId="0" applyFont="1" applyFill="1" applyBorder="1"/>
    <xf numFmtId="0" fontId="16" fillId="3" borderId="13" xfId="0" applyNumberFormat="1" applyFont="1" applyFill="1" applyBorder="1"/>
    <xf numFmtId="9" fontId="16" fillId="3" borderId="13" xfId="0" applyNumberFormat="1" applyFont="1" applyFill="1" applyBorder="1"/>
    <xf numFmtId="0" fontId="16" fillId="7" borderId="13" xfId="0" applyFont="1" applyFill="1" applyBorder="1"/>
    <xf numFmtId="2" fontId="16" fillId="7" borderId="13" xfId="0" applyNumberFormat="1" applyFont="1" applyFill="1" applyBorder="1"/>
    <xf numFmtId="0" fontId="15" fillId="0" borderId="0" xfId="0" applyFont="1" applyAlignment="1"/>
    <xf numFmtId="0" fontId="15" fillId="0" borderId="0" xfId="0" quotePrefix="1" applyFont="1"/>
    <xf numFmtId="0" fontId="15" fillId="0" borderId="12" xfId="0" applyFont="1" applyBorder="1"/>
    <xf numFmtId="0" fontId="15" fillId="2" borderId="2" xfId="1" applyFont="1" applyFill="1" applyBorder="1" applyAlignment="1"/>
    <xf numFmtId="0" fontId="15" fillId="2" borderId="21" xfId="1" applyFont="1" applyFill="1" applyBorder="1" applyAlignment="1"/>
    <xf numFmtId="0" fontId="13" fillId="0" borderId="0" xfId="1" applyFont="1" applyAlignment="1">
      <alignment vertical="center"/>
    </xf>
    <xf numFmtId="49" fontId="13" fillId="0" borderId="0" xfId="1" applyNumberFormat="1" applyFont="1" applyAlignment="1">
      <alignment horizontal="left"/>
    </xf>
    <xf numFmtId="0" fontId="17" fillId="0" borderId="0" xfId="1" applyFont="1" applyAlignment="1">
      <alignment vertical="center"/>
    </xf>
    <xf numFmtId="0" fontId="13" fillId="0" borderId="0" xfId="1" applyFont="1" applyAlignment="1"/>
    <xf numFmtId="0" fontId="17" fillId="0" borderId="0" xfId="1" applyFont="1" applyAlignment="1"/>
    <xf numFmtId="0" fontId="6" fillId="0" borderId="0" xfId="0" applyFont="1" applyBorder="1" applyAlignment="1">
      <alignment horizontal="left" vertical="top"/>
    </xf>
    <xf numFmtId="10" fontId="15" fillId="0" borderId="0" xfId="0" applyNumberFormat="1" applyFont="1" applyFill="1" applyBorder="1"/>
    <xf numFmtId="2" fontId="15" fillId="0" borderId="0" xfId="0" applyNumberFormat="1" applyFont="1" applyFill="1" applyBorder="1"/>
    <xf numFmtId="0" fontId="18" fillId="0" borderId="0" xfId="0" applyFont="1"/>
    <xf numFmtId="0" fontId="15" fillId="0" borderId="0" xfId="0" applyFont="1" applyBorder="1"/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left" vertical="center"/>
    </xf>
    <xf numFmtId="0" fontId="16" fillId="2" borderId="12" xfId="0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 wrapText="1"/>
    </xf>
    <xf numFmtId="0" fontId="16" fillId="8" borderId="12" xfId="0" applyFont="1" applyFill="1" applyBorder="1" applyAlignment="1">
      <alignment horizontal="center" vertical="center"/>
    </xf>
    <xf numFmtId="2" fontId="16" fillId="3" borderId="13" xfId="0" applyNumberFormat="1" applyFont="1" applyFill="1" applyBorder="1"/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5" fillId="2" borderId="26" xfId="1" applyFont="1" applyFill="1" applyBorder="1" applyAlignment="1"/>
    <xf numFmtId="0" fontId="15" fillId="2" borderId="17" xfId="1" applyFont="1" applyFill="1" applyBorder="1" applyAlignment="1"/>
    <xf numFmtId="0" fontId="15" fillId="2" borderId="27" xfId="1" applyFont="1" applyFill="1" applyBorder="1" applyAlignment="1"/>
    <xf numFmtId="0" fontId="5" fillId="0" borderId="0" xfId="0" applyFont="1"/>
    <xf numFmtId="0" fontId="0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4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8" fillId="2" borderId="17" xfId="1" applyFont="1" applyFill="1" applyBorder="1" applyAlignment="1"/>
    <xf numFmtId="0" fontId="8" fillId="2" borderId="27" xfId="1" applyFont="1" applyFill="1" applyBorder="1" applyAlignment="1"/>
    <xf numFmtId="0" fontId="6" fillId="0" borderId="0" xfId="0" applyFont="1" applyBorder="1" applyAlignment="1">
      <alignment horizontal="left" vertical="top"/>
    </xf>
    <xf numFmtId="0" fontId="7" fillId="13" borderId="13" xfId="0" applyFont="1" applyFill="1" applyBorder="1" applyAlignment="1">
      <alignment horizontal="center" vertical="center"/>
    </xf>
    <xf numFmtId="0" fontId="8" fillId="2" borderId="2" xfId="1" applyFont="1" applyFill="1" applyBorder="1" applyAlignment="1"/>
    <xf numFmtId="0" fontId="8" fillId="2" borderId="26" xfId="1" applyFont="1" applyFill="1" applyBorder="1" applyAlignment="1"/>
    <xf numFmtId="0" fontId="3" fillId="0" borderId="0" xfId="1" applyFont="1" applyAlignment="1">
      <alignment vertical="center"/>
    </xf>
    <xf numFmtId="49" fontId="3" fillId="0" borderId="0" xfId="1" applyNumberFormat="1" applyFont="1" applyAlignment="1">
      <alignment horizontal="left"/>
    </xf>
    <xf numFmtId="0" fontId="3" fillId="0" borderId="0" xfId="1" applyFont="1" applyAlignment="1"/>
    <xf numFmtId="0" fontId="3" fillId="0" borderId="0" xfId="0" applyFont="1"/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9" fillId="0" borderId="0" xfId="0" applyFont="1"/>
    <xf numFmtId="0" fontId="20" fillId="0" borderId="0" xfId="0" applyFont="1"/>
    <xf numFmtId="0" fontId="2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21" fillId="0" borderId="0" xfId="0" applyFont="1"/>
    <xf numFmtId="0" fontId="14" fillId="0" borderId="0" xfId="0" applyFont="1" applyBorder="1" applyAlignment="1">
      <alignment horizontal="left" vertical="top"/>
    </xf>
    <xf numFmtId="0" fontId="1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7" fillId="3" borderId="10" xfId="0" applyFont="1" applyFill="1" applyBorder="1" applyAlignment="1">
      <alignment horizontal="center" vertical="top"/>
    </xf>
    <xf numFmtId="0" fontId="8" fillId="0" borderId="0" xfId="0" applyFont="1" applyFill="1" applyBorder="1" applyAlignment="1">
      <alignment horizontal="left" vertical="center"/>
    </xf>
    <xf numFmtId="2" fontId="7" fillId="0" borderId="0" xfId="0" applyNumberFormat="1" applyFont="1" applyFill="1" applyBorder="1" applyAlignment="1">
      <alignment horizontal="right"/>
    </xf>
    <xf numFmtId="0" fontId="8" fillId="0" borderId="0" xfId="0" applyFont="1" applyFill="1" applyBorder="1" applyAlignment="1">
      <alignment horizontal="left"/>
    </xf>
    <xf numFmtId="0" fontId="6" fillId="0" borderId="23" xfId="0" applyFont="1" applyBorder="1" applyAlignment="1">
      <alignment horizontal="center" vertical="center"/>
    </xf>
    <xf numFmtId="0" fontId="7" fillId="3" borderId="13" xfId="0" applyFont="1" applyFill="1" applyBorder="1" applyAlignment="1">
      <alignment horizontal="center"/>
    </xf>
    <xf numFmtId="0" fontId="8" fillId="0" borderId="24" xfId="0" applyFont="1" applyBorder="1" applyAlignment="1">
      <alignment horizontal="left"/>
    </xf>
    <xf numFmtId="0" fontId="8" fillId="0" borderId="15" xfId="0" applyFont="1" applyBorder="1" applyAlignment="1">
      <alignment horizontal="left"/>
    </xf>
    <xf numFmtId="0" fontId="7" fillId="0" borderId="13" xfId="0" applyFont="1" applyBorder="1" applyAlignment="1">
      <alignment horizontal="right"/>
    </xf>
    <xf numFmtId="0" fontId="7" fillId="11" borderId="24" xfId="0" applyFont="1" applyFill="1" applyBorder="1" applyAlignment="1">
      <alignment horizontal="center"/>
    </xf>
    <xf numFmtId="0" fontId="7" fillId="11" borderId="14" xfId="0" applyFont="1" applyFill="1" applyBorder="1" applyAlignment="1">
      <alignment horizontal="center"/>
    </xf>
    <xf numFmtId="0" fontId="7" fillId="11" borderId="15" xfId="0" applyFont="1" applyFill="1" applyBorder="1" applyAlignment="1">
      <alignment horizontal="center"/>
    </xf>
    <xf numFmtId="0" fontId="7" fillId="7" borderId="13" xfId="0" applyFont="1" applyFill="1" applyBorder="1" applyAlignment="1">
      <alignment horizontal="right"/>
    </xf>
    <xf numFmtId="0" fontId="7" fillId="12" borderId="13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7" borderId="13" xfId="0" applyFont="1" applyFill="1" applyBorder="1" applyAlignment="1">
      <alignment horizontal="center"/>
    </xf>
    <xf numFmtId="0" fontId="7" fillId="3" borderId="18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3" borderId="20" xfId="0" applyFont="1" applyFill="1" applyBorder="1" applyAlignment="1">
      <alignment horizontal="center" vertical="top"/>
    </xf>
    <xf numFmtId="0" fontId="8" fillId="0" borderId="23" xfId="0" applyFont="1" applyFill="1" applyBorder="1" applyAlignment="1">
      <alignment horizontal="left" vertical="center"/>
    </xf>
    <xf numFmtId="0" fontId="7" fillId="0" borderId="24" xfId="0" applyFont="1" applyBorder="1" applyAlignment="1">
      <alignment horizontal="right"/>
    </xf>
    <xf numFmtId="0" fontId="7" fillId="0" borderId="15" xfId="0" applyFont="1" applyBorder="1" applyAlignment="1">
      <alignment horizontal="right"/>
    </xf>
    <xf numFmtId="0" fontId="7" fillId="7" borderId="24" xfId="0" applyFont="1" applyFill="1" applyBorder="1" applyAlignment="1">
      <alignment horizontal="right"/>
    </xf>
    <xf numFmtId="0" fontId="7" fillId="7" borderId="15" xfId="0" applyFont="1" applyFill="1" applyBorder="1" applyAlignment="1">
      <alignment horizontal="right"/>
    </xf>
    <xf numFmtId="0" fontId="6" fillId="0" borderId="0" xfId="0" applyFont="1" applyFill="1" applyBorder="1" applyAlignment="1">
      <alignment horizontal="left" vertical="top"/>
    </xf>
    <xf numFmtId="0" fontId="15" fillId="0" borderId="24" xfId="0" applyFont="1" applyBorder="1" applyAlignment="1">
      <alignment horizontal="left"/>
    </xf>
    <xf numFmtId="0" fontId="15" fillId="0" borderId="15" xfId="0" applyFont="1" applyBorder="1" applyAlignment="1">
      <alignment horizontal="left"/>
    </xf>
    <xf numFmtId="0" fontId="16" fillId="0" borderId="13" xfId="0" applyFont="1" applyBorder="1" applyAlignment="1">
      <alignment horizontal="right"/>
    </xf>
    <xf numFmtId="0" fontId="16" fillId="7" borderId="13" xfId="0" applyFont="1" applyFill="1" applyBorder="1" applyAlignment="1">
      <alignment horizontal="right"/>
    </xf>
    <xf numFmtId="0" fontId="16" fillId="11" borderId="24" xfId="0" applyFont="1" applyFill="1" applyBorder="1" applyAlignment="1">
      <alignment horizontal="center"/>
    </xf>
    <xf numFmtId="0" fontId="16" fillId="11" borderId="14" xfId="0" applyFont="1" applyFill="1" applyBorder="1" applyAlignment="1">
      <alignment horizontal="center"/>
    </xf>
    <xf numFmtId="0" fontId="16" fillId="11" borderId="15" xfId="0" applyFont="1" applyFill="1" applyBorder="1" applyAlignment="1">
      <alignment horizontal="center"/>
    </xf>
    <xf numFmtId="0" fontId="14" fillId="0" borderId="23" xfId="0" applyFont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top"/>
    </xf>
    <xf numFmtId="0" fontId="15" fillId="0" borderId="0" xfId="0" applyFont="1" applyFill="1" applyBorder="1" applyAlignment="1">
      <alignment horizontal="left" vertical="center"/>
    </xf>
    <xf numFmtId="0" fontId="14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16" Type="http://schemas.openxmlformats.org/officeDocument/2006/relationships/worksheet" Target="worksheets/sheet116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13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https://webappqc.roadmaperp.com:8765/ords/r/autojen27/scm-us9011/warehouse1?p367019101_rowid=AABFg5AAJAAEIFuAAT&amp;p367019101_store_id=DU3-INS%20WH&amp;session=6019243164867" TargetMode="Externa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hyperlink" Target="https://webappqc.roadmaperp.com:8765/ords/r/autojen27/scm-us9011/warehouse1?p367019101_rowid=AABFg5AAJAAEIFvAAL&amp;p367019101_store_id=INS%20WH-DC1&amp;session=16961274983825" TargetMode="Externa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76"/>
      <c r="J33" s="276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76"/>
      <c r="J34" s="276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76"/>
      <c r="J35" s="276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77"/>
      <c r="H36" s="277"/>
      <c r="I36" s="276"/>
      <c r="J36" s="276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77"/>
      <c r="H37" s="277"/>
      <c r="I37" s="276"/>
      <c r="J37" s="276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78" t="s">
        <v>154</v>
      </c>
      <c r="B21" s="278"/>
      <c r="C21" s="278"/>
      <c r="D21" s="278"/>
      <c r="E21" s="278"/>
      <c r="F21" s="278"/>
      <c r="G21" s="278"/>
      <c r="H21" s="278"/>
      <c r="I21" s="278"/>
      <c r="J21" s="278"/>
      <c r="K21" s="278"/>
      <c r="L21" s="278"/>
      <c r="M21" s="278"/>
      <c r="N21" s="278"/>
      <c r="O21" s="278"/>
      <c r="P21" s="278"/>
      <c r="Q21" s="278"/>
      <c r="R21" s="278"/>
      <c r="S21" s="278"/>
      <c r="T21" s="278"/>
      <c r="U21" s="278"/>
      <c r="V21" s="278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79" t="s">
        <v>87</v>
      </c>
      <c r="C38" s="279"/>
      <c r="D38" s="279"/>
      <c r="E38" s="279"/>
      <c r="F38" s="279"/>
      <c r="G38" s="279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80" t="s">
        <v>194</v>
      </c>
      <c r="H40" s="281"/>
      <c r="I40" s="282">
        <f>H38</f>
        <v>75435.260000000009</v>
      </c>
      <c r="J40" s="282"/>
      <c r="K40" s="100"/>
      <c r="L40" s="66"/>
      <c r="M40" s="283" t="s">
        <v>195</v>
      </c>
      <c r="N40" s="284"/>
      <c r="O40" s="284"/>
      <c r="P40" s="285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80" t="s">
        <v>196</v>
      </c>
      <c r="H41" s="281"/>
      <c r="I41" s="282">
        <f>R38</f>
        <v>4077.7</v>
      </c>
      <c r="J41" s="282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80" t="s">
        <v>197</v>
      </c>
      <c r="H42" s="281"/>
      <c r="I42" s="282">
        <f>S38</f>
        <v>71357.56</v>
      </c>
      <c r="J42" s="282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80" t="s">
        <v>198</v>
      </c>
      <c r="H43" s="281"/>
      <c r="I43" s="282">
        <f>U38</f>
        <v>12844.370000000004</v>
      </c>
      <c r="J43" s="282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80" t="s">
        <v>199</v>
      </c>
      <c r="H44" s="281"/>
      <c r="I44" s="286">
        <f>I42+I43</f>
        <v>84201.930000000008</v>
      </c>
      <c r="J44" s="28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78" t="s">
        <v>200</v>
      </c>
      <c r="B4" s="278"/>
      <c r="C4" s="278"/>
      <c r="D4" s="278"/>
      <c r="E4" s="278"/>
      <c r="F4" s="278"/>
      <c r="G4" s="278"/>
      <c r="H4" s="278"/>
      <c r="I4" s="278"/>
      <c r="J4" s="278"/>
      <c r="K4" s="278"/>
      <c r="L4" s="278"/>
      <c r="M4" s="278"/>
      <c r="N4" s="278"/>
      <c r="O4" s="278"/>
      <c r="P4" s="278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79" t="s">
        <v>87</v>
      </c>
      <c r="C21" s="279"/>
      <c r="D21" s="279"/>
      <c r="E21" s="279"/>
      <c r="F21" s="279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87" t="s">
        <v>206</v>
      </c>
      <c r="G23" s="287"/>
      <c r="H23" s="287"/>
      <c r="I23" s="287"/>
      <c r="J23" s="66"/>
      <c r="K23" s="287" t="s">
        <v>207</v>
      </c>
      <c r="L23" s="287"/>
      <c r="M23" s="287"/>
      <c r="N23" s="287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80" t="s">
        <v>194</v>
      </c>
      <c r="G24" s="281"/>
      <c r="H24" s="288">
        <f>G21</f>
        <v>71856.759999999995</v>
      </c>
      <c r="I24" s="288"/>
      <c r="J24" s="100"/>
      <c r="K24" s="280" t="s">
        <v>194</v>
      </c>
      <c r="L24" s="281"/>
      <c r="M24" s="288">
        <f>H24*$T$4</f>
        <v>5958362.5391999995</v>
      </c>
      <c r="N24" s="288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80" t="s">
        <v>196</v>
      </c>
      <c r="G25" s="281"/>
      <c r="H25" s="288">
        <f>Q21</f>
        <v>3884.27</v>
      </c>
      <c r="I25" s="288"/>
      <c r="J25" s="66"/>
      <c r="K25" s="280" t="s">
        <v>196</v>
      </c>
      <c r="L25" s="281"/>
      <c r="M25" s="288">
        <f t="shared" ref="M25:M28" si="14">H25*$T$4</f>
        <v>322083.66840000002</v>
      </c>
      <c r="N25" s="288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80" t="s">
        <v>197</v>
      </c>
      <c r="G26" s="281"/>
      <c r="H26" s="288">
        <f>R21</f>
        <v>67972.490000000005</v>
      </c>
      <c r="I26" s="288"/>
      <c r="J26" s="66"/>
      <c r="K26" s="280" t="s">
        <v>197</v>
      </c>
      <c r="L26" s="281"/>
      <c r="M26" s="288">
        <f t="shared" si="14"/>
        <v>5636278.8708000006</v>
      </c>
      <c r="N26" s="288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80" t="s">
        <v>198</v>
      </c>
      <c r="G27" s="281"/>
      <c r="H27" s="288">
        <f>T21</f>
        <v>12235.060000000003</v>
      </c>
      <c r="I27" s="288"/>
      <c r="J27" s="66"/>
      <c r="K27" s="280" t="s">
        <v>198</v>
      </c>
      <c r="L27" s="281"/>
      <c r="M27" s="288">
        <f t="shared" si="14"/>
        <v>1014531.1752000003</v>
      </c>
      <c r="N27" s="288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80" t="s">
        <v>199</v>
      </c>
      <c r="G28" s="281"/>
      <c r="H28" s="289">
        <f>H26+H27</f>
        <v>80207.55</v>
      </c>
      <c r="I28" s="289"/>
      <c r="J28" s="66"/>
      <c r="K28" s="280" t="s">
        <v>199</v>
      </c>
      <c r="L28" s="281"/>
      <c r="M28" s="289">
        <f t="shared" si="14"/>
        <v>6650810.0460000001</v>
      </c>
      <c r="N28" s="289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78" t="s">
        <v>208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79" t="s">
        <v>87</v>
      </c>
      <c r="C18" s="279"/>
      <c r="D18" s="279"/>
      <c r="E18" s="279"/>
      <c r="F18" s="279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87" t="s">
        <v>206</v>
      </c>
      <c r="G20" s="287"/>
      <c r="H20" s="287"/>
      <c r="I20" s="287"/>
      <c r="J20" s="66"/>
      <c r="K20" s="287" t="s">
        <v>207</v>
      </c>
      <c r="L20" s="287"/>
      <c r="M20" s="287"/>
      <c r="N20" s="287"/>
      <c r="O20" s="66"/>
      <c r="P20" s="66"/>
      <c r="Q20" s="283" t="s">
        <v>195</v>
      </c>
      <c r="R20" s="284"/>
      <c r="S20" s="284"/>
      <c r="T20" s="285"/>
      <c r="U20" s="66"/>
      <c r="V20" s="66"/>
      <c r="W20" s="66"/>
    </row>
    <row r="21" spans="1:23">
      <c r="A21" s="66"/>
      <c r="B21" s="66"/>
      <c r="C21" s="66"/>
      <c r="D21" s="66"/>
      <c r="E21" s="66"/>
      <c r="F21" s="280" t="s">
        <v>194</v>
      </c>
      <c r="G21" s="281"/>
      <c r="H21" s="288">
        <f>G18</f>
        <v>71570.810000000012</v>
      </c>
      <c r="I21" s="288"/>
      <c r="J21" s="100"/>
      <c r="K21" s="280" t="s">
        <v>194</v>
      </c>
      <c r="L21" s="281"/>
      <c r="M21" s="288">
        <f>H21*$T$1</f>
        <v>5934651.565200001</v>
      </c>
      <c r="N21" s="288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80" t="s">
        <v>196</v>
      </c>
      <c r="G22" s="281"/>
      <c r="H22" s="288">
        <f>Q18</f>
        <v>3868.82</v>
      </c>
      <c r="I22" s="288"/>
      <c r="J22" s="66"/>
      <c r="K22" s="280" t="s">
        <v>196</v>
      </c>
      <c r="L22" s="281"/>
      <c r="M22" s="288">
        <f t="shared" ref="M22:M25" si="14">H22*$T$1</f>
        <v>320802.55440000002</v>
      </c>
      <c r="N22" s="288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80" t="s">
        <v>197</v>
      </c>
      <c r="G23" s="281"/>
      <c r="H23" s="288">
        <f>R18</f>
        <v>67701.989999999991</v>
      </c>
      <c r="I23" s="288"/>
      <c r="J23" s="66"/>
      <c r="K23" s="280" t="s">
        <v>197</v>
      </c>
      <c r="L23" s="281"/>
      <c r="M23" s="288">
        <f t="shared" si="14"/>
        <v>5613849.0107999993</v>
      </c>
      <c r="N23" s="288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80" t="s">
        <v>198</v>
      </c>
      <c r="G24" s="281"/>
      <c r="H24" s="288">
        <f>T18</f>
        <v>12186.370000000004</v>
      </c>
      <c r="I24" s="288"/>
      <c r="J24" s="66"/>
      <c r="K24" s="280" t="s">
        <v>198</v>
      </c>
      <c r="L24" s="281"/>
      <c r="M24" s="288">
        <f t="shared" si="14"/>
        <v>1010493.8004000004</v>
      </c>
      <c r="N24" s="288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80" t="s">
        <v>199</v>
      </c>
      <c r="G25" s="281"/>
      <c r="H25" s="289">
        <f>H23+H24</f>
        <v>79888.36</v>
      </c>
      <c r="I25" s="289"/>
      <c r="J25" s="66"/>
      <c r="K25" s="280" t="s">
        <v>199</v>
      </c>
      <c r="L25" s="281"/>
      <c r="M25" s="289">
        <f t="shared" si="14"/>
        <v>6624342.8112000003</v>
      </c>
      <c r="N25" s="289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10" sqref="D10"/>
    </sheetView>
  </sheetViews>
  <sheetFormatPr defaultColWidth="9" defaultRowHeight="15"/>
  <cols>
    <col min="2" max="2" width="33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195"/>
      <c r="AE1" s="195"/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66"/>
      <c r="AS1" s="66"/>
    </row>
    <row r="2" spans="1:45" ht="18.75" thickBot="1">
      <c r="A2" s="195" t="s">
        <v>47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66"/>
      <c r="AS2" s="6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 ht="15.75" thickTop="1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 ht="15.75" thickBot="1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85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 ht="15.75" thickBot="1">
      <c r="A23" s="68">
        <v>1</v>
      </c>
      <c r="B23" s="68" t="s">
        <v>548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0</v>
      </c>
      <c r="AC23" s="69">
        <f>IF($V21=1,S23+AB23,S23)</f>
        <v>471.07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40040.949999999997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20020.474999999999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20020.474999999999</v>
      </c>
      <c r="AS23" s="83" t="s">
        <v>229</v>
      </c>
      <c r="AT23" s="83" t="s">
        <v>58</v>
      </c>
      <c r="AW23" s="83">
        <f>AM23</f>
        <v>2</v>
      </c>
      <c r="AX23" s="83">
        <f>AR23</f>
        <v>20020.474999999999</v>
      </c>
      <c r="AY23" s="83">
        <f>AU23+AW23</f>
        <v>2</v>
      </c>
      <c r="AZ23" s="83">
        <f>ROUND(((AU23*AV23)+(AW23*AX23))/(AU23+AW23),5)</f>
        <v>20020.474999999999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239</v>
      </c>
      <c r="BN23" t="s">
        <v>239</v>
      </c>
      <c r="BO23" s="83">
        <f>ROUND((((AW23*AZ23)+(BN23*BM23))/(AW23+BN23)),5)</f>
        <v>20020.474999999999</v>
      </c>
      <c r="BP23" s="87">
        <f>BN23+AW23</f>
        <v>2</v>
      </c>
      <c r="BQ23" s="88">
        <v>88363222</v>
      </c>
      <c r="BR23" s="87"/>
    </row>
    <row r="24" spans="1:70" ht="15.75" thickBot="1">
      <c r="A24" s="68">
        <v>2</v>
      </c>
      <c r="B24" s="68" t="s">
        <v>549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0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40040.949999999997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20020.474999999999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20020.474999999999</v>
      </c>
      <c r="AS24" s="83" t="s">
        <v>229</v>
      </c>
      <c r="AT24" s="83" t="s">
        <v>58</v>
      </c>
      <c r="AW24" s="83">
        <f>AM24</f>
        <v>2</v>
      </c>
      <c r="AX24" s="83">
        <f>AR24</f>
        <v>20020.474999999999</v>
      </c>
      <c r="AY24" s="83">
        <f>AU24+AW24</f>
        <v>2</v>
      </c>
      <c r="AZ24" s="83">
        <f>ROUND(((AU24*AV24)+(AW24*AX24))/(AU24+AW24),5)</f>
        <v>20020.474999999999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20020.474999999999</v>
      </c>
      <c r="BP24" s="87">
        <f>BN24+AW24</f>
        <v>2</v>
      </c>
      <c r="BQ24" s="88">
        <v>88363222</v>
      </c>
      <c r="BR24" s="87"/>
    </row>
    <row r="25" spans="1:70" ht="15.75" thickBot="1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0</v>
      </c>
      <c r="W25" s="78">
        <f t="shared" si="5"/>
        <v>0</v>
      </c>
      <c r="X25" s="78">
        <f t="shared" si="5"/>
        <v>0</v>
      </c>
      <c r="Y25" s="78"/>
      <c r="Z25" s="78"/>
      <c r="AA25" s="78"/>
      <c r="AB25" s="71">
        <f t="shared" si="5"/>
        <v>0</v>
      </c>
      <c r="AC25" s="80">
        <f t="shared" si="5"/>
        <v>471.07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40040.949999999997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26" sqref="B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539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540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S14" workbookViewId="0">
      <selection activeCell="AW24" sqref="AW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651</v>
      </c>
      <c r="AV23" t="s">
        <v>652</v>
      </c>
      <c r="AW23" s="83">
        <f>AM23</f>
        <v>2</v>
      </c>
      <c r="AX23" s="83">
        <f>AR23</f>
        <v>426.97</v>
      </c>
      <c r="AY23" s="83">
        <f>AU23+AW23</f>
        <v>70</v>
      </c>
      <c r="AZ23" s="83">
        <f>ROUND(((AU23*AV23)+(AW23*AX23))/(AU23+AW23),5)</f>
        <v>426.97014000000001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654</v>
      </c>
      <c r="BO23" s="83">
        <f>ROUND((((AW23*AZ23)+(BN23*BM23))/(AW23+BN23)),5)</f>
        <v>426.97</v>
      </c>
      <c r="BP23" s="87">
        <f>BN23+AW23</f>
        <v>326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653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92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655</v>
      </c>
      <c r="BO24" s="83">
        <f>ROUND((((AW24*AZ24)+(BN24*BM24))/(AW24+BN24)),5)</f>
        <v>469.2</v>
      </c>
      <c r="BP24" s="87">
        <f>BN24+AW24</f>
        <v>310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261</v>
      </c>
      <c r="H24" s="69">
        <f>F24*G24</f>
        <v>486</v>
      </c>
      <c r="I24" t="s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263</v>
      </c>
      <c r="AV24" t="s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265</v>
      </c>
      <c r="BN24" t="s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270</v>
      </c>
      <c r="AV23" t="s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272</v>
      </c>
      <c r="BN23" t="s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276</v>
      </c>
      <c r="AV24" t="s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278</v>
      </c>
      <c r="BN24" t="s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281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282</v>
      </c>
      <c r="AS23" t="s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284</v>
      </c>
      <c r="BK23" t="s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287</v>
      </c>
      <c r="H24" s="69">
        <f>F24*G24</f>
        <v>696</v>
      </c>
      <c r="I24" t="s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289</v>
      </c>
      <c r="AS24" t="s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292</v>
      </c>
      <c r="BK24" t="s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294</v>
      </c>
      <c r="AT27" t="s">
        <v>295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296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298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303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306</v>
      </c>
      <c r="BN23" t="s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308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>
        <v>223</v>
      </c>
      <c r="AV23" t="s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310</v>
      </c>
      <c r="BN23" t="s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>
        <v>301</v>
      </c>
      <c r="AV24" t="s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312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319</v>
      </c>
      <c r="AV23" t="s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321</v>
      </c>
      <c r="BN23" t="s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266</v>
      </c>
      <c r="AV23" t="s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325</v>
      </c>
      <c r="BN23" t="s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301</v>
      </c>
      <c r="AV24" t="s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327</v>
      </c>
      <c r="BN24" t="s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332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335</v>
      </c>
      <c r="BN24" t="s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336</v>
      </c>
      <c r="BN23" t="s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547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338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>
        <v>239</v>
      </c>
      <c r="AV23" t="s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341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343</v>
      </c>
      <c r="H24" s="69">
        <f>F24*G24</f>
        <v>688</v>
      </c>
      <c r="I24" t="s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>
        <v>239</v>
      </c>
      <c r="AV24" t="s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345</v>
      </c>
      <c r="BN24" t="s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>
        <v>239</v>
      </c>
      <c r="AV23" t="s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358</v>
      </c>
      <c r="BN23" t="s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360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362</v>
      </c>
      <c r="H23" s="69">
        <f>F23*G23</f>
        <v>911.34</v>
      </c>
      <c r="I23" t="s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>
        <v>239</v>
      </c>
      <c r="AV23" t="s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363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366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>
        <v>239</v>
      </c>
      <c r="AV24" t="s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367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370</v>
      </c>
      <c r="BN23" t="s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373</v>
      </c>
      <c r="BN24" t="s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3673.17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198.56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3474.6099999999997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625.44000000000005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4100.0499999999993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Q13" workbookViewId="0">
      <selection activeCell="AQ23" sqref="AQ23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360</v>
      </c>
      <c r="H23" s="69">
        <f>F23*G23</f>
        <v>14400</v>
      </c>
      <c r="I23" t="s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1659.57125</v>
      </c>
      <c r="AS23" s="83" t="s">
        <v>229</v>
      </c>
      <c r="AT23" s="83" t="s">
        <v>58</v>
      </c>
      <c r="AU23" t="s">
        <v>239</v>
      </c>
      <c r="AV23" t="s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((AU23*AV23)+(AW23*AX23))/(AU23+AW23)</f>
        <v>1659.57125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1659.57125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14400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1123.43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13276.57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2389.7800000000002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15666.35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8"/>
  <sheetViews>
    <sheetView topLeftCell="BG13" workbookViewId="0">
      <selection activeCell="BO23" sqref="BO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>
        <v>500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1411.788</v>
      </c>
      <c r="AS23" s="83" t="s">
        <v>229</v>
      </c>
      <c r="AT23" s="83" t="s">
        <v>58</v>
      </c>
      <c r="AU23">
        <v>0</v>
      </c>
      <c r="AV23">
        <v>1411.8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((AU23*AV23)+(AW23*AX23))/(AU23+AW23)</f>
        <v>1411.788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>
        <v>1407.3065999999999</v>
      </c>
      <c r="BN23">
        <v>53</v>
      </c>
      <c r="BO23" s="83">
        <f>ROUND((((AW23*AZ23)+(BN23*BM23))/(AW23+BN23)),5)</f>
        <v>1407.6929299999999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7500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441.06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7058.94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1270.5999999999999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8329.5399999999991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Z13" workbookViewId="0">
      <selection activeCell="BD27" sqref="BD27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388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389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390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273</v>
      </c>
      <c r="H24" s="69">
        <f t="shared" ref="H24" si="3">F24*G24</f>
        <v>6608</v>
      </c>
      <c r="I24" t="s">
        <v>391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392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12358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842.29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11515.71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2072.8200000000002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13588.529999999999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393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360</v>
      </c>
      <c r="H23" s="69">
        <f>F23*G23</f>
        <v>10800</v>
      </c>
      <c r="I23" t="s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394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21300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1458.09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19841.91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3571.55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23413.46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395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343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396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396</v>
      </c>
      <c r="BN23" t="s">
        <v>397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398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300</v>
      </c>
      <c r="H24" s="69">
        <f t="shared" ref="H24" si="3">F24*G24</f>
        <v>6552</v>
      </c>
      <c r="I24" t="s">
        <v>399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400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400</v>
      </c>
      <c r="BN24" t="s">
        <v>401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15152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944.18000000000006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14207.82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2557.4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16765.22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360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24000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1526.6399999999999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22473.360000000001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4045.2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26518.560000000001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32" sqref="D32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3" t="s">
        <v>89</v>
      </c>
      <c r="B21" s="29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404</v>
      </c>
      <c r="H23" s="69">
        <f>F23*G23</f>
        <v>3555</v>
      </c>
      <c r="I23" t="s">
        <v>405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406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406</v>
      </c>
      <c r="BN23" t="s">
        <v>407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408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409</v>
      </c>
      <c r="H24" s="69">
        <f t="shared" ref="H24" si="3">F24*G24</f>
        <v>10944</v>
      </c>
      <c r="I24" t="s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410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411</v>
      </c>
      <c r="BN24" t="s">
        <v>412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94">
        <f>H25</f>
        <v>14499</v>
      </c>
      <c r="J27" s="295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94">
        <f>R25</f>
        <v>1001.74</v>
      </c>
      <c r="J28" s="29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94">
        <f>S25</f>
        <v>13497.26</v>
      </c>
      <c r="J29" s="29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94">
        <f>AB25</f>
        <v>2429.5</v>
      </c>
      <c r="J30" s="29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96">
        <f>I29+I30</f>
        <v>15926.76</v>
      </c>
      <c r="J31" s="29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3" t="s">
        <v>89</v>
      </c>
      <c r="B21" s="29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413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414</v>
      </c>
      <c r="BN23" t="s">
        <v>415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418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418</v>
      </c>
      <c r="BN24" t="s">
        <v>419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94">
        <f>H25</f>
        <v>9000</v>
      </c>
      <c r="J27" s="295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94">
        <f>R25</f>
        <v>615.49</v>
      </c>
      <c r="J28" s="29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94">
        <f>S25</f>
        <v>8384.51</v>
      </c>
      <c r="J29" s="29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94">
        <f>AB25</f>
        <v>1509.22</v>
      </c>
      <c r="J30" s="29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96">
        <f>I29+I30</f>
        <v>9893.73</v>
      </c>
      <c r="J31" s="29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3" t="s">
        <v>89</v>
      </c>
      <c r="B21" s="293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420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421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421</v>
      </c>
      <c r="BN23" t="s">
        <v>422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423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424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424</v>
      </c>
      <c r="BN24" t="s">
        <v>425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94">
        <f>H25</f>
        <v>6443.34</v>
      </c>
      <c r="J27" s="295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94">
        <f>R25</f>
        <v>348.28999999999996</v>
      </c>
      <c r="J28" s="29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94">
        <f>S25</f>
        <v>6095.05</v>
      </c>
      <c r="J29" s="29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94">
        <f>AB25</f>
        <v>1097.0999999999999</v>
      </c>
      <c r="J30" s="29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96">
        <f>I29+I30</f>
        <v>7192.15</v>
      </c>
      <c r="J31" s="29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394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426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427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427</v>
      </c>
      <c r="BN23" t="s">
        <v>407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366</v>
      </c>
      <c r="H24" s="69">
        <f t="shared" ref="H24" si="3">F24*G24</f>
        <v>4140</v>
      </c>
      <c r="I24" t="s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428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428</v>
      </c>
      <c r="BN24" t="s">
        <v>429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4545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328.67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4216.33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758.93999999999994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4975.2699999999995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430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431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9300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637.44000000000005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8662.5600000000013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1559.27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10221.830000000002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9300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637.44000000000005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8662.5600000000013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1559.27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10221.830000000002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434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435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10076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710.49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9365.51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1685.79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11051.3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223</v>
      </c>
      <c r="J23" s="69">
        <v>2</v>
      </c>
      <c r="K23" s="69">
        <v>2.5</v>
      </c>
      <c r="L23" s="69">
        <f>H23</f>
        <v>4800</v>
      </c>
      <c r="M23" s="69">
        <f>ROUND(L23*I23%,2)</f>
        <v>96</v>
      </c>
      <c r="N23" s="69">
        <f>H23-M23</f>
        <v>4704</v>
      </c>
      <c r="O23" s="69">
        <f>ROUND(N23*J23%,2)</f>
        <v>94.08</v>
      </c>
      <c r="P23" s="69">
        <f>ROUND(N23-O23,2)</f>
        <v>4609.92</v>
      </c>
      <c r="Q23" s="69">
        <f>ROUND(P23*K23%,2)</f>
        <v>115.25</v>
      </c>
      <c r="R23" s="69">
        <f>ROUND((M23+O23+Q23),2)</f>
        <v>305.33</v>
      </c>
      <c r="S23" s="69">
        <f>ROUND((H23-R23),2)</f>
        <v>4494.67</v>
      </c>
      <c r="T23" s="89" t="s">
        <v>146</v>
      </c>
      <c r="U23" s="79">
        <v>0.18</v>
      </c>
      <c r="V23" s="69">
        <f>IF(OR($C$21=1,$C$21=4),ROUND(((S23*U23)/2),2),0)</f>
        <v>404.52</v>
      </c>
      <c r="W23" s="69">
        <f>IF($C$21=1,ROUND(((S23*U23)/2),2),0)</f>
        <v>404.52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809.04</v>
      </c>
      <c r="AC23" s="68">
        <f>IF($V21=1,S23+AB23,S23)</f>
        <v>5303.71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4494.67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1123.6675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1123.6675</v>
      </c>
      <c r="AS23" s="83" t="s">
        <v>229</v>
      </c>
      <c r="AT23" s="83" t="s">
        <v>58</v>
      </c>
      <c r="AU23" t="s">
        <v>319</v>
      </c>
      <c r="AV23" t="s">
        <v>550</v>
      </c>
      <c r="AW23" s="83">
        <f>AM23</f>
        <v>4</v>
      </c>
      <c r="AX23" s="83">
        <f>AR23</f>
        <v>1123.6675</v>
      </c>
      <c r="AY23" s="83">
        <f>AU23+AW23</f>
        <v>20</v>
      </c>
      <c r="AZ23" s="83">
        <f>ROUND(((AU23*AV23)+(AW23*AX23))/(AU23+AW23),5)</f>
        <v>1123.6675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550</v>
      </c>
      <c r="BN23" t="s">
        <v>234</v>
      </c>
      <c r="BO23" s="83">
        <f>ROUND((((AW23*AZ23)+(BN23*BM23))/(AW23+BN23)),5)</f>
        <v>1123.6675</v>
      </c>
      <c r="BP23" s="87">
        <f>BN23+AW23</f>
        <v>204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360</v>
      </c>
      <c r="H24" s="69">
        <f t="shared" ref="H24" si="3">F24*G24</f>
        <v>9000</v>
      </c>
      <c r="I24" t="s">
        <v>263</v>
      </c>
      <c r="J24" s="69">
        <v>2</v>
      </c>
      <c r="K24" s="69">
        <v>2.5</v>
      </c>
      <c r="L24" s="69">
        <f t="shared" ref="L24" si="4">H24</f>
        <v>9000</v>
      </c>
      <c r="M24" s="69">
        <f t="shared" ref="M24" si="5">ROUND(L24*I24%,2)</f>
        <v>270</v>
      </c>
      <c r="N24" s="69">
        <f t="shared" ref="N24" si="6">H24-M24</f>
        <v>8730</v>
      </c>
      <c r="O24" s="69">
        <f t="shared" ref="O24" si="7">ROUND(N24*J24%,2)</f>
        <v>174.6</v>
      </c>
      <c r="P24" s="69">
        <f t="shared" ref="P24" si="8">ROUND(N24-O24,2)</f>
        <v>8555.4</v>
      </c>
      <c r="Q24" s="69">
        <f t="shared" ref="Q24" si="9">ROUND(P24*K24%,2)</f>
        <v>213.89</v>
      </c>
      <c r="R24" s="69">
        <f t="shared" ref="R24" si="10">ROUND((M24+O24+Q24),2)</f>
        <v>658.49</v>
      </c>
      <c r="S24" s="69">
        <f t="shared" ref="S24" si="11">ROUND((H24-R24),2)</f>
        <v>8341.51</v>
      </c>
      <c r="T24" s="89" t="s">
        <v>372</v>
      </c>
      <c r="U24" s="79">
        <v>0.18</v>
      </c>
      <c r="V24" s="69">
        <f t="shared" ref="V24" si="12">IF(OR($C$21=1,$C$21=4),ROUND(((S24*U24)/2),2),0)</f>
        <v>750.74</v>
      </c>
      <c r="W24" s="69">
        <f t="shared" ref="W24" si="13">IF($C$21=1,ROUND(((S24*U24)/2),2),0)</f>
        <v>750.74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1501.48</v>
      </c>
      <c r="AC24" s="68">
        <f t="shared" ref="AC24" si="18">IF($V22=1,S24+AB24,S24)</f>
        <v>8341.51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8341.51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1668.3019999999999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1668.3019999999999</v>
      </c>
      <c r="AS24" s="83" t="s">
        <v>229</v>
      </c>
      <c r="AT24" s="83" t="s">
        <v>58</v>
      </c>
      <c r="AU24" t="s">
        <v>551</v>
      </c>
      <c r="AV24" t="s">
        <v>552</v>
      </c>
      <c r="AW24" s="83">
        <f>AM24</f>
        <v>5</v>
      </c>
      <c r="AX24" s="83">
        <f>AR24</f>
        <v>1668.3019999999999</v>
      </c>
      <c r="AY24" s="83">
        <f>AU24+AW24</f>
        <v>25</v>
      </c>
      <c r="AZ24" s="83">
        <f>ROUND(((AU24*AV24)+(AW24*AX24))/(AU24+AW24),5)</f>
        <v>1668.3019999999999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552</v>
      </c>
      <c r="BN24" t="s">
        <v>232</v>
      </c>
      <c r="BO24" s="83">
        <f>ROUND((((AW24*AZ24)+(BN24*BM24))/(AW24+BN24)),5)</f>
        <v>1668.3019999999999</v>
      </c>
      <c r="BP24" s="87">
        <f>BN24+AW24</f>
        <v>255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13800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963.81999999999994</v>
      </c>
      <c r="S25" s="71">
        <f>SUM(S23:S24)</f>
        <v>12836.18</v>
      </c>
      <c r="T25" s="71"/>
      <c r="U25" s="71"/>
      <c r="V25" s="77">
        <f t="shared" ref="V25:AE25" si="24">SUM(V23:V24)</f>
        <v>1155.26</v>
      </c>
      <c r="W25" s="77">
        <f t="shared" si="24"/>
        <v>1155.26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2310.52</v>
      </c>
      <c r="AC25" s="80">
        <f t="shared" si="24"/>
        <v>13645.220000000001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12836.18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13800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963.81999999999994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12836.18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2310.52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15146.7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5349.0599999999995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289.16000000000003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5059.8999999999996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910.78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5970.6799999999994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438</v>
      </c>
      <c r="AS23" t="s">
        <v>439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442</v>
      </c>
      <c r="BK23" t="s">
        <v>443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444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445</v>
      </c>
      <c r="AS24" t="s">
        <v>446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448</v>
      </c>
      <c r="BK24" t="s">
        <v>449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10654.75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575.95000000000005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10078.799999999999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Y25</f>
        <v>1814.19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11892.99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421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348</v>
      </c>
      <c r="BJ23" t="s">
        <v>421</v>
      </c>
      <c r="BK23" t="s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451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452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348</v>
      </c>
      <c r="BJ24" t="s">
        <v>452</v>
      </c>
      <c r="BK24" t="s">
        <v>453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10654.75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575.95000000000005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10078.799999999999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Y25</f>
        <v>1814.19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11892.99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454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455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456</v>
      </c>
      <c r="AS23" t="s">
        <v>457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458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459</v>
      </c>
      <c r="H24" s="69">
        <f t="shared" ref="H24" si="4">F24*G24</f>
        <v>2380</v>
      </c>
      <c r="I24" t="s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460</v>
      </c>
      <c r="AS24" t="s">
        <v>461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4347.5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299.27999999999997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4048.22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Y25</f>
        <v>728.68000000000006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4776.8999999999996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463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>
        <v>239</v>
      </c>
      <c r="AS24" t="s">
        <v>464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464</v>
      </c>
      <c r="BK24" t="s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466</v>
      </c>
      <c r="H23" s="69">
        <f>F23*G23</f>
        <v>1572</v>
      </c>
      <c r="I23" t="s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467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467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468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469</v>
      </c>
      <c r="H24" s="69">
        <f t="shared" ref="H24" si="6">F24*G24</f>
        <v>1305</v>
      </c>
      <c r="I24" t="s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>
        <v>239</v>
      </c>
      <c r="AS24" t="s">
        <v>470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470</v>
      </c>
      <c r="BK24" t="s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473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256</v>
      </c>
      <c r="BN24" t="s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475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476</v>
      </c>
      <c r="H24" s="69">
        <f>F24*G24</f>
        <v>1400</v>
      </c>
      <c r="I24" t="s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>
        <v>239</v>
      </c>
      <c r="AV24" t="s">
        <v>477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477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75" t="s">
        <v>89</v>
      </c>
      <c r="B21" s="275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478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479</v>
      </c>
      <c r="H23" s="69">
        <f>F23*G23</f>
        <v>86325</v>
      </c>
      <c r="I23" t="s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5" t="s">
        <v>89</v>
      </c>
      <c r="B21" s="275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480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481</v>
      </c>
      <c r="BK23" t="s">
        <v>482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483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>
        <v>239</v>
      </c>
      <c r="AS24" t="s">
        <v>484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485</v>
      </c>
      <c r="BK24" t="s">
        <v>486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5</v>
      </c>
      <c r="D21" s="21" t="s">
        <v>487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481</v>
      </c>
      <c r="BN23" t="s">
        <v>482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489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491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492</v>
      </c>
      <c r="BN23" t="s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3" t="s">
        <v>46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5" t="s">
        <v>89</v>
      </c>
      <c r="B21" s="275"/>
      <c r="C21" s="20">
        <v>2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8" workbookViewId="0">
      <selection activeCell="J18" sqref="J18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493</v>
      </c>
      <c r="C23" s="25" t="s">
        <v>493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494</v>
      </c>
      <c r="C23" s="25" t="s">
        <v>494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495</v>
      </c>
      <c r="C23" s="25" t="s">
        <v>495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496</v>
      </c>
      <c r="C23" s="25" t="s">
        <v>496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497</v>
      </c>
      <c r="C23" s="25" t="s">
        <v>497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498</v>
      </c>
      <c r="C23" s="25" t="s">
        <v>498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499</v>
      </c>
      <c r="C23" s="25" t="s">
        <v>499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500</v>
      </c>
      <c r="C23" s="25" t="s">
        <v>500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5" t="s">
        <v>89</v>
      </c>
      <c r="B21" s="275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501</v>
      </c>
      <c r="C23" s="25" t="s">
        <v>501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>
  <dimension ref="A1:CZ38"/>
  <sheetViews>
    <sheetView topLeftCell="CT10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0" t="s">
        <v>47</v>
      </c>
      <c r="B2" s="260"/>
      <c r="C2" s="260"/>
      <c r="D2" s="260"/>
      <c r="E2" s="260"/>
      <c r="F2" s="260"/>
      <c r="G2" s="260"/>
      <c r="H2" s="260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5310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4500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4500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810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5310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CZ38"/>
  <sheetViews>
    <sheetView topLeftCell="CT16" workbookViewId="0">
      <selection activeCell="CU22" sqref="CU22:CZ23"/>
    </sheetView>
  </sheetViews>
  <sheetFormatPr defaultColWidth="9" defaultRowHeight="15"/>
  <cols>
    <col min="1" max="1" width="24.5703125" bestFit="1" customWidth="1"/>
    <col min="2" max="2" width="14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19.5703125" bestFit="1" customWidth="1"/>
    <col min="79" max="79" width="4.28515625" bestFit="1" customWidth="1"/>
    <col min="80" max="80" width="26.570312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1" t="s">
        <v>47</v>
      </c>
      <c r="B2" s="261"/>
      <c r="C2" s="261"/>
      <c r="D2" s="261"/>
      <c r="E2" s="261"/>
      <c r="F2" s="261"/>
      <c r="G2" s="261"/>
      <c r="H2" s="261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511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85" t="s">
        <v>658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90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90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616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617</v>
      </c>
      <c r="CC25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4500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660</v>
      </c>
      <c r="CC26">
        <v>0</v>
      </c>
      <c r="CD26">
        <f>(CC23*2%)</f>
        <v>90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  <c r="CB27" s="85" t="s">
        <v>661</v>
      </c>
      <c r="CC27">
        <v>0</v>
      </c>
      <c r="CD27">
        <f>CC23+CC24+CC25-CD26</f>
        <v>5220</v>
      </c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4500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810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5310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30:H30"/>
    <mergeCell ref="I30:J30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CZ38"/>
  <sheetViews>
    <sheetView topLeftCell="BS16" workbookViewId="0">
      <selection activeCell="CX23" sqref="CX23"/>
    </sheetView>
  </sheetViews>
  <sheetFormatPr defaultColWidth="9" defaultRowHeight="15"/>
  <cols>
    <col min="1" max="1" width="24.5703125" bestFit="1" customWidth="1"/>
    <col min="2" max="2" width="14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19.5703125" bestFit="1" customWidth="1"/>
    <col min="79" max="79" width="4.28515625" bestFit="1" customWidth="1"/>
    <col min="80" max="80" width="28.570312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2" t="s">
        <v>47</v>
      </c>
      <c r="B2" s="262"/>
      <c r="C2" s="262"/>
      <c r="D2" s="262"/>
      <c r="E2" s="262"/>
      <c r="F2" s="262"/>
      <c r="G2" s="262"/>
      <c r="H2" s="262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810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670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85" t="s">
        <v>671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  <c r="CU23">
        <f>CD25</f>
        <v>45</v>
      </c>
      <c r="CV23">
        <v>0</v>
      </c>
      <c r="CW23">
        <v>0</v>
      </c>
      <c r="CX23">
        <f>CU23+CD26</f>
        <v>5310</v>
      </c>
      <c r="CY23">
        <v>0</v>
      </c>
      <c r="CZ23">
        <f>CU23</f>
        <v>45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0</v>
      </c>
      <c r="W24" s="77">
        <f t="shared" si="1"/>
        <v>0</v>
      </c>
      <c r="X24" s="77">
        <f t="shared" si="1"/>
        <v>810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625</v>
      </c>
      <c r="CC24">
        <f>X24</f>
        <v>810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660</v>
      </c>
      <c r="CC25">
        <f>W24</f>
        <v>0</v>
      </c>
      <c r="CD25" s="256">
        <f>(CC23)*1%</f>
        <v>45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4500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668</v>
      </c>
      <c r="CC26">
        <v>0</v>
      </c>
      <c r="CD26">
        <f>CC23+CC24-CD25</f>
        <v>5265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4500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810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5310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CZ38"/>
  <sheetViews>
    <sheetView topLeftCell="CA13" workbookViewId="0">
      <selection activeCell="CB26" sqref="C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3" t="s">
        <v>47</v>
      </c>
      <c r="B2" s="263"/>
      <c r="C2" s="263"/>
      <c r="D2" s="263"/>
      <c r="E2" s="263"/>
      <c r="F2" s="263"/>
      <c r="G2" s="263"/>
      <c r="H2" s="263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 t="s">
        <v>686</v>
      </c>
      <c r="V23" s="69">
        <f>IF(OR($C$21=1,$C$21=4),ROUND(((S23*U23)/2),2),0)</f>
        <v>630</v>
      </c>
      <c r="W23" s="69">
        <f>IF($C$21=1,ROUND(((S23*U23)/2),2),0)</f>
        <v>630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1260</v>
      </c>
      <c r="AC23" s="68">
        <f>IF($V21=1,S23+AB23,S23)</f>
        <v>5760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630</v>
      </c>
      <c r="CQ23">
        <f>W23</f>
        <v>630</v>
      </c>
      <c r="CR23">
        <f>X23</f>
        <v>0</v>
      </c>
      <c r="CS23">
        <f>Y23</f>
        <v>0</v>
      </c>
      <c r="CT23">
        <f>AA23</f>
        <v>0</v>
      </c>
      <c r="CU23">
        <f>CD26</f>
        <v>5760</v>
      </c>
      <c r="CV23">
        <v>0</v>
      </c>
      <c r="CW23">
        <v>0</v>
      </c>
      <c r="CX23">
        <f>CU23+CD27</f>
        <v>5760</v>
      </c>
      <c r="CY23">
        <v>0</v>
      </c>
      <c r="CZ23">
        <f>CU23</f>
        <v>5760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630</v>
      </c>
      <c r="W24" s="77">
        <f t="shared" si="1"/>
        <v>630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1260</v>
      </c>
      <c r="AC24" s="80">
        <f t="shared" si="1"/>
        <v>5760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5760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687</v>
      </c>
      <c r="CC24">
        <f>V24</f>
        <v>630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688</v>
      </c>
      <c r="CC25">
        <f>W24</f>
        <v>630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4500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5760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4500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1260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5760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CZ39"/>
  <sheetViews>
    <sheetView topLeftCell="CT13" workbookViewId="0">
      <selection activeCell="CU22" sqref="CU22:CZ23"/>
    </sheetView>
  </sheetViews>
  <sheetFormatPr defaultColWidth="9" defaultRowHeight="15"/>
  <cols>
    <col min="1" max="1" width="24.5703125" bestFit="1" customWidth="1"/>
    <col min="2" max="2" width="18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49" t="s">
        <v>47</v>
      </c>
      <c r="B2" s="249"/>
      <c r="C2" s="249"/>
      <c r="D2" s="249"/>
      <c r="E2" s="249"/>
      <c r="F2" s="249"/>
      <c r="G2" s="249"/>
      <c r="H2" s="249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SUMIF(BZ23:BZ24,"RAW MATERIAL",S23:S24)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CU23+CD27</f>
        <v>10620</v>
      </c>
      <c r="CY23">
        <v>0</v>
      </c>
      <c r="CZ23">
        <f>CU23</f>
        <v>0</v>
      </c>
    </row>
    <row r="24" spans="1:104" ht="15.75" thickBot="1">
      <c r="A24" s="68">
        <v>2</v>
      </c>
      <c r="B24" s="68" t="s">
        <v>512</v>
      </c>
      <c r="C24" s="68" t="s">
        <v>162</v>
      </c>
      <c r="D24" s="68" t="s">
        <v>58</v>
      </c>
      <c r="E24" s="68" t="s">
        <v>163</v>
      </c>
      <c r="F24" s="69">
        <v>1</v>
      </c>
      <c r="G24" t="s">
        <v>562</v>
      </c>
      <c r="H24" s="69">
        <f>F24*G24</f>
        <v>4500</v>
      </c>
      <c r="I24">
        <v>0</v>
      </c>
      <c r="J24" s="69">
        <v>0</v>
      </c>
      <c r="K24" s="69">
        <v>0</v>
      </c>
      <c r="L24" s="69">
        <f>H24</f>
        <v>4500</v>
      </c>
      <c r="M24" s="69">
        <f>ROUND(L24*I24%,2)</f>
        <v>0</v>
      </c>
      <c r="N24" s="69">
        <f>H24-M24</f>
        <v>4500</v>
      </c>
      <c r="O24" s="69">
        <f>ROUND(N24*J24%,2)</f>
        <v>0</v>
      </c>
      <c r="P24" s="69">
        <f>ROUND(N24-O24,2)</f>
        <v>4500</v>
      </c>
      <c r="Q24" s="69">
        <f>ROUND(P24*K24%,2)</f>
        <v>0</v>
      </c>
      <c r="R24" s="69">
        <f>ROUND((M24+O24+Q24),2)</f>
        <v>0</v>
      </c>
      <c r="S24" s="69">
        <f>ROUND((H24-R24),2)</f>
        <v>4500</v>
      </c>
      <c r="T24" s="89" t="s">
        <v>146</v>
      </c>
      <c r="U24" s="79">
        <v>0.18</v>
      </c>
      <c r="V24" s="69">
        <f>IF(OR($C$21=1,$C$21=4),ROUND(((S24*U24)/2),2),0)</f>
        <v>405</v>
      </c>
      <c r="W24" s="69">
        <f>IF($C$21=1,ROUND(((S24*U24)/2),2),0)</f>
        <v>405</v>
      </c>
      <c r="X24" s="69">
        <f>IF($C$21=2,ROUND(((S24*U24)),2),0)</f>
        <v>0</v>
      </c>
      <c r="Y24" s="69">
        <f>IF($C$21=4,ROUND(((S24*U24)/2),2),0)</f>
        <v>0</v>
      </c>
      <c r="Z24" s="109">
        <v>0</v>
      </c>
      <c r="AA24" s="69">
        <f>IF($C19=3, 0, ROUND(S24*Z24, 2))</f>
        <v>0</v>
      </c>
      <c r="AB24" s="68">
        <f>V24+W24+X24+Y24+AA24</f>
        <v>810</v>
      </c>
      <c r="AC24" s="68">
        <f>IF($V21=1,S24+AB24,S24)</f>
        <v>5310</v>
      </c>
      <c r="AD24" s="89">
        <v>120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>S24*$M$21</f>
        <v>4500</v>
      </c>
      <c r="AJ24" s="89">
        <f>IF($C$21=3,0,AG24+AH24)</f>
        <v>0</v>
      </c>
      <c r="AK24" s="89">
        <f>IF($C$21=3,AE24+AG24+AH24,0)</f>
        <v>0</v>
      </c>
      <c r="AL24" s="108">
        <v>1</v>
      </c>
      <c r="AM24" s="89">
        <f>F24/AL24</f>
        <v>1</v>
      </c>
      <c r="AN24" s="89">
        <f>ROUND(AI24/AM24,5)</f>
        <v>4500</v>
      </c>
      <c r="AO24" s="89">
        <f>AJ24/AM24</f>
        <v>0</v>
      </c>
      <c r="AP24" s="89">
        <f>AK24/AM24</f>
        <v>0</v>
      </c>
      <c r="AQ24" s="89" t="s">
        <v>58</v>
      </c>
      <c r="AR24" s="89">
        <f>ROUND(AN24+AO24+AP24,5)</f>
        <v>4500</v>
      </c>
      <c r="AS24" s="83" t="s">
        <v>518</v>
      </c>
      <c r="AT24" s="83" t="s">
        <v>58</v>
      </c>
      <c r="AU24" t="s">
        <v>239</v>
      </c>
      <c r="AV24" t="s">
        <v>530</v>
      </c>
      <c r="AW24" s="83">
        <f>AM24</f>
        <v>1</v>
      </c>
      <c r="AX24" s="83">
        <f>AR24</f>
        <v>4500</v>
      </c>
      <c r="AY24" s="83">
        <f>AU24+AW24</f>
        <v>1</v>
      </c>
      <c r="AZ24" s="83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520</v>
      </c>
      <c r="BM24" t="s">
        <v>531</v>
      </c>
      <c r="BN24" t="s">
        <v>532</v>
      </c>
      <c r="BO24" s="83">
        <f>ROUND((((AW24*AZ24)+(BN24*BM24))/(AW24+BN24)),5)</f>
        <v>494.17237999999998</v>
      </c>
      <c r="BP24" s="87">
        <f>BN24+AW24</f>
        <v>186</v>
      </c>
      <c r="BQ24" s="88">
        <v>88363222</v>
      </c>
      <c r="BR24" s="253" t="s">
        <v>525</v>
      </c>
      <c r="BS24" s="253" t="s">
        <v>508</v>
      </c>
      <c r="BT24" s="253">
        <v>10100</v>
      </c>
      <c r="BU24" s="253" t="s">
        <v>526</v>
      </c>
      <c r="BV24" s="254" t="s">
        <v>527</v>
      </c>
      <c r="BW24" s="253" t="s">
        <v>509</v>
      </c>
      <c r="BX24" s="194" t="s">
        <v>510</v>
      </c>
      <c r="BY24" s="253">
        <v>800</v>
      </c>
      <c r="BZ24" s="253" t="s">
        <v>533</v>
      </c>
      <c r="CA24" s="255">
        <v>70</v>
      </c>
      <c r="CB24" s="253" t="s">
        <v>533</v>
      </c>
      <c r="CC24">
        <f>SUMIF(BZ23:BZ24,"COMMUNICATION EXPENSES",S23:S24)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4" si="1">V24</f>
        <v>405</v>
      </c>
      <c r="CQ24">
        <f t="shared" si="1"/>
        <v>405</v>
      </c>
      <c r="CR24">
        <f t="shared" si="1"/>
        <v>0</v>
      </c>
      <c r="CS24">
        <f t="shared" si="1"/>
        <v>0</v>
      </c>
      <c r="CT24">
        <f t="shared" ref="CT24" si="2">AA24</f>
        <v>0</v>
      </c>
    </row>
    <row r="25" spans="1:104" ht="15.75" thickBot="1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0</v>
      </c>
      <c r="S25" s="71">
        <f>SUM(S23:S24)</f>
        <v>9000</v>
      </c>
      <c r="T25" s="71"/>
      <c r="U25" s="71"/>
      <c r="V25" s="77">
        <f t="shared" ref="V25:AE25" si="3">SUM(V23:V24)</f>
        <v>810</v>
      </c>
      <c r="W25" s="77">
        <f t="shared" si="3"/>
        <v>810</v>
      </c>
      <c r="X25" s="77">
        <f t="shared" si="3"/>
        <v>0</v>
      </c>
      <c r="Y25" s="77">
        <f t="shared" si="3"/>
        <v>0</v>
      </c>
      <c r="Z25" s="110">
        <f t="shared" si="3"/>
        <v>0</v>
      </c>
      <c r="AA25" s="77">
        <f t="shared" si="3"/>
        <v>0</v>
      </c>
      <c r="AB25" s="71">
        <f t="shared" si="3"/>
        <v>1620</v>
      </c>
      <c r="AC25" s="80">
        <f t="shared" si="3"/>
        <v>10620</v>
      </c>
      <c r="AD25" s="81">
        <f t="shared" si="3"/>
        <v>240</v>
      </c>
      <c r="AE25" s="81">
        <f t="shared" si="3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9000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>
        <f>IF(AC25-INT(AC25) &gt;= 0.5, INT(AC25)+1, INT(AC25))</f>
        <v>10620</v>
      </c>
      <c r="AU25">
        <f>AT25-AC25</f>
        <v>0</v>
      </c>
      <c r="AW25" s="66">
        <f>SUMIF(BX23:BX24,"Item",S23:S24)</f>
        <v>0</v>
      </c>
      <c r="AX25" s="66">
        <f>SUMIF(BX23:BX24,"Exp.",S23:S24)</f>
        <v>0</v>
      </c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616</v>
      </c>
      <c r="CC25">
        <f>V25</f>
        <v>810</v>
      </c>
      <c r="CD25">
        <v>0</v>
      </c>
    </row>
    <row r="26" spans="1:104" ht="15.75" thickBo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  <c r="CB26" s="253" t="s">
        <v>617</v>
      </c>
      <c r="CC26">
        <f>W25</f>
        <v>810</v>
      </c>
      <c r="CD26" s="256">
        <v>0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194</v>
      </c>
      <c r="H27" s="281"/>
      <c r="I27" s="282">
        <f>H25</f>
        <v>9000</v>
      </c>
      <c r="J27" s="282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  <c r="CB27" s="253" t="s">
        <v>659</v>
      </c>
      <c r="CC27">
        <v>0</v>
      </c>
      <c r="CD27">
        <f>AC25</f>
        <v>10620</v>
      </c>
    </row>
    <row r="28" spans="1:104" ht="15.75" thickBot="1">
      <c r="A28" s="66"/>
      <c r="B28" s="66"/>
      <c r="C28" s="66"/>
      <c r="D28" s="66"/>
      <c r="E28" s="66"/>
      <c r="F28" s="66"/>
      <c r="G28" s="280" t="s">
        <v>196</v>
      </c>
      <c r="H28" s="281"/>
      <c r="I28" s="282">
        <f>R25</f>
        <v>0</v>
      </c>
      <c r="J28" s="28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197</v>
      </c>
      <c r="H29" s="281"/>
      <c r="I29" s="282">
        <f>S25</f>
        <v>9000</v>
      </c>
      <c r="J29" s="28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198</v>
      </c>
      <c r="H30" s="281"/>
      <c r="I30" s="282">
        <f>AB25</f>
        <v>1620</v>
      </c>
      <c r="J30" s="28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 ht="15.75" thickBot="1">
      <c r="A31" s="66"/>
      <c r="B31" s="66"/>
      <c r="C31" s="66"/>
      <c r="D31" s="66"/>
      <c r="E31" s="66"/>
      <c r="F31" s="66"/>
      <c r="G31" s="280" t="s">
        <v>199</v>
      </c>
      <c r="H31" s="281"/>
      <c r="I31" s="286">
        <f>I29+I30</f>
        <v>10620</v>
      </c>
      <c r="J31" s="28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27:H27"/>
    <mergeCell ref="I27:J27"/>
    <mergeCell ref="M27:P27"/>
    <mergeCell ref="A1:AC1"/>
    <mergeCell ref="B19:G19"/>
    <mergeCell ref="A21:B21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CZ38"/>
  <sheetViews>
    <sheetView topLeftCell="CR16" workbookViewId="0">
      <selection activeCell="CU22" sqref="CU22:CZ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7" t="s">
        <v>47</v>
      </c>
      <c r="B2" s="257"/>
      <c r="C2" s="257"/>
      <c r="D2" s="257"/>
      <c r="E2" s="257"/>
      <c r="F2" s="257"/>
      <c r="G2" s="257"/>
      <c r="H2" s="25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669</v>
      </c>
      <c r="H23" s="69">
        <f>F23*G23</f>
        <v>4700</v>
      </c>
      <c r="I23">
        <v>0</v>
      </c>
      <c r="J23" s="69">
        <v>0</v>
      </c>
      <c r="K23" s="69">
        <v>0</v>
      </c>
      <c r="L23" s="69">
        <f>H23</f>
        <v>4700</v>
      </c>
      <c r="M23" s="69">
        <f>ROUND(L23*I23%,2)</f>
        <v>0</v>
      </c>
      <c r="N23" s="69">
        <f>H23-M23</f>
        <v>4700</v>
      </c>
      <c r="O23" s="69">
        <f>ROUND(N23*J23%,2)</f>
        <v>0</v>
      </c>
      <c r="P23" s="69">
        <f>ROUND(N23-O23,2)</f>
        <v>4700</v>
      </c>
      <c r="Q23" s="69">
        <f>ROUND(P23*K23%,2)</f>
        <v>0</v>
      </c>
      <c r="R23" s="69">
        <f>ROUND((M23+O23+Q23),2)</f>
        <v>0</v>
      </c>
      <c r="S23" s="69">
        <f>ROUND((H23-R23),2)</f>
        <v>4700</v>
      </c>
      <c r="T23" s="89" t="s">
        <v>146</v>
      </c>
      <c r="U23" s="79">
        <v>0.18</v>
      </c>
      <c r="V23" s="69">
        <f>IF(OR($C$21=1,$C$21=4),ROUND(((S23*U23)/2),2),0)</f>
        <v>423</v>
      </c>
      <c r="W23" s="69">
        <f>IF($C$21=1,ROUND(((S23*U23)/2),2),0)</f>
        <v>423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846</v>
      </c>
      <c r="AC23" s="68">
        <f>IF($V21=1,S23+AB23,S23)</f>
        <v>5546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4700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4700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4700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4700</v>
      </c>
      <c r="AY23" s="83">
        <f>AU23+AW23</f>
        <v>1</v>
      </c>
      <c r="AZ23" s="83">
        <f>ROUND(((AU23*AV23)+(AW23*AX23))/(AU23+AW23),5)</f>
        <v>4700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495.24765000000002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4700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423</v>
      </c>
      <c r="CQ23">
        <f>W23</f>
        <v>423</v>
      </c>
      <c r="CR23">
        <f>X23</f>
        <v>0</v>
      </c>
      <c r="CS23">
        <f>Y23</f>
        <v>0</v>
      </c>
      <c r="CT23">
        <f>AA23</f>
        <v>0</v>
      </c>
      <c r="CU23">
        <f>CD26</f>
        <v>5546</v>
      </c>
      <c r="CV23">
        <v>0</v>
      </c>
      <c r="CW23">
        <v>0</v>
      </c>
      <c r="CX23">
        <f>CU23+CD27</f>
        <v>5546</v>
      </c>
      <c r="CY23">
        <v>0</v>
      </c>
      <c r="CZ23">
        <f>CU23</f>
        <v>5546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4700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4700</v>
      </c>
      <c r="T24" s="71"/>
      <c r="U24" s="71"/>
      <c r="V24" s="77">
        <f t="shared" ref="V24:AE24" si="1">SUM(V23:V23)</f>
        <v>423</v>
      </c>
      <c r="W24" s="77">
        <f t="shared" si="1"/>
        <v>423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846</v>
      </c>
      <c r="AC24" s="80">
        <f t="shared" si="1"/>
        <v>5546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4700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5546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>
        <f>V24</f>
        <v>423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>
        <f>W24</f>
        <v>423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4700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5546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4700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846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5546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A1:AC1"/>
    <mergeCell ref="B19:G19"/>
    <mergeCell ref="A21:B21"/>
    <mergeCell ref="G26:H26"/>
    <mergeCell ref="I26:J26"/>
    <mergeCell ref="G27:H27"/>
    <mergeCell ref="I27:J27"/>
    <mergeCell ref="M26:P26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CZ38"/>
  <sheetViews>
    <sheetView topLeftCell="CR10" workbookViewId="0">
      <selection activeCell="CZ26" sqref="CZ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8" t="s">
        <v>47</v>
      </c>
      <c r="B2" s="258"/>
      <c r="C2" s="258"/>
      <c r="D2" s="258"/>
      <c r="E2" s="258"/>
      <c r="F2" s="258"/>
      <c r="G2" s="258"/>
      <c r="H2" s="258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556</v>
      </c>
      <c r="H23" s="69">
        <f>F23*G23</f>
        <v>4400</v>
      </c>
      <c r="I23">
        <v>0</v>
      </c>
      <c r="J23" s="69">
        <v>0</v>
      </c>
      <c r="K23" s="69">
        <v>0</v>
      </c>
      <c r="L23" s="69">
        <f>H23</f>
        <v>4400</v>
      </c>
      <c r="M23" s="69">
        <f>ROUND(L23*I23%,2)</f>
        <v>0</v>
      </c>
      <c r="N23" s="69">
        <f>H23-M23</f>
        <v>4400</v>
      </c>
      <c r="O23" s="69">
        <f>ROUND(N23*J23%,2)</f>
        <v>0</v>
      </c>
      <c r="P23" s="69">
        <f>ROUND(N23-O23,2)</f>
        <v>4400</v>
      </c>
      <c r="Q23" s="69">
        <f>ROUND(P23*K23%,2)</f>
        <v>0</v>
      </c>
      <c r="R23" s="69">
        <f>ROUND((M23+O23+Q23),2)</f>
        <v>0</v>
      </c>
      <c r="S23" s="69">
        <f>ROUND((H23-R23),2)</f>
        <v>4400</v>
      </c>
      <c r="T23" s="89" t="s">
        <v>146</v>
      </c>
      <c r="U23" s="79">
        <v>0.18</v>
      </c>
      <c r="V23" s="69">
        <f>IF(OR($C$21=1,$C$21=4),ROUND(((S23*U23)/2),2),0)</f>
        <v>396</v>
      </c>
      <c r="W23" s="69">
        <f>IF($C$21=1,ROUND(((S23*U23)/2),2),0)</f>
        <v>396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792</v>
      </c>
      <c r="AC23" s="68">
        <f>IF($V21=1,S23+AB23,S23)</f>
        <v>5192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4400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4400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4400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4400</v>
      </c>
      <c r="AY23" s="83">
        <f>AU23+AW23</f>
        <v>1</v>
      </c>
      <c r="AZ23" s="83">
        <f>ROUND(((AU23*AV23)+(AW23*AX23))/(AU23+AW23),5)</f>
        <v>4400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493.63475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4400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396</v>
      </c>
      <c r="CQ23">
        <f>W23</f>
        <v>396</v>
      </c>
      <c r="CR23">
        <f>X23</f>
        <v>0</v>
      </c>
      <c r="CS23">
        <f>Y23</f>
        <v>0</v>
      </c>
      <c r="CT23">
        <f>AA23</f>
        <v>0</v>
      </c>
      <c r="CU23">
        <f>CD26</f>
        <v>5192</v>
      </c>
      <c r="CV23">
        <v>0</v>
      </c>
      <c r="CW23">
        <v>0</v>
      </c>
      <c r="CX23">
        <f>CU23+CD27</f>
        <v>5192</v>
      </c>
      <c r="CY23">
        <v>0</v>
      </c>
      <c r="CZ23">
        <f>CU23</f>
        <v>5192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4400</v>
      </c>
      <c r="T24" s="71"/>
      <c r="U24" s="71"/>
      <c r="V24" s="77">
        <f t="shared" ref="V24:AE24" si="1">SUM(V23:V23)</f>
        <v>396</v>
      </c>
      <c r="W24" s="77">
        <f t="shared" si="1"/>
        <v>396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792</v>
      </c>
      <c r="AC24" s="80">
        <f t="shared" si="1"/>
        <v>5192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4400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5192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>
        <f>V24</f>
        <v>396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>
        <f>W24</f>
        <v>396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4400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5192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4400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792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5192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CZ38"/>
  <sheetViews>
    <sheetView topLeftCell="CQ16" workbookViewId="0">
      <selection activeCell="BR22" sqref="BR22:CZ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78" t="s">
        <v>154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9" t="s">
        <v>47</v>
      </c>
      <c r="B2" s="259"/>
      <c r="C2" s="259"/>
      <c r="D2" s="259"/>
      <c r="E2" s="259"/>
      <c r="F2" s="259"/>
      <c r="G2" s="259"/>
      <c r="H2" s="259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4" t="s">
        <v>87</v>
      </c>
      <c r="C19" s="274"/>
      <c r="D19" s="274"/>
      <c r="E19" s="274"/>
      <c r="F19" s="274"/>
      <c r="G19" s="27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5" t="s">
        <v>89</v>
      </c>
      <c r="B21" s="27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5310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0" t="s">
        <v>194</v>
      </c>
      <c r="H26" s="281"/>
      <c r="I26" s="282">
        <f>H24</f>
        <v>4500</v>
      </c>
      <c r="J26" s="282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80" t="s">
        <v>196</v>
      </c>
      <c r="H27" s="281"/>
      <c r="I27" s="282">
        <f>R24</f>
        <v>0</v>
      </c>
      <c r="J27" s="28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0" t="s">
        <v>197</v>
      </c>
      <c r="H28" s="281"/>
      <c r="I28" s="282">
        <f>S24</f>
        <v>4500</v>
      </c>
      <c r="J28" s="28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0" t="s">
        <v>198</v>
      </c>
      <c r="H29" s="281"/>
      <c r="I29" s="282">
        <f>AB24</f>
        <v>810</v>
      </c>
      <c r="J29" s="28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0" t="s">
        <v>199</v>
      </c>
      <c r="H30" s="281"/>
      <c r="I30" s="286">
        <f>I28+I29</f>
        <v>5310</v>
      </c>
      <c r="J30" s="28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29:H29"/>
    <mergeCell ref="I29:J29"/>
    <mergeCell ref="G30:H30"/>
    <mergeCell ref="I30:J30"/>
    <mergeCell ref="G27:H27"/>
    <mergeCell ref="I27:J27"/>
    <mergeCell ref="G28:H28"/>
    <mergeCell ref="I28:J28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ER38"/>
  <sheetViews>
    <sheetView topLeftCell="EG13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306" t="s">
        <v>154</v>
      </c>
      <c r="BS1" s="306"/>
      <c r="BT1" s="306"/>
      <c r="BU1" s="306"/>
      <c r="BV1" s="306"/>
      <c r="BW1" s="306"/>
      <c r="BX1" s="306"/>
      <c r="BY1" s="306"/>
      <c r="BZ1" s="306"/>
      <c r="CA1" s="306"/>
      <c r="CB1" s="306"/>
      <c r="CC1" s="306"/>
      <c r="CD1" s="306"/>
      <c r="CE1" s="306"/>
      <c r="CF1" s="306"/>
      <c r="CG1" s="306"/>
      <c r="CH1" s="306"/>
      <c r="CI1" s="306"/>
      <c r="CJ1" s="306"/>
      <c r="CK1" s="306"/>
      <c r="CL1" s="306"/>
      <c r="CM1" s="306"/>
      <c r="CN1" s="306"/>
      <c r="CO1" s="306"/>
      <c r="CP1" s="306"/>
      <c r="CQ1" s="306"/>
      <c r="CR1" s="306"/>
      <c r="CS1" s="306"/>
      <c r="CT1" s="306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307" t="s">
        <v>87</v>
      </c>
      <c r="BT19" s="307"/>
      <c r="BU19" s="307"/>
      <c r="BV19" s="307"/>
      <c r="BW19" s="307"/>
      <c r="BX19" s="307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308" t="s">
        <v>89</v>
      </c>
      <c r="BS21" s="308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59" t="s">
        <v>155</v>
      </c>
      <c r="BS22" s="159" t="s">
        <v>49</v>
      </c>
      <c r="BT22" s="159" t="s">
        <v>156</v>
      </c>
      <c r="BU22" s="159" t="s">
        <v>51</v>
      </c>
      <c r="BV22" s="159" t="s">
        <v>52</v>
      </c>
      <c r="BW22" s="159" t="s">
        <v>53</v>
      </c>
      <c r="BX22" s="159" t="s">
        <v>54</v>
      </c>
      <c r="BY22" s="159" t="s">
        <v>55</v>
      </c>
      <c r="BZ22" s="160" t="s">
        <v>97</v>
      </c>
      <c r="CA22" s="160" t="s">
        <v>99</v>
      </c>
      <c r="CB22" s="160" t="s">
        <v>98</v>
      </c>
      <c r="CC22" s="161" t="s">
        <v>100</v>
      </c>
      <c r="CD22" s="161" t="s">
        <v>101</v>
      </c>
      <c r="CE22" s="161" t="s">
        <v>104</v>
      </c>
      <c r="CF22" s="161" t="s">
        <v>105</v>
      </c>
      <c r="CG22" s="161" t="s">
        <v>157</v>
      </c>
      <c r="CH22" s="161" t="s">
        <v>103</v>
      </c>
      <c r="CI22" s="160" t="s">
        <v>106</v>
      </c>
      <c r="CJ22" s="159" t="s">
        <v>158</v>
      </c>
      <c r="CK22" s="159" t="s">
        <v>108</v>
      </c>
      <c r="CL22" s="162" t="s">
        <v>159</v>
      </c>
      <c r="CM22" s="162" t="s">
        <v>110</v>
      </c>
      <c r="CN22" s="162" t="s">
        <v>111</v>
      </c>
      <c r="CO22" s="162" t="s">
        <v>112</v>
      </c>
      <c r="CP22" s="163" t="s">
        <v>212</v>
      </c>
      <c r="CQ22" s="163" t="s">
        <v>213</v>
      </c>
      <c r="CR22" s="163" t="s">
        <v>214</v>
      </c>
      <c r="CS22" s="163" t="s">
        <v>113</v>
      </c>
      <c r="CT22" s="164" t="s">
        <v>114</v>
      </c>
      <c r="CU22" s="164" t="s">
        <v>115</v>
      </c>
      <c r="CV22" s="164" t="s">
        <v>116</v>
      </c>
      <c r="CW22" s="164" t="s">
        <v>117</v>
      </c>
      <c r="CX22" s="164" t="s">
        <v>118</v>
      </c>
      <c r="CY22" s="164" t="s">
        <v>119</v>
      </c>
      <c r="CZ22" s="164" t="s">
        <v>120</v>
      </c>
      <c r="DA22" s="164" t="s">
        <v>121</v>
      </c>
      <c r="DB22" s="164" t="s">
        <v>122</v>
      </c>
      <c r="DC22" s="164" t="s">
        <v>123</v>
      </c>
      <c r="DD22" s="164" t="s">
        <v>124</v>
      </c>
      <c r="DE22" s="164" t="s">
        <v>125</v>
      </c>
      <c r="DF22" s="164" t="s">
        <v>126</v>
      </c>
      <c r="DG22" s="164" t="s">
        <v>127</v>
      </c>
      <c r="DH22" s="164" t="s">
        <v>128</v>
      </c>
      <c r="DI22" s="165" t="s">
        <v>160</v>
      </c>
      <c r="DJ22" s="140" t="s">
        <v>215</v>
      </c>
      <c r="DK22" s="140" t="s">
        <v>128</v>
      </c>
      <c r="DL22" s="166" t="s">
        <v>131</v>
      </c>
      <c r="DM22" s="166" t="s">
        <v>132</v>
      </c>
      <c r="DN22" s="166" t="s">
        <v>133</v>
      </c>
      <c r="DO22" s="166" t="s">
        <v>134</v>
      </c>
      <c r="DP22" s="166" t="s">
        <v>135</v>
      </c>
      <c r="DQ22" s="166" t="s">
        <v>136</v>
      </c>
      <c r="DR22" s="166" t="s">
        <v>137</v>
      </c>
      <c r="DS22" s="166" t="s">
        <v>138</v>
      </c>
      <c r="DT22" s="167" t="s">
        <v>139</v>
      </c>
      <c r="DU22" s="167" t="s">
        <v>8</v>
      </c>
      <c r="DV22" s="167" t="s">
        <v>9</v>
      </c>
      <c r="DW22" s="166" t="s">
        <v>216</v>
      </c>
      <c r="DX22" s="166" t="s">
        <v>140</v>
      </c>
      <c r="DY22" s="166" t="s">
        <v>141</v>
      </c>
      <c r="DZ22" s="166" t="s">
        <v>142</v>
      </c>
      <c r="EA22" s="166" t="s">
        <v>143</v>
      </c>
      <c r="EB22" s="166" t="s">
        <v>144</v>
      </c>
      <c r="EC22" s="166" t="s">
        <v>217</v>
      </c>
      <c r="ED22" s="168" t="s">
        <v>218</v>
      </c>
      <c r="EE22" s="166" t="s">
        <v>219</v>
      </c>
      <c r="EF22" s="166" t="s">
        <v>136</v>
      </c>
      <c r="EG22" s="166" t="s">
        <v>220</v>
      </c>
      <c r="EH22" s="166" t="s">
        <v>108</v>
      </c>
      <c r="EI22" s="188" t="s">
        <v>513</v>
      </c>
      <c r="EJ22" s="188" t="s">
        <v>502</v>
      </c>
      <c r="EK22" s="188" t="s">
        <v>514</v>
      </c>
      <c r="EL22" s="188" t="s">
        <v>515</v>
      </c>
      <c r="EM22" s="188" t="s">
        <v>503</v>
      </c>
      <c r="EN22" s="188" t="s">
        <v>504</v>
      </c>
      <c r="EO22" s="188" t="s">
        <v>505</v>
      </c>
      <c r="EP22" s="188" t="s">
        <v>506</v>
      </c>
      <c r="EQ22" s="188" t="s">
        <v>516</v>
      </c>
      <c r="ER22" s="189" t="s">
        <v>53</v>
      </c>
    </row>
    <row r="23" spans="1:14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 t="s">
        <v>360</v>
      </c>
      <c r="H23" s="170">
        <f>F23*G23</f>
        <v>7200</v>
      </c>
      <c r="I23" t="s">
        <v>263</v>
      </c>
      <c r="J23" s="170">
        <v>2</v>
      </c>
      <c r="K23" s="170">
        <v>2.5</v>
      </c>
      <c r="L23" s="170">
        <f>H23</f>
        <v>7200</v>
      </c>
      <c r="M23" s="170">
        <f>ROUND(L23*I23%,2)</f>
        <v>216</v>
      </c>
      <c r="N23" s="170">
        <f>H23-M23</f>
        <v>6984</v>
      </c>
      <c r="O23" s="170">
        <f>ROUND(N23*J23%,2)</f>
        <v>139.68</v>
      </c>
      <c r="P23" s="170">
        <f>ROUND(N23-O23,2)</f>
        <v>6844.32</v>
      </c>
      <c r="Q23" s="170">
        <f>ROUND(P23*K23%,2)</f>
        <v>171.11</v>
      </c>
      <c r="R23" s="170">
        <f>ROUND((M23+O23+Q23),2)</f>
        <v>526.79</v>
      </c>
      <c r="S23" s="170">
        <f>ROUND((H23-R23),2)</f>
        <v>6673.21</v>
      </c>
      <c r="T23" s="171" t="s">
        <v>146</v>
      </c>
      <c r="U23" s="172">
        <v>0.18</v>
      </c>
      <c r="V23" s="170">
        <f>IF(OR($C$21=1,$C$21=4),ROUND(((S23*U23)/2),2),0)</f>
        <v>600.59</v>
      </c>
      <c r="W23" s="170">
        <f>IF($C$21=1,ROUND(((S23*U23)/2),2),0)</f>
        <v>600.59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1201.18</v>
      </c>
      <c r="AC23" s="169">
        <f>IF($V20=1,S23+AB23,S23)</f>
        <v>6673.21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 t="shared" ref="AI23" si="2">S23*$M$21</f>
        <v>6673.21</v>
      </c>
      <c r="AJ23" s="171">
        <f>IF($C$21=3,0,AG23+AH23)</f>
        <v>0</v>
      </c>
      <c r="AK23" s="171">
        <f t="shared" ref="AK23" si="3">IF($C$21=3,AE23+AG23+AH23,0)</f>
        <v>0</v>
      </c>
      <c r="AL23" s="174">
        <v>1</v>
      </c>
      <c r="AM23" s="171">
        <f>F23/AL23</f>
        <v>12</v>
      </c>
      <c r="AN23" s="171">
        <f>ROUND(AI23/AM23,5)</f>
        <v>556.10082999999997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556.10082999999997</v>
      </c>
      <c r="AS23" s="175" t="s">
        <v>518</v>
      </c>
      <c r="AT23" s="175" t="s">
        <v>58</v>
      </c>
      <c r="AU23" t="s">
        <v>239</v>
      </c>
      <c r="AV23" t="s">
        <v>519</v>
      </c>
      <c r="AW23" s="175">
        <f>AM23</f>
        <v>12</v>
      </c>
      <c r="AX23" s="175">
        <f>AR23</f>
        <v>556.10082999999997</v>
      </c>
      <c r="AY23" s="175">
        <f>AU23+AW23</f>
        <v>12</v>
      </c>
      <c r="AZ23" s="175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521</v>
      </c>
      <c r="BN23" t="s">
        <v>522</v>
      </c>
      <c r="BO23" s="175">
        <f>ROUND((((AW23*AZ23)+(BN23*BM23))/(AW23+BN23)),5)</f>
        <v>429.41982000000002</v>
      </c>
      <c r="BP23" s="87">
        <f>BN23+AW23</f>
        <v>158</v>
      </c>
      <c r="BQ23" s="88">
        <v>88363222</v>
      </c>
      <c r="BR23" s="169">
        <v>1</v>
      </c>
      <c r="BS23" s="169" t="s">
        <v>517</v>
      </c>
      <c r="BT23" s="169" t="s">
        <v>162</v>
      </c>
      <c r="BU23" s="169" t="s">
        <v>58</v>
      </c>
      <c r="BV23" s="169" t="s">
        <v>163</v>
      </c>
      <c r="BW23" s="170">
        <v>12</v>
      </c>
      <c r="BX23">
        <f>G23+500</f>
        <v>1100</v>
      </c>
      <c r="BY23" s="170">
        <f>BW23*BX23</f>
        <v>13200</v>
      </c>
      <c r="BZ23" t="s">
        <v>263</v>
      </c>
      <c r="CA23" s="170">
        <v>2</v>
      </c>
      <c r="CB23" s="170">
        <v>2.5</v>
      </c>
      <c r="CC23" s="170">
        <f>BY23</f>
        <v>13200</v>
      </c>
      <c r="CD23" s="170">
        <f>ROUND(CC23*BZ23%,2)</f>
        <v>396</v>
      </c>
      <c r="CE23" s="170">
        <f>BY23-CD23</f>
        <v>12804</v>
      </c>
      <c r="CF23" s="170">
        <f>ROUND(CE23*CA23%,2)</f>
        <v>256.08</v>
      </c>
      <c r="CG23" s="170">
        <f>ROUND(CE23-CF23,2)</f>
        <v>12547.92</v>
      </c>
      <c r="CH23" s="170">
        <f>ROUND(CG23*CB23%,2)</f>
        <v>313.7</v>
      </c>
      <c r="CI23" s="170">
        <f>ROUND((CD23+CF23+CH23),2)</f>
        <v>965.78</v>
      </c>
      <c r="CJ23" s="170">
        <f>ROUND((BY23-CI23),2)</f>
        <v>12234.22</v>
      </c>
      <c r="CK23" s="171" t="s">
        <v>146</v>
      </c>
      <c r="CL23" s="172">
        <v>0.18</v>
      </c>
      <c r="CM23" s="170">
        <f>IF(OR($C$21=1,$C$21=4),ROUND(((CJ23*CL23)/2),2),0)</f>
        <v>1101.08</v>
      </c>
      <c r="CN23" s="170">
        <f>IF($C$21=1,ROUND(((CJ23*CL23)/2),2),0)</f>
        <v>1101.08</v>
      </c>
      <c r="CO23" s="170">
        <f>IF($C$21=2,ROUND(((CJ23*CL23)),2),0)</f>
        <v>0</v>
      </c>
      <c r="CP23" s="170">
        <f>IF($C$21=4,ROUND(((CJ23*CL23)/2),2),0)</f>
        <v>0</v>
      </c>
      <c r="CQ23" s="173">
        <v>0</v>
      </c>
      <c r="CR23" s="170">
        <f>IF($C20=3, 0, ROUND(CJ23*CQ23, 2))</f>
        <v>0</v>
      </c>
      <c r="CS23" s="169">
        <f>CM23+CN23+CO23+CP23+CR23</f>
        <v>2202.16</v>
      </c>
      <c r="CT23" s="169">
        <f>IF($V20=1,CJ23+CS23,CJ23)</f>
        <v>12234.22</v>
      </c>
      <c r="CU23" s="171">
        <v>120</v>
      </c>
      <c r="CV23" s="171">
        <f>IF($P$21=1,(CJ23/$S$24)*$E$35,CU23/$AD$24*$E$35)</f>
        <v>0</v>
      </c>
      <c r="CW23" s="171"/>
      <c r="CX23" s="171">
        <f>IF($P$21=1,(CJ23/$S$24)*$E$37,CU23/$AD$24*$E$37)</f>
        <v>0</v>
      </c>
      <c r="CY23" s="171">
        <f>IF($P$21=1,(CJ23/$S$24)*$E$38,CU23/$AD$24*$E$38)</f>
        <v>0</v>
      </c>
      <c r="CZ23" s="171">
        <f t="shared" ref="CZ23" si="4">CJ23*$M$21</f>
        <v>12234.22</v>
      </c>
      <c r="DA23" s="171">
        <f>IF($C$21=3,0,CX23+CY23)</f>
        <v>0</v>
      </c>
      <c r="DB23" s="171">
        <f t="shared" ref="DB23" si="5">IF($C$21=3,CV23+CX23+CY23,0)</f>
        <v>0</v>
      </c>
      <c r="DC23" s="174">
        <v>1</v>
      </c>
      <c r="DD23" s="171">
        <f>BW23/DC23</f>
        <v>12</v>
      </c>
      <c r="DE23" s="171">
        <f>ROUND(CZ23/DD23,5)</f>
        <v>1019.51833</v>
      </c>
      <c r="DF23" s="171">
        <f>DA23/DD23</f>
        <v>0</v>
      </c>
      <c r="DG23" s="171">
        <f>DB23/DD23</f>
        <v>0</v>
      </c>
      <c r="DH23" s="171" t="s">
        <v>58</v>
      </c>
      <c r="DI23" s="171">
        <f>ROUND(DE23+DF23+DG23,5)</f>
        <v>1019.51833</v>
      </c>
      <c r="DJ23" s="175" t="s">
        <v>518</v>
      </c>
      <c r="DK23" s="175" t="s">
        <v>58</v>
      </c>
      <c r="DL23" t="s">
        <v>239</v>
      </c>
      <c r="DM23" t="s">
        <v>523</v>
      </c>
      <c r="DN23" s="175">
        <f>DD23</f>
        <v>12</v>
      </c>
      <c r="DO23" s="175">
        <f>DI23</f>
        <v>1019.51833</v>
      </c>
      <c r="DP23" s="175">
        <f>DL23+DN23</f>
        <v>12</v>
      </c>
      <c r="DQ23" s="175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5"/>
      <c r="EA23" s="175"/>
      <c r="EB23" s="175"/>
      <c r="EC23" s="176" t="s">
        <v>520</v>
      </c>
      <c r="ED23" t="s">
        <v>524</v>
      </c>
      <c r="EE23" t="s">
        <v>460</v>
      </c>
      <c r="EF23" s="175">
        <f>ROUND((((DN23*DQ23)+(EE23*ED23))/(DN23+EE23)),5)</f>
        <v>641.80885000000001</v>
      </c>
      <c r="EG23" s="87">
        <f>EE23+DN23</f>
        <v>26</v>
      </c>
      <c r="EH23" s="88">
        <v>88363222</v>
      </c>
      <c r="EI23" s="190" t="s">
        <v>525</v>
      </c>
      <c r="EJ23" s="190" t="s">
        <v>508</v>
      </c>
      <c r="EK23" s="190">
        <v>10100</v>
      </c>
      <c r="EL23" s="190" t="s">
        <v>526</v>
      </c>
      <c r="EM23" s="191" t="s">
        <v>527</v>
      </c>
      <c r="EN23" s="190" t="s">
        <v>509</v>
      </c>
      <c r="EO23" s="192" t="s">
        <v>528</v>
      </c>
      <c r="EP23" s="190">
        <v>450</v>
      </c>
      <c r="EQ23" s="190" t="s">
        <v>529</v>
      </c>
      <c r="ER23" s="193">
        <v>60</v>
      </c>
    </row>
    <row r="24" spans="1:148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7200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526.79</v>
      </c>
      <c r="S24" s="180">
        <f>SUM(S23)</f>
        <v>6673.21</v>
      </c>
      <c r="T24" s="180"/>
      <c r="U24" s="180"/>
      <c r="V24" s="181">
        <f t="shared" ref="V24:AE24" si="6">SUM(V23)</f>
        <v>600.59</v>
      </c>
      <c r="W24" s="181">
        <f t="shared" si="6"/>
        <v>600.59</v>
      </c>
      <c r="X24" s="181">
        <f t="shared" si="6"/>
        <v>0</v>
      </c>
      <c r="Y24" s="181">
        <f t="shared" si="6"/>
        <v>0</v>
      </c>
      <c r="Z24" s="182">
        <f t="shared" si="6"/>
        <v>0</v>
      </c>
      <c r="AA24" s="181">
        <f t="shared" si="6"/>
        <v>0</v>
      </c>
      <c r="AB24" s="180">
        <f t="shared" si="6"/>
        <v>1201.18</v>
      </c>
      <c r="AC24" s="183">
        <f t="shared" si="6"/>
        <v>6673.21</v>
      </c>
      <c r="AD24" s="184">
        <f t="shared" si="6"/>
        <v>120</v>
      </c>
      <c r="AE24" s="184">
        <f t="shared" si="6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6673.21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7" t="s">
        <v>87</v>
      </c>
      <c r="BU24" s="178"/>
      <c r="BV24" s="178"/>
      <c r="BW24" s="178"/>
      <c r="BX24" s="179"/>
      <c r="BY24" s="180">
        <f>SUM(BY23)</f>
        <v>13200</v>
      </c>
      <c r="BZ24" s="169"/>
      <c r="CA24" s="169"/>
      <c r="CB24" s="169"/>
      <c r="CC24" s="169"/>
      <c r="CD24" s="169"/>
      <c r="CE24" s="169"/>
      <c r="CF24" s="169"/>
      <c r="CG24" s="169"/>
      <c r="CH24" s="169"/>
      <c r="CI24" s="180">
        <f>SUM(CI23)</f>
        <v>965.78</v>
      </c>
      <c r="CJ24" s="180">
        <f>SUM(CJ23)</f>
        <v>12234.22</v>
      </c>
      <c r="CK24" s="180"/>
      <c r="CL24" s="180"/>
      <c r="CM24" s="181">
        <f t="shared" ref="CM24:CV24" si="7">SUM(CM23)</f>
        <v>1101.08</v>
      </c>
      <c r="CN24" s="181">
        <f t="shared" si="7"/>
        <v>1101.08</v>
      </c>
      <c r="CO24" s="181">
        <f t="shared" si="7"/>
        <v>0</v>
      </c>
      <c r="CP24" s="181">
        <f t="shared" si="7"/>
        <v>0</v>
      </c>
      <c r="CQ24" s="182">
        <f t="shared" si="7"/>
        <v>0</v>
      </c>
      <c r="CR24" s="181">
        <f t="shared" si="7"/>
        <v>0</v>
      </c>
      <c r="CS24" s="180">
        <f t="shared" si="7"/>
        <v>2202.16</v>
      </c>
      <c r="CT24" s="183">
        <f t="shared" si="7"/>
        <v>12234.22</v>
      </c>
      <c r="CU24" s="184">
        <f t="shared" si="7"/>
        <v>120</v>
      </c>
      <c r="CV24" s="184">
        <f t="shared" si="7"/>
        <v>0</v>
      </c>
      <c r="CW24" s="183"/>
      <c r="CX24" s="184">
        <f>SUM(CX23)</f>
        <v>0</v>
      </c>
      <c r="CY24" s="184">
        <f>IF($P$21=1,(CJ24/$S$24)*$E$38,CU24/$AD$24*$E$38)</f>
        <v>0</v>
      </c>
      <c r="CZ24" s="184">
        <f>SUM(CZ23)</f>
        <v>12234.22</v>
      </c>
      <c r="DA24" s="184">
        <f>SUM(DA23)</f>
        <v>0</v>
      </c>
      <c r="DB24" s="184">
        <f>SUM(DB23)</f>
        <v>0</v>
      </c>
      <c r="DC24" s="183"/>
      <c r="DD24" s="183"/>
      <c r="DE24" s="183"/>
      <c r="DF24" s="183"/>
      <c r="DG24" s="183"/>
      <c r="DH24" s="183"/>
      <c r="DI24" s="183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0"/>
      <c r="EJ24" s="190"/>
      <c r="EK24" s="190"/>
      <c r="EL24" s="190"/>
      <c r="EM24" s="191"/>
      <c r="EN24" s="190"/>
      <c r="EO24" s="192"/>
      <c r="EP24" s="190"/>
      <c r="EQ24" s="190"/>
      <c r="ER24" s="193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7200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299" t="s">
        <v>194</v>
      </c>
      <c r="BY26" s="300"/>
      <c r="BZ26" s="301">
        <f>BY24</f>
        <v>13200</v>
      </c>
      <c r="CA26" s="301"/>
      <c r="CB26" s="185"/>
      <c r="CC26" s="137"/>
      <c r="CD26" s="303" t="s">
        <v>195</v>
      </c>
      <c r="CE26" s="304"/>
      <c r="CF26" s="304"/>
      <c r="CG26" s="305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6" t="s">
        <v>375</v>
      </c>
      <c r="EA26" s="137"/>
      <c r="EB26" s="137"/>
      <c r="EC26" s="137"/>
      <c r="ED26" s="137"/>
      <c r="EE26" s="137"/>
      <c r="EF26" s="137"/>
      <c r="EI26" s="193"/>
      <c r="EJ26" s="190"/>
      <c r="EK26" s="190"/>
      <c r="EL26" s="190"/>
      <c r="EM26" s="191"/>
      <c r="EN26" s="190"/>
      <c r="EO26" s="194"/>
      <c r="EP26" s="190"/>
      <c r="EQ26" s="190"/>
      <c r="ER26" s="193"/>
    </row>
    <row r="27" spans="1:148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526.79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299" t="s">
        <v>196</v>
      </c>
      <c r="BY27" s="300"/>
      <c r="BZ27" s="301">
        <f>CI24</f>
        <v>965.78</v>
      </c>
      <c r="CA27" s="301"/>
      <c r="CB27" s="137"/>
      <c r="CC27" s="137"/>
      <c r="CD27" s="187">
        <v>1</v>
      </c>
      <c r="CE27" s="187" t="s">
        <v>58</v>
      </c>
      <c r="CF27" s="187">
        <v>2</v>
      </c>
      <c r="CG27" s="187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6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6673.21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299" t="s">
        <v>197</v>
      </c>
      <c r="BY28" s="300"/>
      <c r="BZ28" s="301">
        <f>CJ24</f>
        <v>12234.22</v>
      </c>
      <c r="CA28" s="301"/>
      <c r="CB28" s="137"/>
      <c r="CC28" s="137"/>
      <c r="CD28" s="169">
        <v>1</v>
      </c>
      <c r="CE28" s="169" t="s">
        <v>58</v>
      </c>
      <c r="CF28" s="169">
        <v>2.5</v>
      </c>
      <c r="CG28" s="169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1201.18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299" t="s">
        <v>198</v>
      </c>
      <c r="BY29" s="300"/>
      <c r="BZ29" s="301">
        <f>CS24</f>
        <v>2202.16</v>
      </c>
      <c r="CA29" s="301"/>
      <c r="CB29" s="137"/>
      <c r="CC29" s="137"/>
      <c r="CD29" s="169">
        <v>1</v>
      </c>
      <c r="CE29" s="169" t="s">
        <v>163</v>
      </c>
      <c r="CF29" s="169">
        <v>1E-3</v>
      </c>
      <c r="CG29" s="169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7874.39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299" t="s">
        <v>199</v>
      </c>
      <c r="BY30" s="300"/>
      <c r="BZ30" s="302">
        <f>BZ28+BZ29</f>
        <v>14436.38</v>
      </c>
      <c r="CA30" s="302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G29:H29"/>
    <mergeCell ref="I29:J29"/>
    <mergeCell ref="BX29:BY29"/>
    <mergeCell ref="BZ29:CA29"/>
    <mergeCell ref="G30:H30"/>
    <mergeCell ref="I30:J30"/>
    <mergeCell ref="BX30:BY30"/>
    <mergeCell ref="BZ30:CA30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DB42"/>
  <sheetViews>
    <sheetView topLeftCell="BV13" workbookViewId="0">
      <selection activeCell="CD27" sqref="CD27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8" t="s">
        <v>47</v>
      </c>
      <c r="B2" s="268"/>
      <c r="C2" s="268"/>
      <c r="D2" s="268"/>
      <c r="E2" s="268"/>
      <c r="F2" s="268"/>
      <c r="G2" s="268"/>
      <c r="H2" s="26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702</v>
      </c>
      <c r="H23" s="170">
        <f>F23*G23</f>
        <v>6700</v>
      </c>
      <c r="I23">
        <v>1</v>
      </c>
      <c r="J23" s="170">
        <v>2</v>
      </c>
      <c r="K23" s="170">
        <v>3</v>
      </c>
      <c r="L23" s="170">
        <f>H23</f>
        <v>6700</v>
      </c>
      <c r="M23" s="170">
        <f>ROUND(L23*I23%,2)</f>
        <v>67</v>
      </c>
      <c r="N23" s="170">
        <f>H23-M23</f>
        <v>6633</v>
      </c>
      <c r="O23" s="170">
        <f>ROUND(N23*J23%,2)</f>
        <v>132.66</v>
      </c>
      <c r="P23" s="170">
        <f>ROUND(N23-O23,2)</f>
        <v>6500.34</v>
      </c>
      <c r="Q23" s="170">
        <f>ROUND(P23*K23%,2)</f>
        <v>195.01</v>
      </c>
      <c r="R23" s="170">
        <f>ROUND((M23+O23+Q23),2)</f>
        <v>394.67</v>
      </c>
      <c r="S23" s="170">
        <f>ROUND((H23-R23),2)</f>
        <v>6305.33</v>
      </c>
      <c r="T23" s="171" t="s">
        <v>146</v>
      </c>
      <c r="U23" s="172">
        <v>0.18</v>
      </c>
      <c r="V23" s="170">
        <f>IF(OR($C$21=1,$C$21=4),ROUND(((S23*U23)/2),2),0)</f>
        <v>567.48</v>
      </c>
      <c r="W23" s="170">
        <f>IF($C$21=1,ROUND(((S23*U23)/2),2),0)</f>
        <v>567.48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1134.96</v>
      </c>
      <c r="AC23" s="169">
        <f>IF($V21=1,S23+AB23,S23)</f>
        <v>6305.33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6305.33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6305.33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6305.33</v>
      </c>
      <c r="AS23" s="175" t="s">
        <v>518</v>
      </c>
      <c r="AT23" s="175" t="s">
        <v>58</v>
      </c>
      <c r="AU23" t="s">
        <v>239</v>
      </c>
      <c r="AV23" t="s">
        <v>701</v>
      </c>
      <c r="AW23" s="175">
        <f>AM23</f>
        <v>1</v>
      </c>
      <c r="AX23" s="175">
        <f>AR23</f>
        <v>6305.33</v>
      </c>
      <c r="AY23" s="175">
        <f>AU23+AW23</f>
        <v>1</v>
      </c>
      <c r="AZ23" s="175">
        <f>ROUND(((AU23*AV23)+(AW23*AX23))/(AU23+AW23),5)</f>
        <v>6305.33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704</v>
      </c>
      <c r="BN23" t="s">
        <v>703</v>
      </c>
      <c r="BO23" s="175">
        <f>ROUND((((AW23*AZ23)+(BN23*BM23))/(AW23+BN23)),5)</f>
        <v>2845.1901699999999</v>
      </c>
      <c r="BP23" s="87">
        <f>BN23+AW23</f>
        <v>521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12605.33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567.48</v>
      </c>
      <c r="CQ23">
        <f>W23</f>
        <v>567.48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 t="e">
        <f>CU23+#REF!</f>
        <v>#REF!</v>
      </c>
      <c r="CY23">
        <v>0</v>
      </c>
      <c r="CZ23">
        <f>CU23</f>
        <v>0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702</v>
      </c>
      <c r="H24" s="170">
        <f>F24*G24</f>
        <v>6700</v>
      </c>
      <c r="I24">
        <v>0</v>
      </c>
      <c r="J24" s="170">
        <v>0</v>
      </c>
      <c r="K24" s="170">
        <v>0</v>
      </c>
      <c r="L24" s="170">
        <f>H24</f>
        <v>6700</v>
      </c>
      <c r="M24" s="170">
        <f>ROUND(L24*I24%,2)</f>
        <v>0</v>
      </c>
      <c r="N24" s="170">
        <f>H24-M24</f>
        <v>6700</v>
      </c>
      <c r="O24" s="170">
        <f>ROUND(N24*J24%,2)</f>
        <v>0</v>
      </c>
      <c r="P24" s="170">
        <f>ROUND(N24-O24,2)</f>
        <v>6700</v>
      </c>
      <c r="Q24" s="170">
        <f>ROUND(P24*K24%,2)</f>
        <v>0</v>
      </c>
      <c r="R24" s="170">
        <f>ROUND((M24+O24+Q24),2)</f>
        <v>0</v>
      </c>
      <c r="S24" s="170">
        <f>ROUND((H24-R24),2)</f>
        <v>6700</v>
      </c>
      <c r="T24" s="171" t="s">
        <v>146</v>
      </c>
      <c r="U24" s="172">
        <v>0.18</v>
      </c>
      <c r="V24" s="170">
        <f>IF(OR($C$21=1,$C$21=4),ROUND(((S24*U24)/2),2),0)</f>
        <v>603</v>
      </c>
      <c r="W24" s="170">
        <f>IF($C$21=1,ROUND(((S24*U24)/2),2),0)</f>
        <v>603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1206</v>
      </c>
      <c r="AC24" s="169">
        <f>IF($V21=1,S24+AB24,S24)</f>
        <v>6700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6700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6700</v>
      </c>
      <c r="AY24" s="175">
        <f>AU24+AW24</f>
        <v>1</v>
      </c>
      <c r="AZ24" s="175">
        <f>ROUND(((AU24*AV24)+(AW24*AX24))/(AU24+AW24),5)</f>
        <v>6700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677</v>
      </c>
      <c r="BN24" t="s">
        <v>676</v>
      </c>
      <c r="BO24" s="175">
        <f>ROUND((((AW24*AZ24)+(BN24*BM24))/(AW24+BN24)),5)</f>
        <v>2260.0310800000002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P27" si="2">V24</f>
        <v>603</v>
      </c>
      <c r="CQ24">
        <f t="shared" ref="CQ24:CQ27" si="3">W24</f>
        <v>603</v>
      </c>
      <c r="CR24">
        <f t="shared" ref="CR24:CS27" si="4">X24</f>
        <v>0</v>
      </c>
      <c r="CS24">
        <f t="shared" si="4"/>
        <v>0</v>
      </c>
      <c r="CT24">
        <f t="shared" ref="CT24:CT27" si="5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269" t="s">
        <v>627</v>
      </c>
      <c r="CC25" s="266">
        <f>V28</f>
        <v>1737.48</v>
      </c>
      <c r="CD25" s="26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3"/>
        <v>189</v>
      </c>
      <c r="CR25">
        <f t="shared" si="4"/>
        <v>0</v>
      </c>
      <c r="CS25">
        <f t="shared" si="4"/>
        <v>0</v>
      </c>
      <c r="CT25">
        <f t="shared" si="5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69" t="s">
        <v>628</v>
      </c>
      <c r="CC26" s="266">
        <f>W28</f>
        <v>1737.48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3"/>
        <v>189</v>
      </c>
      <c r="CR26">
        <f t="shared" si="4"/>
        <v>0</v>
      </c>
      <c r="CS26">
        <f t="shared" si="4"/>
        <v>0</v>
      </c>
      <c r="CT26">
        <f t="shared" si="5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672</v>
      </c>
      <c r="CC27">
        <f>IF(AU28&gt;0,AU28,0)</f>
        <v>0</v>
      </c>
      <c r="CD27">
        <f>IF(AU28&lt;0,ABS(AU28),0)</f>
        <v>0.33000000000174623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3"/>
        <v>189</v>
      </c>
      <c r="CR27">
        <f t="shared" si="4"/>
        <v>0</v>
      </c>
      <c r="CS27">
        <f t="shared" si="4"/>
        <v>0</v>
      </c>
      <c r="CT27">
        <f t="shared" si="5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1737.48</v>
      </c>
      <c r="W28" s="181">
        <f>SUM(W23:W27)</f>
        <v>1737.48</v>
      </c>
      <c r="X28" s="181">
        <f>SUM(X23:X27)</f>
        <v>0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3474.96</v>
      </c>
      <c r="AC28" s="183">
        <f>SUM(AC23:AC27)</f>
        <v>19305.330000000002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19305</v>
      </c>
      <c r="AU28">
        <f>AT28-AC28</f>
        <v>-0.33000000000174623</v>
      </c>
      <c r="AW28" s="137">
        <f>SUMIF(BX23:BX27,"Item",S23:S27)</f>
        <v>12605.33</v>
      </c>
      <c r="AX28" s="137">
        <f>SUMIF(BX23:BX27,"Exp.",S23:S27)</f>
        <v>6700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9" t="s">
        <v>629</v>
      </c>
      <c r="CC28">
        <v>0</v>
      </c>
      <c r="CD28">
        <f>CC25</f>
        <v>1737.48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69" t="s">
        <v>630</v>
      </c>
      <c r="CC29">
        <v>0</v>
      </c>
      <c r="CD29" s="230">
        <f>CC26</f>
        <v>1737.48</v>
      </c>
    </row>
    <row r="30" spans="1:106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  <c r="CB30" s="190" t="s">
        <v>675</v>
      </c>
      <c r="CC30" s="266">
        <v>0</v>
      </c>
      <c r="CD30">
        <f>AT28</f>
        <v>19305</v>
      </c>
    </row>
    <row r="31" spans="1:106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3474.96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5574.96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abSelected="1" topLeftCell="A19" workbookViewId="0">
      <selection activeCell="D29" sqref="D29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543</v>
      </c>
      <c r="H23" s="170">
        <f>F23*G23</f>
        <v>3900</v>
      </c>
      <c r="I23">
        <v>1</v>
      </c>
      <c r="J23" s="170">
        <v>1</v>
      </c>
      <c r="K23" s="170">
        <v>1</v>
      </c>
      <c r="L23" s="170">
        <f>H23</f>
        <v>3900</v>
      </c>
      <c r="M23" s="170">
        <f>ROUND(L23*I23%,2)</f>
        <v>39</v>
      </c>
      <c r="N23" s="170">
        <f>H23-M23</f>
        <v>3861</v>
      </c>
      <c r="O23" s="170">
        <f>ROUND(N23*J23%,2)</f>
        <v>38.61</v>
      </c>
      <c r="P23" s="170">
        <f>ROUND(N23-O23,2)</f>
        <v>3822.39</v>
      </c>
      <c r="Q23" s="170">
        <f>ROUND(P23*K23%,2)</f>
        <v>38.22</v>
      </c>
      <c r="R23" s="170">
        <f>ROUND((M23+O23+Q23),2)</f>
        <v>115.83</v>
      </c>
      <c r="S23" s="170">
        <f>ROUND((H23-R23),2)</f>
        <v>3784.17</v>
      </c>
      <c r="T23" s="171" t="s">
        <v>146</v>
      </c>
      <c r="U23" s="172">
        <v>0.18</v>
      </c>
      <c r="V23" s="170">
        <f>IF(OR($C$21=1,$C$21=4),ROUND(((S23*U23)/2),2),0)</f>
        <v>340.58</v>
      </c>
      <c r="W23" s="170">
        <f>IF($C$21=1,ROUND(((S23*U23)/2),2),0)</f>
        <v>340.58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681.16</v>
      </c>
      <c r="AC23" s="169">
        <f>IF($V21=1,S23+AB23,S23)</f>
        <v>4465.33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3784.17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3784.17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3784.17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3784.17</v>
      </c>
      <c r="AY23" s="175">
        <f>AU23+AW23</f>
        <v>1</v>
      </c>
      <c r="AZ23" s="175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490.32382999999999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543</v>
      </c>
      <c r="H24" s="170">
        <f>F24*G24</f>
        <v>3900</v>
      </c>
      <c r="I24">
        <v>0</v>
      </c>
      <c r="J24" s="170">
        <v>0</v>
      </c>
      <c r="K24" s="170">
        <v>0</v>
      </c>
      <c r="L24" s="170">
        <f>H24</f>
        <v>3900</v>
      </c>
      <c r="M24" s="170">
        <f>ROUND(L24*I24%,2)</f>
        <v>0</v>
      </c>
      <c r="N24" s="170">
        <f>H24-M24</f>
        <v>3900</v>
      </c>
      <c r="O24" s="170">
        <f>ROUND(N24*J24%,2)</f>
        <v>0</v>
      </c>
      <c r="P24" s="170">
        <f>ROUND(N24-O24,2)</f>
        <v>3900</v>
      </c>
      <c r="Q24" s="170">
        <f>ROUND(P24*K24%,2)</f>
        <v>0</v>
      </c>
      <c r="R24" s="170">
        <f>ROUND((M24+O24+Q24),2)</f>
        <v>0</v>
      </c>
      <c r="S24" s="170">
        <f>ROUND((H24-R24),2)</f>
        <v>3900</v>
      </c>
      <c r="T24" s="171" t="s">
        <v>146</v>
      </c>
      <c r="U24" s="172">
        <v>0.18</v>
      </c>
      <c r="V24" s="170">
        <f>IF(OR($C$21=1,$C$21=4),ROUND(((S24*U24)/2),2),0)</f>
        <v>351</v>
      </c>
      <c r="W24" s="170">
        <f>IF($C$21=1,ROUND(((S24*U24)/2),2),0)</f>
        <v>351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702</v>
      </c>
      <c r="AC24" s="169">
        <f>IF($V21=1,S24+AB24,S24)</f>
        <v>4602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3900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3900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3900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3900</v>
      </c>
      <c r="AY24" s="175">
        <f>AU24+AW24</f>
        <v>1</v>
      </c>
      <c r="AZ24" s="175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490.94657999999998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SUM(S23:S27)</f>
        <v>13984.17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2517.16</v>
      </c>
      <c r="AC28" s="183">
        <f>SUM(AC23:AC27)</f>
        <v>16501.330000000002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16501</v>
      </c>
      <c r="AU28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13984.17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2517.16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16501.330000000002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DB42"/>
  <sheetViews>
    <sheetView topLeftCell="CA19" workbookViewId="0">
      <selection activeCell="CF26" sqref="CF26"/>
    </sheetView>
  </sheetViews>
  <sheetFormatPr defaultColWidth="9" defaultRowHeight="15"/>
  <cols>
    <col min="1" max="1" width="24.5703125" bestFit="1" customWidth="1"/>
    <col min="2" max="2" width="27.710937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2" t="s">
        <v>47</v>
      </c>
      <c r="B2" s="272"/>
      <c r="C2" s="272"/>
      <c r="D2" s="272"/>
      <c r="E2" s="272"/>
      <c r="F2" s="272"/>
      <c r="G2" s="272"/>
      <c r="H2" s="27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2</v>
      </c>
      <c r="K23" s="170">
        <v>3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11.76</v>
      </c>
      <c r="P23" s="170">
        <f>ROUND(N23-O23,2)</f>
        <v>576.24</v>
      </c>
      <c r="Q23" s="170">
        <f>ROUND(P23*K23%,2)</f>
        <v>17.29</v>
      </c>
      <c r="R23" s="170">
        <f>ROUND((M23+O23+Q23),2)</f>
        <v>41.05</v>
      </c>
      <c r="S23" s="170">
        <f>ROUND((H23-R23),2)</f>
        <v>558.95000000000005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100.61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100.61</v>
      </c>
      <c r="AC23" s="169">
        <f>IF($V21=1,S23+AB23,S23)</f>
        <v>558.95000000000005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558.95000000000005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558.95000000000005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558.95000000000005</v>
      </c>
      <c r="AS23" s="175" t="s">
        <v>309</v>
      </c>
      <c r="AT23" s="175" t="s">
        <v>58</v>
      </c>
      <c r="AU23" t="s">
        <v>239</v>
      </c>
      <c r="AV23" t="s">
        <v>696</v>
      </c>
      <c r="AW23" s="175">
        <f>AM23</f>
        <v>1</v>
      </c>
      <c r="AX23" s="175">
        <f>AR23</f>
        <v>558.95000000000005</v>
      </c>
      <c r="AY23" s="175">
        <f>AU23+AW23</f>
        <v>1</v>
      </c>
      <c r="AZ23" s="175">
        <f>ROUND(((AU23*AV23)+(AW23*AX23))/(AU23+AW23),5)</f>
        <v>558.95000000000005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700</v>
      </c>
      <c r="BN23" t="s">
        <v>699</v>
      </c>
      <c r="BO23" s="175">
        <f>ROUND((((AW23*AZ23)+(BN23*BM23))/(AW23+BN23)),5)</f>
        <v>566.92012</v>
      </c>
      <c r="BP23" s="87">
        <f>BN23+AW23</f>
        <v>871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6858.95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100.61</v>
      </c>
      <c r="CS23">
        <f>Y23</f>
        <v>0</v>
      </c>
      <c r="CT23">
        <f>AA23</f>
        <v>0</v>
      </c>
      <c r="CU23" t="e">
        <f>#REF!</f>
        <v>#REF!</v>
      </c>
      <c r="CV23">
        <v>0</v>
      </c>
      <c r="CW23">
        <v>0</v>
      </c>
      <c r="CX23" t="e">
        <f>CU23+#REF!</f>
        <v>#REF!</v>
      </c>
      <c r="CY23">
        <v>0</v>
      </c>
      <c r="CZ23" t="e">
        <f>CU23</f>
        <v>#REF!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476</v>
      </c>
      <c r="H24" s="170">
        <f>F24*G24</f>
        <v>700</v>
      </c>
      <c r="I24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700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>
        <v>0</v>
      </c>
      <c r="AV24">
        <v>5834.78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681</v>
      </c>
      <c r="BM24">
        <v>2578.8907899999999</v>
      </c>
      <c r="BN24">
        <v>477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126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682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>
        <f>X28</f>
        <v>1360.6100000000001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683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672</v>
      </c>
      <c r="CC26" s="266">
        <f>IF(AU28&gt;0,AU28,0)</f>
        <v>5.0000000000181899E-2</v>
      </c>
      <c r="CD26">
        <f>IF(AU28&lt;0,ABS(AU28),0)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684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638</v>
      </c>
      <c r="CC27">
        <v>0</v>
      </c>
      <c r="CD27">
        <f>CC25</f>
        <v>1360.6100000000001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1360.6100000000001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1360.6100000000001</v>
      </c>
      <c r="AC28" s="183">
        <f>SUM(AC23:AC27)</f>
        <v>7558.95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7559</v>
      </c>
      <c r="AU28">
        <f>AT28-AC28</f>
        <v>5.0000000000181899E-2</v>
      </c>
      <c r="AW28" s="137">
        <f>SUMIF(BX23:BX27,"Item",S23:S27)</f>
        <v>6858.95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71" t="s">
        <v>685</v>
      </c>
      <c r="CC28" s="266">
        <v>0</v>
      </c>
      <c r="CD28">
        <f>AT28</f>
        <v>7559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1360.6100000000001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3460.61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DB42"/>
  <sheetViews>
    <sheetView topLeftCell="BU13" workbookViewId="0">
      <selection activeCell="AU28" sqref="AU28"/>
    </sheetView>
  </sheetViews>
  <sheetFormatPr defaultColWidth="9" defaultRowHeight="15"/>
  <cols>
    <col min="1" max="1" width="24.5703125" bestFit="1" customWidth="1"/>
    <col min="2" max="2" width="27.710937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0" t="s">
        <v>47</v>
      </c>
      <c r="B2" s="270"/>
      <c r="C2" s="270"/>
      <c r="D2" s="270"/>
      <c r="E2" s="270"/>
      <c r="F2" s="270"/>
      <c r="G2" s="270"/>
      <c r="H2" s="27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700</v>
      </c>
      <c r="I23" t="s">
        <v>223</v>
      </c>
      <c r="J23" s="170">
        <v>2</v>
      </c>
      <c r="K23" s="170">
        <v>3</v>
      </c>
      <c r="L23" s="170">
        <f>H23</f>
        <v>700</v>
      </c>
      <c r="M23" s="170">
        <f>ROUND(L23*I23%,2)</f>
        <v>14</v>
      </c>
      <c r="N23" s="170">
        <f>H23-M23</f>
        <v>686</v>
      </c>
      <c r="O23" s="170">
        <f>ROUND(N23*J23%,2)</f>
        <v>13.72</v>
      </c>
      <c r="P23" s="170">
        <f>ROUND(N23-O23,2)</f>
        <v>672.28</v>
      </c>
      <c r="Q23" s="170">
        <f>ROUND(P23*K23%,2)</f>
        <v>20.170000000000002</v>
      </c>
      <c r="R23" s="170">
        <f>ROUND((M23+O23+Q23),2)</f>
        <v>47.89</v>
      </c>
      <c r="S23" s="170">
        <f>ROUND((H23-R23),2)</f>
        <v>652.11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117.38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117.38</v>
      </c>
      <c r="AC23" s="169">
        <f>IF($V21=1,S23+AB23,S23)</f>
        <v>769.49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652.11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652.11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652.11</v>
      </c>
      <c r="AS23" s="175" t="s">
        <v>309</v>
      </c>
      <c r="AT23" s="175" t="s">
        <v>58</v>
      </c>
      <c r="AU23" t="s">
        <v>239</v>
      </c>
      <c r="AV23" t="s">
        <v>696</v>
      </c>
      <c r="AW23" s="175">
        <f>AM23</f>
        <v>1</v>
      </c>
      <c r="AX23" s="175">
        <f>AR23</f>
        <v>652.11</v>
      </c>
      <c r="AY23" s="175">
        <f>AU23+AW23</f>
        <v>1</v>
      </c>
      <c r="AZ23" s="175">
        <f>ROUND(((AU23*AV23)+(AW23*AX23))/(AU23+AW23),5)</f>
        <v>652.11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698</v>
      </c>
      <c r="BN23" t="s">
        <v>697</v>
      </c>
      <c r="BO23" s="175">
        <f>ROUND((((AW23*AZ23)+(BN23*BM23))/(AW23+BN23)),5)</f>
        <v>567.29421000000002</v>
      </c>
      <c r="BP23" s="87">
        <f>BN23+AW23</f>
        <v>832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6952.1100000000006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117.38</v>
      </c>
      <c r="CS23">
        <f>Y23</f>
        <v>0</v>
      </c>
      <c r="CT23">
        <f>AA23</f>
        <v>0</v>
      </c>
      <c r="CU23" t="e">
        <f>#REF!</f>
        <v>#REF!</v>
      </c>
      <c r="CV23">
        <v>0</v>
      </c>
      <c r="CW23">
        <v>0</v>
      </c>
      <c r="CX23" t="e">
        <f>CU23+#REF!</f>
        <v>#REF!</v>
      </c>
      <c r="CY23">
        <v>0</v>
      </c>
      <c r="CZ23" t="e">
        <f>CU23</f>
        <v>#REF!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476</v>
      </c>
      <c r="H24" s="170">
        <f>F24*G24</f>
        <v>700</v>
      </c>
      <c r="I24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826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>
        <v>0</v>
      </c>
      <c r="AV24" t="s">
        <v>678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681</v>
      </c>
      <c r="BM24" t="s">
        <v>680</v>
      </c>
      <c r="BN24" t="s">
        <v>679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126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682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>
        <f>X28</f>
        <v>1377.38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683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672</v>
      </c>
      <c r="CC26">
        <f>IF(AU28&gt;0,AU28,0)</f>
        <v>0</v>
      </c>
      <c r="CD26" s="266">
        <f>IF(AU28&lt;0,ABS(AU28),0)</f>
        <v>0.48999999999978172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684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271" t="s">
        <v>685</v>
      </c>
      <c r="CC27" s="266">
        <v>0</v>
      </c>
      <c r="CD27">
        <f>AT28</f>
        <v>9029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1377.38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1377.38</v>
      </c>
      <c r="AC28" s="183">
        <f>SUM(AC23:AC27)</f>
        <v>9029.49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9029</v>
      </c>
      <c r="AU28">
        <f>AT28-AC28</f>
        <v>-0.48999999999978172</v>
      </c>
      <c r="AW28" s="137">
        <f>SUMIF(BX23:BX27,"Item",S23:S27)</f>
        <v>6952.1100000000006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1377.38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3477.38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25" sqref="D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254</v>
      </c>
      <c r="H24" s="170">
        <f>F24*G24</f>
        <v>500</v>
      </c>
      <c r="I24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1309.56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3409.56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CA42"/>
  <sheetViews>
    <sheetView topLeftCell="BJ10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1" t="s">
        <v>47</v>
      </c>
      <c r="B2" s="211"/>
      <c r="C2" s="211"/>
      <c r="D2" s="211"/>
      <c r="E2" s="211"/>
      <c r="F2" s="211"/>
      <c r="G2" s="211"/>
      <c r="H2" s="21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>
        <v>2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472.56081999999998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254</v>
      </c>
      <c r="H24" s="170">
        <f>F24*G24</f>
        <v>500</v>
      </c>
      <c r="I24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90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0</v>
      </c>
      <c r="W28" s="181">
        <f t="shared" si="2"/>
        <v>0</v>
      </c>
      <c r="X28" s="181">
        <f t="shared" si="2"/>
        <v>378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1310.45</v>
      </c>
      <c r="AC28" s="183">
        <f>SUM(AC23:AC27)</f>
        <v>7280.25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7280</v>
      </c>
      <c r="AU28">
        <f>AT28-AC28</f>
        <v>-0.25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1310.45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3410.45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CA42"/>
  <sheetViews>
    <sheetView topLeftCell="BT17" workbookViewId="0">
      <selection activeCell="D25" sqref="D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254</v>
      </c>
      <c r="H24" s="170">
        <f>F24*G24</f>
        <v>500</v>
      </c>
      <c r="I24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1309.56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3409.56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CH42"/>
  <sheetViews>
    <sheetView topLeftCell="BV22" workbookViewId="0">
      <selection activeCell="CB28" sqref="CB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3" t="s">
        <v>47</v>
      </c>
      <c r="B2" s="233"/>
      <c r="C2" s="233"/>
      <c r="D2" s="233"/>
      <c r="E2" s="233"/>
      <c r="F2" s="233"/>
      <c r="G2" s="233"/>
      <c r="H2" s="23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6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6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9" t="s">
        <v>626</v>
      </c>
    </row>
    <row r="23" spans="1:8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</row>
    <row r="24" spans="1:8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</row>
    <row r="25" spans="1:8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</row>
    <row r="26" spans="1:8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34" t="s">
        <v>636</v>
      </c>
      <c r="CC26"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</row>
    <row r="27" spans="1:8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E27">
        <v>0</v>
      </c>
      <c r="CF27">
        <v>0</v>
      </c>
      <c r="CG27">
        <v>0</v>
      </c>
      <c r="CH27">
        <v>0</v>
      </c>
    </row>
    <row r="28" spans="1:8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2">SUM(Y27)</f>
        <v>0</v>
      </c>
      <c r="Z28" s="182">
        <f t="shared" si="2"/>
        <v>0</v>
      </c>
      <c r="AA28" s="181">
        <f t="shared" si="2"/>
        <v>0</v>
      </c>
      <c r="AB28" s="180">
        <f>SUM(AB23:AB27)</f>
        <v>2754</v>
      </c>
      <c r="AC28" s="183">
        <f>SUM(AC23:AC27)</f>
        <v>15300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8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86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6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6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B25" sqref="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6" t="s">
        <v>47</v>
      </c>
      <c r="B2" s="236"/>
      <c r="C2" s="236"/>
      <c r="D2" s="236"/>
      <c r="E2" s="236"/>
      <c r="F2" s="236"/>
      <c r="G2" s="236"/>
      <c r="H2" s="23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636</v>
      </c>
      <c r="CC26">
        <f>W28</f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dimension ref="A1:DB42"/>
  <sheetViews>
    <sheetView topLeftCell="BV19" workbookViewId="0">
      <selection activeCell="CB25" sqref="CB25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9" t="s">
        <v>47</v>
      </c>
      <c r="B2" s="239"/>
      <c r="C2" s="239"/>
      <c r="D2" s="239"/>
      <c r="E2" s="239"/>
      <c r="F2" s="239"/>
      <c r="G2" s="239"/>
      <c r="H2" s="23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692</v>
      </c>
      <c r="H23" s="170">
        <f>F23*G23</f>
        <v>6000</v>
      </c>
      <c r="I23">
        <v>1</v>
      </c>
      <c r="J23" s="170">
        <v>2</v>
      </c>
      <c r="K23" s="170">
        <v>3</v>
      </c>
      <c r="L23" s="170">
        <f>H23</f>
        <v>6000</v>
      </c>
      <c r="M23" s="170">
        <f>ROUND(L23*I23%,2)</f>
        <v>60</v>
      </c>
      <c r="N23" s="170">
        <f>H23-M23</f>
        <v>5940</v>
      </c>
      <c r="O23" s="170">
        <f>ROUND(N23*J23%,2)</f>
        <v>118.8</v>
      </c>
      <c r="P23" s="170">
        <f>ROUND(N23-O23,2)</f>
        <v>5821.2</v>
      </c>
      <c r="Q23" s="170">
        <f>ROUND(P23*K23%,2)</f>
        <v>174.64</v>
      </c>
      <c r="R23" s="170">
        <f>ROUND((M23+O23+Q23),2)</f>
        <v>353.44</v>
      </c>
      <c r="S23" s="170">
        <f>ROUND((H23-R23),2)</f>
        <v>5646.56</v>
      </c>
      <c r="T23" s="171" t="s">
        <v>146</v>
      </c>
      <c r="U23" s="172">
        <v>0.18</v>
      </c>
      <c r="V23" s="170">
        <f>IF(OR($C$21=1,$C$21=4),ROUND(((S23*U23)/2),2),0)</f>
        <v>508.19</v>
      </c>
      <c r="W23" s="170">
        <f>IF($C$21=1,ROUND(((S23*U23)/2),2),0)</f>
        <v>508.19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1016.38</v>
      </c>
      <c r="AC23" s="169">
        <f>IF($V21=1,S23+AB23,S23)</f>
        <v>6662.9400000000005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5646.56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5646.56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5646.56</v>
      </c>
      <c r="AS23" s="175" t="s">
        <v>518</v>
      </c>
      <c r="AT23" s="175" t="s">
        <v>58</v>
      </c>
      <c r="AU23" t="s">
        <v>239</v>
      </c>
      <c r="AV23" t="s">
        <v>693</v>
      </c>
      <c r="AW23" s="175">
        <f>AM23</f>
        <v>1</v>
      </c>
      <c r="AX23" s="175">
        <f>AR23</f>
        <v>5646.56</v>
      </c>
      <c r="AY23" s="175">
        <f>AU23+AW23</f>
        <v>1</v>
      </c>
      <c r="AZ23" s="175">
        <f>ROUND(((AU23*AV23)+(AW23*AX23))/(AU23+AW23),5)</f>
        <v>5646.56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695</v>
      </c>
      <c r="BN23" t="s">
        <v>694</v>
      </c>
      <c r="BO23" s="175">
        <f>ROUND((((AW23*AZ23)+(BN23*BM23))/(AW23+BN23)),5)</f>
        <v>2838.5360500000002</v>
      </c>
      <c r="BP23" s="87">
        <f>BN23+AW23</f>
        <v>520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11946.560000000001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508.19</v>
      </c>
      <c r="CQ23">
        <f>W23</f>
        <v>508.19</v>
      </c>
      <c r="CR23">
        <f>X23</f>
        <v>0</v>
      </c>
      <c r="CS23">
        <f>Y23</f>
        <v>0</v>
      </c>
      <c r="CT23">
        <f>AA23</f>
        <v>0</v>
      </c>
      <c r="CU23">
        <f>CD27</f>
        <v>21177</v>
      </c>
      <c r="CV23">
        <v>0</v>
      </c>
      <c r="CW23">
        <v>0</v>
      </c>
      <c r="CX23" t="e">
        <f>CU23+#REF!</f>
        <v>#REF!</v>
      </c>
      <c r="CY23">
        <v>0</v>
      </c>
      <c r="CZ23">
        <f>CU23</f>
        <v>21177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692</v>
      </c>
      <c r="H24" s="170">
        <f>F24*G24</f>
        <v>6000</v>
      </c>
      <c r="I24">
        <v>0</v>
      </c>
      <c r="J24" s="170">
        <v>0</v>
      </c>
      <c r="K24" s="170">
        <v>0</v>
      </c>
      <c r="L24" s="170">
        <f>H24</f>
        <v>6000</v>
      </c>
      <c r="M24" s="170">
        <f>ROUND(L24*I24%,2)</f>
        <v>0</v>
      </c>
      <c r="N24" s="170">
        <f>H24-M24</f>
        <v>6000</v>
      </c>
      <c r="O24" s="170">
        <f>ROUND(N24*J24%,2)</f>
        <v>0</v>
      </c>
      <c r="P24" s="170">
        <f>ROUND(N24-O24,2)</f>
        <v>6000</v>
      </c>
      <c r="Q24" s="170">
        <f>ROUND(P24*K24%,2)</f>
        <v>0</v>
      </c>
      <c r="R24" s="170">
        <f>ROUND((M24+O24+Q24),2)</f>
        <v>0</v>
      </c>
      <c r="S24" s="170">
        <f>ROUND((H24-R24),2)</f>
        <v>6000</v>
      </c>
      <c r="T24" s="171" t="s">
        <v>146</v>
      </c>
      <c r="U24" s="172">
        <v>0.18</v>
      </c>
      <c r="V24" s="170">
        <f>IF(OR($C$21=1,$C$21=4),ROUND(((S24*U24)/2),2),0)</f>
        <v>540</v>
      </c>
      <c r="W24" s="170">
        <f>IF($C$21=1,ROUND(((S24*U24)/2),2),0)</f>
        <v>540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1080</v>
      </c>
      <c r="AC24" s="169">
        <f>IF($V21=1,S24+AB24,S24)</f>
        <v>7080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6000</v>
      </c>
      <c r="AY24" s="175">
        <f>AU24+AW24</f>
        <v>1</v>
      </c>
      <c r="AZ24" s="175">
        <f>ROUND(((AU24*AV24)+(AW24*AX24))/(AU24+AW24),5)</f>
        <v>6000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502.23689999999999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540</v>
      </c>
      <c r="CQ24">
        <f t="shared" si="2"/>
        <v>540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>
        <f>X28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67" t="s">
        <v>672</v>
      </c>
      <c r="CC26">
        <f>ABS(AU28)</f>
        <v>5.9999999997671694E-2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267" t="s">
        <v>675</v>
      </c>
      <c r="CC27">
        <v>0</v>
      </c>
      <c r="CD27">
        <f>AT28</f>
        <v>21177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1615.19</v>
      </c>
      <c r="W28" s="181">
        <f>SUM(W23:W27)</f>
        <v>1615.19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3230.38</v>
      </c>
      <c r="AC28" s="183">
        <f>SUM(AC23:AC27)</f>
        <v>21176.940000000002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21177</v>
      </c>
      <c r="AU28">
        <f>AT28-AC28</f>
        <v>5.9999999997671694E-2</v>
      </c>
      <c r="AW28" s="137">
        <f>SUMIF(BX23:BX27,"Item",S23:S27)</f>
        <v>11946.560000000001</v>
      </c>
      <c r="AX28" s="137">
        <f>SUMIF(BX23:BX27,"Exp.",S23:S27)</f>
        <v>6000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106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3230.38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5330.38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CK42"/>
  <sheetViews>
    <sheetView topLeftCell="CA13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8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20.28515625" bestFit="1" customWidth="1"/>
    <col min="87" max="87" width="20.140625" bestFit="1" customWidth="1"/>
    <col min="88" max="89" width="28.5703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2" t="s">
        <v>47</v>
      </c>
      <c r="B2" s="232"/>
      <c r="C2" s="232"/>
      <c r="D2" s="232"/>
      <c r="E2" s="232"/>
      <c r="F2" s="232"/>
      <c r="G2" s="232"/>
      <c r="H2" s="23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9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629</v>
      </c>
      <c r="CI22" s="228" t="s">
        <v>630</v>
      </c>
      <c r="CJ22" s="228" t="s">
        <v>631</v>
      </c>
      <c r="CK22" s="228" t="s">
        <v>632</v>
      </c>
    </row>
    <row r="23" spans="1:8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f>V23</f>
        <v>0</v>
      </c>
      <c r="CK23">
        <f>W23</f>
        <v>0</v>
      </c>
    </row>
    <row r="24" spans="1:8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f t="shared" ref="CJ24:CK27" si="2">V24</f>
        <v>0</v>
      </c>
      <c r="CK24">
        <f t="shared" si="2"/>
        <v>0</v>
      </c>
    </row>
    <row r="25" spans="1:8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>
        <f>V28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f t="shared" si="2"/>
        <v>0</v>
      </c>
      <c r="CK25">
        <f t="shared" si="2"/>
        <v>0</v>
      </c>
    </row>
    <row r="26" spans="1:8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>
        <f>W28</f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f t="shared" si="2"/>
        <v>0</v>
      </c>
      <c r="CK26">
        <f t="shared" si="2"/>
        <v>0</v>
      </c>
    </row>
    <row r="27" spans="1:8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>
        <v>0</v>
      </c>
      <c r="CD27">
        <f>CC25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f t="shared" si="2"/>
        <v>0</v>
      </c>
      <c r="CK27">
        <f t="shared" si="2"/>
        <v>0</v>
      </c>
    </row>
    <row r="28" spans="1:8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 t="shared" ref="X28:AE28" si="3">SUM(X27)</f>
        <v>378</v>
      </c>
      <c r="Y28" s="181">
        <f t="shared" si="3"/>
        <v>0</v>
      </c>
      <c r="Z28" s="182">
        <f t="shared" si="3"/>
        <v>0</v>
      </c>
      <c r="AA28" s="181">
        <f t="shared" si="3"/>
        <v>0</v>
      </c>
      <c r="AB28" s="180">
        <f>SUM(AB23:AB27)</f>
        <v>2754</v>
      </c>
      <c r="AC28" s="183">
        <f>SUM(AC23:AC27)</f>
        <v>15300</v>
      </c>
      <c r="AD28" s="184">
        <f t="shared" si="3"/>
        <v>120</v>
      </c>
      <c r="AE28" s="184">
        <f t="shared" si="3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 t="s">
        <v>630</v>
      </c>
      <c r="CC28">
        <v>0</v>
      </c>
      <c r="CD28">
        <f>CC26</f>
        <v>0</v>
      </c>
    </row>
    <row r="29" spans="1:8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 t="s">
        <v>633</v>
      </c>
      <c r="CC29">
        <v>0</v>
      </c>
      <c r="CD29" s="230">
        <f>CC23+CC24</f>
        <v>15300</v>
      </c>
    </row>
    <row r="30" spans="1:89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9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9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CT42"/>
  <sheetViews>
    <sheetView topLeftCell="BW16" workbookViewId="0">
      <selection activeCell="CB26" sqref="C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2" t="s">
        <v>47</v>
      </c>
      <c r="B2" s="242"/>
      <c r="C2" s="242"/>
      <c r="D2" s="242"/>
      <c r="E2" s="242"/>
      <c r="F2" s="242"/>
      <c r="G2" s="242"/>
      <c r="H2" s="24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648</v>
      </c>
      <c r="CC27">
        <v>0</v>
      </c>
      <c r="CD27" s="230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CT42"/>
  <sheetViews>
    <sheetView topLeftCell="A13" workbookViewId="0">
      <selection activeCell="A21" sqref="A21:B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1" t="s">
        <v>47</v>
      </c>
      <c r="B2" s="241"/>
      <c r="C2" s="241"/>
      <c r="D2" s="241"/>
      <c r="E2" s="241"/>
      <c r="F2" s="241"/>
      <c r="G2" s="241"/>
      <c r="H2" s="24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647</v>
      </c>
      <c r="CC27">
        <v>0</v>
      </c>
      <c r="CD27" s="230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R31" sqref="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0" t="s">
        <v>47</v>
      </c>
      <c r="B2" s="240"/>
      <c r="C2" s="240"/>
      <c r="D2" s="240"/>
      <c r="E2" s="240"/>
      <c r="F2" s="240"/>
      <c r="G2" s="240"/>
      <c r="H2" s="24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630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647</v>
      </c>
      <c r="CC29">
        <v>0</v>
      </c>
      <c r="CD29" s="230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CT42"/>
  <sheetViews>
    <sheetView topLeftCell="D19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5" t="s">
        <v>47</v>
      </c>
      <c r="B2" s="235"/>
      <c r="C2" s="235"/>
      <c r="D2" s="235"/>
      <c r="E2" s="235"/>
      <c r="F2" s="235"/>
      <c r="G2" s="235"/>
      <c r="H2" s="23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Q27" si="2">V24</f>
        <v>0</v>
      </c>
      <c r="CQ24">
        <f t="shared" si="2"/>
        <v>0</v>
      </c>
      <c r="CR24">
        <f t="shared" ref="CR24:CR27" si="3">X24</f>
        <v>810</v>
      </c>
      <c r="CS24">
        <f t="shared" ref="CS24:CS27" si="4">Y24</f>
        <v>0</v>
      </c>
      <c r="CT24">
        <f t="shared" ref="CT24:CT27" si="5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3"/>
        <v>378</v>
      </c>
      <c r="CS25">
        <f t="shared" si="4"/>
        <v>0</v>
      </c>
      <c r="CT25">
        <f t="shared" si="5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>
        <f>W28</f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3"/>
        <v>378</v>
      </c>
      <c r="CS26">
        <f t="shared" si="4"/>
        <v>0</v>
      </c>
      <c r="CT26">
        <f t="shared" si="5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636</v>
      </c>
      <c r="CC27">
        <v>0</v>
      </c>
      <c r="CD27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3"/>
        <v>378</v>
      </c>
      <c r="CS27">
        <f t="shared" si="4"/>
        <v>0</v>
      </c>
      <c r="CT27">
        <f t="shared" si="5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2754</v>
      </c>
      <c r="AC28" s="183">
        <f>SUM(AC23:AC27)</f>
        <v>15300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CT42"/>
  <sheetViews>
    <sheetView topLeftCell="A19" workbookViewId="0">
      <selection activeCell="CR31" sqref="C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7" t="s">
        <v>47</v>
      </c>
      <c r="B2" s="237"/>
      <c r="C2" s="237"/>
      <c r="D2" s="237"/>
      <c r="E2" s="237"/>
      <c r="F2" s="237"/>
      <c r="G2" s="237"/>
      <c r="H2" s="2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630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633</v>
      </c>
      <c r="CC29">
        <v>0</v>
      </c>
      <c r="CD29" s="230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CT42"/>
  <sheetViews>
    <sheetView topLeftCell="AM22" workbookViewId="0">
      <selection activeCell="AS36" sqref="AS3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6" t="s">
        <v>47</v>
      </c>
      <c r="B2" s="246"/>
      <c r="C2" s="246"/>
      <c r="D2" s="246"/>
      <c r="E2" s="246"/>
      <c r="F2" s="246"/>
      <c r="G2" s="246"/>
      <c r="H2" s="24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68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657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68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68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0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2100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CT42"/>
  <sheetViews>
    <sheetView topLeftCell="BV13" workbookViewId="0">
      <selection activeCell="CE23" sqref="CE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5" t="s">
        <v>47</v>
      </c>
      <c r="B2" s="245"/>
      <c r="C2" s="245"/>
      <c r="D2" s="245"/>
      <c r="E2" s="245"/>
      <c r="F2" s="245"/>
      <c r="G2" s="245"/>
      <c r="H2" s="24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656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30" sqref="CB30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5" t="s">
        <v>47</v>
      </c>
      <c r="B2" s="245"/>
      <c r="C2" s="245"/>
      <c r="D2" s="245"/>
      <c r="E2" s="245"/>
      <c r="F2" s="245"/>
      <c r="G2" s="245"/>
      <c r="H2" s="24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650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0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2100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4" t="s">
        <v>47</v>
      </c>
      <c r="B2" s="244"/>
      <c r="C2" s="244"/>
      <c r="D2" s="244"/>
      <c r="E2" s="244"/>
      <c r="F2" s="244"/>
      <c r="G2" s="244"/>
      <c r="H2" s="24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650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0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2100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CT42"/>
  <sheetViews>
    <sheetView topLeftCell="BY16" workbookViewId="0">
      <selection activeCell="CB27" sqref="CB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41.2851562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3" t="s">
        <v>47</v>
      </c>
      <c r="B2" s="243"/>
      <c r="C2" s="243"/>
      <c r="D2" s="243"/>
      <c r="E2" s="243"/>
      <c r="F2" s="243"/>
      <c r="G2" s="243"/>
      <c r="H2" s="24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649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CT42"/>
  <sheetViews>
    <sheetView topLeftCell="BG16" workbookViewId="0">
      <selection activeCell="BI26" sqref="BI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8" t="s">
        <v>47</v>
      </c>
      <c r="B2" s="238"/>
      <c r="C2" s="238"/>
      <c r="D2" s="238"/>
      <c r="E2" s="238"/>
      <c r="F2" s="238"/>
      <c r="G2" s="238"/>
      <c r="H2" s="2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616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617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633</v>
      </c>
      <c r="CC27">
        <v>0</v>
      </c>
      <c r="CD27">
        <f>CC23+CC24+CC25+CC26</f>
        <v>18054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2754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4854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CA42"/>
  <sheetViews>
    <sheetView topLeftCell="AP22" workbookViewId="0">
      <selection activeCell="AY25" sqref="AY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1</v>
      </c>
      <c r="J23" s="170">
        <v>1</v>
      </c>
      <c r="K23" s="170">
        <v>1</v>
      </c>
      <c r="L23" s="170">
        <f>H23</f>
        <v>4500</v>
      </c>
      <c r="M23" s="170">
        <f>ROUND(L23*I23%,2)</f>
        <v>45</v>
      </c>
      <c r="N23" s="170">
        <f>H23-M23</f>
        <v>4455</v>
      </c>
      <c r="O23" s="170">
        <f>ROUND(N23*J23%,2)</f>
        <v>44.55</v>
      </c>
      <c r="P23" s="170">
        <f>ROUND(N23-O23,2)</f>
        <v>4410.45</v>
      </c>
      <c r="Q23" s="170">
        <f>ROUND(P23*K23%,2)</f>
        <v>44.1</v>
      </c>
      <c r="R23" s="170">
        <f>ROUND((M23+O23+Q23),2)</f>
        <v>133.65</v>
      </c>
      <c r="S23" s="170">
        <f>ROUND((H23-R23),2)</f>
        <v>4366.3500000000004</v>
      </c>
      <c r="T23" s="171" t="s">
        <v>146</v>
      </c>
      <c r="U23" s="172">
        <v>0.18</v>
      </c>
      <c r="V23" s="170">
        <f>IF(OR($C$21=1,$C$21=4),ROUND(((S23*U23)/2),2),0)</f>
        <v>392.97</v>
      </c>
      <c r="W23" s="170">
        <f>IF($C$21=1,ROUND(((S23*U23)/2),2),0)</f>
        <v>392.97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785.94</v>
      </c>
      <c r="AC23" s="169">
        <f>IF($V21=1,S23+AB23,S23)</f>
        <v>5152.2900000000009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4366.3500000000004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4366.3500000000004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4366.3500000000004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4366.3500000000004</v>
      </c>
      <c r="AY23" s="175">
        <f>AU23+AW23</f>
        <v>1</v>
      </c>
      <c r="AZ23" s="175">
        <f>ROUND(((AU23*AV23)+(AW23*AX23))/(AU23+AW23),5)</f>
        <v>4366.3500000000004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493.45382999999998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2729.94</v>
      </c>
      <c r="AC28" s="183">
        <f>SUM(AC23:AC27)</f>
        <v>17896.29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17896</v>
      </c>
      <c r="AU28">
        <f>AT28-AC28</f>
        <v>-0.29000000000087311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2729.94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4829.9400000000005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2</v>
      </c>
      <c r="G23" t="s">
        <v>360</v>
      </c>
      <c r="H23" s="170">
        <f>F23*G23</f>
        <v>1200</v>
      </c>
      <c r="I23" t="s">
        <v>223</v>
      </c>
      <c r="J23" s="170">
        <v>1</v>
      </c>
      <c r="K23" s="170">
        <v>1</v>
      </c>
      <c r="L23" s="170">
        <f>H23</f>
        <v>1200</v>
      </c>
      <c r="M23" s="170">
        <f>ROUND(L23*I23%,2)</f>
        <v>24</v>
      </c>
      <c r="N23" s="170">
        <f>H23-M23</f>
        <v>1176</v>
      </c>
      <c r="O23" s="170">
        <f>ROUND(N23*J23%,2)</f>
        <v>11.76</v>
      </c>
      <c r="P23" s="170">
        <f>ROUND(N23-O23,2)</f>
        <v>1164.24</v>
      </c>
      <c r="Q23" s="170">
        <f>ROUND(P23*K23%,2)</f>
        <v>11.64</v>
      </c>
      <c r="R23" s="170">
        <f>ROUND((M23+O23+Q23),2)</f>
        <v>47.4</v>
      </c>
      <c r="S23" s="170">
        <f>ROUND((H23-R23),2)</f>
        <v>1152.5999999999999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207.47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207.47</v>
      </c>
      <c r="AC23" s="169">
        <f>IF($V21=1,S23+AB23,S23)</f>
        <v>1360.07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1152.5999999999999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2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>
        <v>239</v>
      </c>
      <c r="AV23" t="s">
        <v>472</v>
      </c>
      <c r="AW23" s="175">
        <f>AM23</f>
        <v>2</v>
      </c>
      <c r="AX23" s="175">
        <f>AR23</f>
        <v>576.29999999999995</v>
      </c>
      <c r="AY23" s="175">
        <f>AU23+AW23</f>
        <v>2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635</v>
      </c>
      <c r="BN23" t="s">
        <v>634</v>
      </c>
      <c r="BO23" s="175">
        <f>ROUND((((AW23*AZ23)+(BN23*BM23))/(AW23+BN23)),5)</f>
        <v>568.91600000000005</v>
      </c>
      <c r="BP23" s="87">
        <f>BN23+AW23</f>
        <v>510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1200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47.4</v>
      </c>
      <c r="S24" s="180">
        <f>SUM(S23)</f>
        <v>1152.5999999999999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207.47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207.47</v>
      </c>
      <c r="AC24" s="183">
        <f t="shared" si="1"/>
        <v>1360.07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1152.5999999999999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1200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47.4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1152.5999999999999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207.47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1360.07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AT24" sqref="AT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1</v>
      </c>
      <c r="K23" s="170">
        <v>1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5.88</v>
      </c>
      <c r="P23" s="170">
        <f>ROUND(N23-O23,2)</f>
        <v>582.12</v>
      </c>
      <c r="Q23" s="170">
        <f>ROUND(P23*K23%,2)</f>
        <v>5.82</v>
      </c>
      <c r="R23" s="170">
        <f>ROUND((M23+O23+Q23),2)</f>
        <v>23.7</v>
      </c>
      <c r="S23" s="170">
        <f>ROUND((H23-R23),2)</f>
        <v>576.29999999999995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103.73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103.73</v>
      </c>
      <c r="AC23" s="169">
        <f>IF($V20=1,S23+AB23,S23)</f>
        <v>576.29999999999995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576.29999999999995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>
        <v>239</v>
      </c>
      <c r="AV23" t="s">
        <v>538</v>
      </c>
      <c r="AW23" s="175">
        <f>AM23</f>
        <v>1</v>
      </c>
      <c r="AX23" s="175">
        <f>AR23</f>
        <v>576.29999999999995</v>
      </c>
      <c r="AY23" s="175">
        <f>AU23+AW23</f>
        <v>1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545</v>
      </c>
      <c r="BN23" t="s">
        <v>544</v>
      </c>
      <c r="BO23" s="175">
        <f>ROUND((((AW23*AZ23)+(BN23*BM23))/(AW23+BN23)),5)</f>
        <v>572.03453999999999</v>
      </c>
      <c r="BP23" s="87">
        <f>BN23+AW23</f>
        <v>143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23.7</v>
      </c>
      <c r="S24" s="180">
        <f>SUM(S23)</f>
        <v>576.29999999999995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103.73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103.73</v>
      </c>
      <c r="AC24" s="183">
        <f t="shared" si="1"/>
        <v>576.29999999999995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576.29999999999995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600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23.7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576.29999999999995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103.73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680.03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556</v>
      </c>
      <c r="H23" s="170">
        <f>F23*G23</f>
        <v>4400</v>
      </c>
      <c r="I23">
        <v>1</v>
      </c>
      <c r="J23" s="170">
        <v>1</v>
      </c>
      <c r="K23" s="170">
        <v>1</v>
      </c>
      <c r="L23" s="170">
        <f>H23</f>
        <v>4400</v>
      </c>
      <c r="M23" s="170">
        <f>ROUND(L23*I23%,2)</f>
        <v>44</v>
      </c>
      <c r="N23" s="170">
        <f>H23-M23</f>
        <v>4356</v>
      </c>
      <c r="O23" s="170">
        <f>ROUND(N23*J23%,2)</f>
        <v>43.56</v>
      </c>
      <c r="P23" s="170">
        <f>ROUND(N23-O23,2)</f>
        <v>4312.4399999999996</v>
      </c>
      <c r="Q23" s="170">
        <f>ROUND(P23*K23%,2)</f>
        <v>43.12</v>
      </c>
      <c r="R23" s="170">
        <f>ROUND((M23+O23+Q23),2)</f>
        <v>130.68</v>
      </c>
      <c r="S23" s="170">
        <f>ROUND((H23-R23),2)</f>
        <v>4269.32</v>
      </c>
      <c r="T23" s="171" t="s">
        <v>146</v>
      </c>
      <c r="U23" s="172">
        <v>0.18</v>
      </c>
      <c r="V23" s="170">
        <f>IF(OR($C$21=1,$C$21=4),ROUND(((S23*U23)/2),2),0)</f>
        <v>384.24</v>
      </c>
      <c r="W23" s="170">
        <f>IF($C$21=1,ROUND(((S23*U23)/2),2),0)</f>
        <v>384.24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768.48</v>
      </c>
      <c r="AC23" s="169">
        <f>IF($V21=1,S23+AB23,S23)</f>
        <v>4269.32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4269.32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4269.32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4269.32</v>
      </c>
      <c r="AS23" s="175" t="s">
        <v>518</v>
      </c>
      <c r="AT23" s="175" t="s">
        <v>58</v>
      </c>
      <c r="AU23" t="s">
        <v>239</v>
      </c>
      <c r="AV23" t="s">
        <v>553</v>
      </c>
      <c r="AW23" s="175">
        <f>AM23</f>
        <v>1</v>
      </c>
      <c r="AX23" s="175">
        <f>AR23</f>
        <v>4269.32</v>
      </c>
      <c r="AY23" s="175">
        <f>AU23+AW23</f>
        <v>1</v>
      </c>
      <c r="AZ23" s="175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555</v>
      </c>
      <c r="BN23" t="s">
        <v>554</v>
      </c>
      <c r="BO23" s="175">
        <f>ROUND((((AW23*AZ23)+(BN23*BM23))/(AW23+BN23)),5)</f>
        <v>1533.5445999999999</v>
      </c>
      <c r="BP23" s="87">
        <f>BN23+AW23</f>
        <v>313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130.68</v>
      </c>
      <c r="S24" s="180">
        <f>SUM(S23)</f>
        <v>4269.32</v>
      </c>
      <c r="T24" s="180"/>
      <c r="U24" s="180"/>
      <c r="V24" s="181">
        <f t="shared" ref="V24:AE24" si="1">SUM(V23)</f>
        <v>384.24</v>
      </c>
      <c r="W24" s="181">
        <f t="shared" si="1"/>
        <v>384.24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768.48</v>
      </c>
      <c r="AC24" s="183">
        <f t="shared" si="1"/>
        <v>4269.32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4269.32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4269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4400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130.68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4269.32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768.48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5037.7999999999993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BQ38"/>
  <sheetViews>
    <sheetView topLeftCell="Q13" workbookViewId="0">
      <selection activeCell="Q29" sqref="Q29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6" t="s">
        <v>47</v>
      </c>
      <c r="B2" s="216"/>
      <c r="C2" s="216"/>
      <c r="D2" s="216"/>
      <c r="E2" s="216"/>
      <c r="F2" s="216"/>
      <c r="G2" s="216"/>
      <c r="H2" s="21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228</v>
      </c>
      <c r="H23" s="170">
        <f>F23*G23</f>
        <v>400</v>
      </c>
      <c r="I23" t="s">
        <v>223</v>
      </c>
      <c r="J23" s="170">
        <v>1</v>
      </c>
      <c r="K23" s="170">
        <v>1</v>
      </c>
      <c r="L23" s="170">
        <f>H23</f>
        <v>400</v>
      </c>
      <c r="M23" s="170">
        <f>ROUND(L23*I23%,2)</f>
        <v>8</v>
      </c>
      <c r="N23" s="170">
        <f>H23-M23</f>
        <v>392</v>
      </c>
      <c r="O23" s="170">
        <f>ROUND(N23*J23%,2)</f>
        <v>3.92</v>
      </c>
      <c r="P23" s="170">
        <f>ROUND(N23-O23,2)</f>
        <v>388.08</v>
      </c>
      <c r="Q23" s="170">
        <f>ROUND(P23*K23%,2)</f>
        <v>3.88</v>
      </c>
      <c r="R23" s="170">
        <f>ROUND((M23+O23+Q23),2)</f>
        <v>15.8</v>
      </c>
      <c r="S23" s="170">
        <f>ROUND((H23-R23),2)</f>
        <v>384.2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384.2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384.2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384.2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384.2</v>
      </c>
      <c r="AS23" s="175" t="s">
        <v>583</v>
      </c>
      <c r="AT23" s="175" t="s">
        <v>58</v>
      </c>
      <c r="AW23" s="175">
        <f>AM23</f>
        <v>1</v>
      </c>
      <c r="AX23" s="175">
        <f>AR23</f>
        <v>384.2</v>
      </c>
      <c r="AY23" s="175">
        <f>AU23+AW23</f>
        <v>1</v>
      </c>
      <c r="AZ23" s="175">
        <f>ROUND(((AU23*AV23)+(AW23*AX23))/(AU23+AW23),5)</f>
        <v>384.2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584</v>
      </c>
      <c r="BM23" t="s">
        <v>239</v>
      </c>
      <c r="BN23" t="s">
        <v>239</v>
      </c>
      <c r="BO23" s="175">
        <f>ROUND((((AW23*AZ23)+(BN23*BM23))/(AW23+BN23)),5)</f>
        <v>384.2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15.8</v>
      </c>
      <c r="S24" s="180">
        <f>SUM(S23)</f>
        <v>384.2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384.2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384.2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15.8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384.2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0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384.2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hyperlinks>
    <hyperlink ref="AS23" r:id="rId1" display="https://webappqc.roadmaperp.com:8765/ords/r/autojen27/scm-us9011/warehouse1?p367019101_rowid=AABFg5AAJAAEIFuAAT&amp;p367019101_store_id=DU3-INS%20WH&amp;session=6019243164867"/>
  </hyperlinks>
  <pageMargins left="0.7" right="0.7" top="0.75" bottom="0.75" header="0.3" footer="0.3"/>
  <pageSetup orientation="portrait" r:id="rId2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5" t="s">
        <v>47</v>
      </c>
      <c r="B2" s="215"/>
      <c r="C2" s="215"/>
      <c r="D2" s="215"/>
      <c r="E2" s="215"/>
      <c r="F2" s="215"/>
      <c r="G2" s="215"/>
      <c r="H2" s="21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251</v>
      </c>
      <c r="H23" s="170">
        <f>F23*G23</f>
        <v>455</v>
      </c>
      <c r="I23" t="s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39.33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437.03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5" t="s">
        <v>579</v>
      </c>
      <c r="AT23" s="175" t="s">
        <v>58</v>
      </c>
      <c r="AU23" t="s">
        <v>239</v>
      </c>
      <c r="AV23" t="s">
        <v>581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580</v>
      </c>
      <c r="BM23" t="s">
        <v>582</v>
      </c>
      <c r="BN23" t="s">
        <v>263</v>
      </c>
      <c r="BO23" s="175">
        <f>ROUND((((AW23*AZ23)+(BN23*BM23))/(AW23+BN23)),5)</f>
        <v>439.2475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39.33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437.03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437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455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17.97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437.03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78.66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515.68999999999994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BQ38"/>
  <sheetViews>
    <sheetView topLeftCell="BD10" workbookViewId="0">
      <selection activeCell="BG18" sqref="BG18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42578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7" t="s">
        <v>47</v>
      </c>
      <c r="B2" s="217"/>
      <c r="C2" s="217"/>
      <c r="D2" s="217"/>
      <c r="E2" s="217"/>
      <c r="F2" s="217"/>
      <c r="G2" s="217"/>
      <c r="H2" s="21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588</v>
      </c>
      <c r="H23" s="170">
        <f>F23*G23</f>
        <v>377</v>
      </c>
      <c r="I23" t="s">
        <v>223</v>
      </c>
      <c r="J23" s="170">
        <v>1</v>
      </c>
      <c r="K23" s="170">
        <v>1</v>
      </c>
      <c r="L23" s="170">
        <f>H23</f>
        <v>377</v>
      </c>
      <c r="M23" s="170">
        <f>ROUND(L23*I23%,2)</f>
        <v>7.54</v>
      </c>
      <c r="N23" s="170">
        <f>H23-M23</f>
        <v>369.46</v>
      </c>
      <c r="O23" s="170">
        <f>ROUND(N23*J23%,2)</f>
        <v>3.69</v>
      </c>
      <c r="P23" s="170">
        <f>ROUND(N23-O23,2)</f>
        <v>365.77</v>
      </c>
      <c r="Q23" s="170">
        <f>ROUND(P23*K23%,2)</f>
        <v>3.66</v>
      </c>
      <c r="R23" s="170">
        <f>ROUND((M23+O23+Q23),2)</f>
        <v>14.89</v>
      </c>
      <c r="S23" s="170">
        <f>ROUND((H23-R23),2)</f>
        <v>362.11</v>
      </c>
      <c r="T23" s="171" t="s">
        <v>146</v>
      </c>
      <c r="U23" s="172">
        <v>0.18</v>
      </c>
      <c r="V23" s="170">
        <f>IF(OR($C$21=1,$C$21=4),ROUND(((S23*U23)/2),2),0)</f>
        <v>32.590000000000003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32.590000000000003</v>
      </c>
      <c r="Z23" s="173">
        <v>0</v>
      </c>
      <c r="AA23" s="170">
        <f>IF($C20=3, 0, ROUND(S23*Z23, 2))</f>
        <v>0</v>
      </c>
      <c r="AB23" s="169">
        <f>V23+W23+X23+Y23+AA23</f>
        <v>65.180000000000007</v>
      </c>
      <c r="AC23" s="169">
        <f>IF($V21=1,S23+AB23,S23)</f>
        <v>362.11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362.11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362.11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362.11</v>
      </c>
      <c r="AS23" s="171" t="s">
        <v>585</v>
      </c>
      <c r="AT23" s="175" t="s">
        <v>58</v>
      </c>
      <c r="AU23" t="s">
        <v>239</v>
      </c>
      <c r="AV23" t="s">
        <v>587</v>
      </c>
      <c r="AW23" s="175">
        <f>AM23</f>
        <v>1</v>
      </c>
      <c r="AX23" s="175">
        <f>AR23</f>
        <v>362.11</v>
      </c>
      <c r="AY23" s="175">
        <f>AU23+AW23</f>
        <v>1</v>
      </c>
      <c r="AZ23" s="175">
        <f>ROUND(((AU23*AV23)+(AW23*AX23))/(AU23+AW23),5)</f>
        <v>362.11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586</v>
      </c>
      <c r="BM23" t="s">
        <v>587</v>
      </c>
      <c r="BN23" t="s">
        <v>269</v>
      </c>
      <c r="BO23" s="175">
        <f>ROUND((((AW23*AZ23)+(BN23*BM23))/(AW23+BN23)),5)</f>
        <v>365.78500000000003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377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14.89</v>
      </c>
      <c r="S24" s="180">
        <f>SUM(S23)</f>
        <v>362.11</v>
      </c>
      <c r="T24" s="180"/>
      <c r="U24" s="180"/>
      <c r="V24" s="181">
        <f t="shared" ref="V24:AE24" si="1">SUM(V23)</f>
        <v>32.590000000000003</v>
      </c>
      <c r="W24" s="181">
        <f t="shared" si="1"/>
        <v>0</v>
      </c>
      <c r="X24" s="181">
        <f t="shared" si="1"/>
        <v>0</v>
      </c>
      <c r="Y24" s="181">
        <f t="shared" si="1"/>
        <v>32.590000000000003</v>
      </c>
      <c r="Z24" s="182">
        <f t="shared" si="1"/>
        <v>0</v>
      </c>
      <c r="AA24" s="181">
        <f t="shared" si="1"/>
        <v>0</v>
      </c>
      <c r="AB24" s="180">
        <f t="shared" si="1"/>
        <v>65.180000000000007</v>
      </c>
      <c r="AC24" s="183">
        <f t="shared" si="1"/>
        <v>362.11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362.11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362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377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14.89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362.11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65.180000000000007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427.29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29" sqref="D29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4" t="s">
        <v>47</v>
      </c>
      <c r="B2" s="214"/>
      <c r="C2" s="214"/>
      <c r="D2" s="214"/>
      <c r="E2" s="214"/>
      <c r="F2" s="214"/>
      <c r="G2" s="214"/>
      <c r="H2" s="21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251</v>
      </c>
      <c r="H23" s="170">
        <f>F23*G23</f>
        <v>455</v>
      </c>
      <c r="I23" t="s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39.33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515.68999999999994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1" t="s">
        <v>576</v>
      </c>
      <c r="AT23" s="175" t="s">
        <v>58</v>
      </c>
      <c r="AU23" t="s">
        <v>239</v>
      </c>
      <c r="AV23" t="s">
        <v>578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577</v>
      </c>
      <c r="BM23" t="s">
        <v>578</v>
      </c>
      <c r="BN23" t="s">
        <v>269</v>
      </c>
      <c r="BO23" s="175">
        <f>ROUND((((AW23*AZ23)+(BN23*BM23))/(AW23+BN23)),5)</f>
        <v>441.46499999999997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0</v>
      </c>
      <c r="X24" s="181">
        <f t="shared" si="1"/>
        <v>0</v>
      </c>
      <c r="Y24" s="181">
        <f t="shared" si="1"/>
        <v>39.33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515.68999999999994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516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455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17.97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437.03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78.66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515.68999999999994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BQ38"/>
  <sheetViews>
    <sheetView topLeftCell="O13" workbookViewId="0">
      <selection activeCell="T23" sqref="T23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3" t="s">
        <v>47</v>
      </c>
      <c r="B2" s="213"/>
      <c r="C2" s="213"/>
      <c r="D2" s="213"/>
      <c r="E2" s="213"/>
      <c r="F2" s="213"/>
      <c r="G2" s="213"/>
      <c r="H2" s="21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575</v>
      </c>
      <c r="H23" s="170">
        <f>F23*G23</f>
        <v>235</v>
      </c>
      <c r="I23" t="s">
        <v>223</v>
      </c>
      <c r="J23" s="170">
        <v>1</v>
      </c>
      <c r="K23" s="170">
        <v>1</v>
      </c>
      <c r="L23" s="170">
        <f>H23</f>
        <v>235</v>
      </c>
      <c r="M23" s="170">
        <f>ROUND(L23*I23%,2)</f>
        <v>4.7</v>
      </c>
      <c r="N23" s="170">
        <f>H23-M23</f>
        <v>230.3</v>
      </c>
      <c r="O23" s="170">
        <f>ROUND(N23*J23%,2)</f>
        <v>2.2999999999999998</v>
      </c>
      <c r="P23" s="170">
        <f>ROUND(N23-O23,2)</f>
        <v>228</v>
      </c>
      <c r="Q23" s="170">
        <f>ROUND(P23*K23%,2)</f>
        <v>2.2799999999999998</v>
      </c>
      <c r="R23" s="170">
        <f>ROUND((M23+O23+Q23),2)</f>
        <v>9.2799999999999994</v>
      </c>
      <c r="S23" s="170">
        <f>ROUND((H23-R23),2)</f>
        <v>225.72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225.72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225.72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225.72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225.72</v>
      </c>
      <c r="AS23" s="175" t="s">
        <v>572</v>
      </c>
      <c r="AT23" s="175" t="s">
        <v>58</v>
      </c>
      <c r="AU23" t="s">
        <v>239</v>
      </c>
      <c r="AV23" t="s">
        <v>574</v>
      </c>
      <c r="AW23" s="175">
        <f>AM23</f>
        <v>1</v>
      </c>
      <c r="AX23" s="175">
        <f>AR23</f>
        <v>225.72</v>
      </c>
      <c r="AY23" s="175">
        <f>AU23+AW23</f>
        <v>1</v>
      </c>
      <c r="AZ23" s="175">
        <f>ROUND(((AU23*AV23)+(AW23*AX23))/(AU23+AW23),5)</f>
        <v>225.72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573</v>
      </c>
      <c r="BM23" t="s">
        <v>574</v>
      </c>
      <c r="BN23" t="s">
        <v>269</v>
      </c>
      <c r="BO23" s="175">
        <f>ROUND((((AW23*AZ23)+(BN23*BM23))/(AW23+BN23)),5)</f>
        <v>124.36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235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9.2799999999999994</v>
      </c>
      <c r="S24" s="180">
        <f>SUM(S23)</f>
        <v>225.72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225.72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225.72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226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235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9.2799999999999994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225.72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0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225.72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BQ38"/>
  <sheetViews>
    <sheetView topLeftCell="K10" workbookViewId="0">
      <selection activeCell="V21" sqref="V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6" t="s">
        <v>47</v>
      </c>
      <c r="B2" s="226"/>
      <c r="C2" s="226"/>
      <c r="D2" s="226"/>
      <c r="E2" s="226"/>
      <c r="F2" s="226"/>
      <c r="G2" s="226"/>
      <c r="H2" s="22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614</v>
      </c>
      <c r="H23" s="170">
        <f>F23*G23</f>
        <v>440</v>
      </c>
      <c r="I23" t="s">
        <v>223</v>
      </c>
      <c r="J23" s="170">
        <v>1</v>
      </c>
      <c r="K23" s="170">
        <v>1</v>
      </c>
      <c r="L23" s="170">
        <f>H23</f>
        <v>440</v>
      </c>
      <c r="M23" s="170">
        <f>ROUND(L23*I23%,2)</f>
        <v>8.8000000000000007</v>
      </c>
      <c r="N23" s="170">
        <f>H23-M23</f>
        <v>431.2</v>
      </c>
      <c r="O23" s="170">
        <f>ROUND(N23*J23%,2)</f>
        <v>4.3099999999999996</v>
      </c>
      <c r="P23" s="170">
        <f>ROUND(N23-O23,2)</f>
        <v>426.89</v>
      </c>
      <c r="Q23" s="170">
        <f>ROUND(P23*K23%,2)</f>
        <v>4.2699999999999996</v>
      </c>
      <c r="R23" s="170">
        <f>ROUND((M23+O23+Q23),2)</f>
        <v>17.38</v>
      </c>
      <c r="S23" s="170">
        <f>ROUND((H23-R23),2)</f>
        <v>422.62</v>
      </c>
      <c r="T23" s="171" t="s">
        <v>146</v>
      </c>
      <c r="U23" s="172">
        <v>0.18</v>
      </c>
      <c r="V23" s="170">
        <f>IF(OR($C$21=1,$C$21=4),ROUND(((S23*U23)/2),2),0)</f>
        <v>38.04</v>
      </c>
      <c r="W23" s="170">
        <f>IF($C$21=1,ROUND(((S23*U23)/2),2),0)</f>
        <v>38.04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76.08</v>
      </c>
      <c r="AC23" s="169">
        <f>IF($V21=1,S23+AB23,S23)</f>
        <v>422.62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422.62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422.62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422.62</v>
      </c>
      <c r="AS23" s="175" t="s">
        <v>611</v>
      </c>
      <c r="AT23" s="175" t="s">
        <v>58</v>
      </c>
      <c r="AU23" t="s">
        <v>239</v>
      </c>
      <c r="AV23" t="s">
        <v>613</v>
      </c>
      <c r="AW23" s="175">
        <f>AM23</f>
        <v>1</v>
      </c>
      <c r="AX23" s="175">
        <f>AR23</f>
        <v>422.62</v>
      </c>
      <c r="AY23" s="175">
        <f>AU23+AW23</f>
        <v>1</v>
      </c>
      <c r="AZ23" s="175">
        <f>ROUND(((AU23*AV23)+(AW23*AX23))/(AU23+AW23),5)</f>
        <v>422.62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612</v>
      </c>
      <c r="BM23" t="s">
        <v>613</v>
      </c>
      <c r="BN23" t="s">
        <v>269</v>
      </c>
      <c r="BO23" s="175">
        <f>ROUND((((AW23*AZ23)+(BN23*BM23))/(AW23+BN23)),5)</f>
        <v>426.91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17.38</v>
      </c>
      <c r="S24" s="180">
        <f>SUM(S23)</f>
        <v>422.62</v>
      </c>
      <c r="T24" s="180"/>
      <c r="U24" s="180"/>
      <c r="V24" s="181">
        <f t="shared" ref="V24:AE24" si="1">SUM(V23)</f>
        <v>38.04</v>
      </c>
      <c r="W24" s="181">
        <f t="shared" si="1"/>
        <v>38.04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76.08</v>
      </c>
      <c r="AC24" s="183">
        <f t="shared" si="1"/>
        <v>422.62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422.62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440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17.38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422.62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76.08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498.7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BQ38"/>
  <sheetViews>
    <sheetView topLeftCell="BP16" workbookViewId="0">
      <selection activeCell="BV21" sqref="BV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5" t="s">
        <v>47</v>
      </c>
      <c r="B2" s="225"/>
      <c r="C2" s="225"/>
      <c r="D2" s="225"/>
      <c r="E2" s="225"/>
      <c r="F2" s="225"/>
      <c r="G2" s="225"/>
      <c r="H2" s="22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608</v>
      </c>
      <c r="H23" s="170">
        <f>F23*G23</f>
        <v>565</v>
      </c>
      <c r="I23" t="s">
        <v>269</v>
      </c>
      <c r="J23" s="170">
        <v>1</v>
      </c>
      <c r="K23" s="170">
        <v>1</v>
      </c>
      <c r="L23" s="170">
        <f>H23</f>
        <v>565</v>
      </c>
      <c r="M23" s="170">
        <f>ROUND(L23*I23%,2)</f>
        <v>5.65</v>
      </c>
      <c r="N23" s="170">
        <f>H23-M23</f>
        <v>559.35</v>
      </c>
      <c r="O23" s="170">
        <f>ROUND(N23*J23%,2)</f>
        <v>5.59</v>
      </c>
      <c r="P23" s="170">
        <f>ROUND(N23-O23,2)</f>
        <v>553.76</v>
      </c>
      <c r="Q23" s="170">
        <f>ROUND(P23*K23%,2)</f>
        <v>5.54</v>
      </c>
      <c r="R23" s="170">
        <f>ROUND((M23+O23+Q23),2)</f>
        <v>16.78</v>
      </c>
      <c r="S23" s="170">
        <f>ROUND((H23-R23),2)</f>
        <v>548.22</v>
      </c>
      <c r="T23" s="171" t="s">
        <v>146</v>
      </c>
      <c r="U23" s="172">
        <v>0.18</v>
      </c>
      <c r="V23" s="170">
        <f>IF(OR($C$21=1,$C$21=4),ROUND(((S23*U23)/2),2),0)</f>
        <v>49.34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49.34</v>
      </c>
      <c r="Z23" s="173">
        <v>0</v>
      </c>
      <c r="AA23" s="170">
        <f>IF($C20=3, 0, ROUND(S23*Z23, 2))</f>
        <v>0</v>
      </c>
      <c r="AB23" s="169">
        <f>V23+W23+X23+Y23+AA23</f>
        <v>98.68</v>
      </c>
      <c r="AC23" s="169">
        <f>IF($V21=1,S23+AB23,S23)</f>
        <v>646.90000000000009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548.22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548.22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548.22</v>
      </c>
      <c r="AS23" s="175" t="s">
        <v>606</v>
      </c>
      <c r="AT23" s="175" t="s">
        <v>58</v>
      </c>
      <c r="AU23" t="s">
        <v>239</v>
      </c>
      <c r="AV23" t="s">
        <v>609</v>
      </c>
      <c r="AW23" s="175">
        <f>AM23</f>
        <v>1</v>
      </c>
      <c r="AX23" s="175">
        <f>AR23</f>
        <v>548.22</v>
      </c>
      <c r="AY23" s="175">
        <f>AU23+AW23</f>
        <v>1</v>
      </c>
      <c r="AZ23" s="175">
        <f>ROUND(((AU23*AV23)+(AW23*AX23))/(AU23+AW23),5)</f>
        <v>548.22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607</v>
      </c>
      <c r="BM23" t="s">
        <v>610</v>
      </c>
      <c r="BN23" t="s">
        <v>263</v>
      </c>
      <c r="BO23" s="175">
        <f>ROUND((((AW23*AZ23)+(BN23*BM23))/(AW23+BN23)),5)</f>
        <v>551.00250000000005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565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16.78</v>
      </c>
      <c r="S24" s="180">
        <f>SUM(S23)</f>
        <v>548.22</v>
      </c>
      <c r="T24" s="180"/>
      <c r="U24" s="180"/>
      <c r="V24" s="181">
        <f t="shared" ref="V24:AE24" si="1">SUM(V23)</f>
        <v>49.34</v>
      </c>
      <c r="W24" s="181">
        <f t="shared" si="1"/>
        <v>0</v>
      </c>
      <c r="X24" s="181">
        <f t="shared" si="1"/>
        <v>0</v>
      </c>
      <c r="Y24" s="181">
        <f t="shared" si="1"/>
        <v>49.34</v>
      </c>
      <c r="Z24" s="182">
        <f t="shared" si="1"/>
        <v>0</v>
      </c>
      <c r="AA24" s="181">
        <f t="shared" si="1"/>
        <v>0</v>
      </c>
      <c r="AB24" s="180">
        <f t="shared" si="1"/>
        <v>98.68</v>
      </c>
      <c r="AC24" s="183">
        <f t="shared" si="1"/>
        <v>646.90000000000009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548.22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647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565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16.78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548.22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98.68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646.90000000000009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BQ38"/>
  <sheetViews>
    <sheetView topLeftCell="J16" workbookViewId="0">
      <selection activeCell="Q18" sqref="Q1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4" t="s">
        <v>47</v>
      </c>
      <c r="B2" s="224"/>
      <c r="C2" s="224"/>
      <c r="D2" s="224"/>
      <c r="E2" s="224"/>
      <c r="F2" s="224"/>
      <c r="G2" s="224"/>
      <c r="H2" s="22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>
        <v>343</v>
      </c>
      <c r="H23" s="170">
        <f>F23*G23</f>
        <v>343</v>
      </c>
      <c r="I23" t="s">
        <v>223</v>
      </c>
      <c r="J23" s="170">
        <v>1</v>
      </c>
      <c r="K23" s="170">
        <v>1</v>
      </c>
      <c r="L23" s="170">
        <f>H23</f>
        <v>343</v>
      </c>
      <c r="M23" s="170">
        <f>ROUND(L23*I23%,2)</f>
        <v>6.86</v>
      </c>
      <c r="N23" s="170">
        <f>H23-M23</f>
        <v>336.14</v>
      </c>
      <c r="O23" s="170">
        <f>ROUND(N23*J23%,2)</f>
        <v>3.36</v>
      </c>
      <c r="P23" s="170">
        <f>ROUND(N23-O23,2)</f>
        <v>332.78</v>
      </c>
      <c r="Q23" s="170">
        <f>ROUND(P23*K23%,2)</f>
        <v>3.33</v>
      </c>
      <c r="R23" s="170">
        <f>ROUND((M23+O23+Q23),2)</f>
        <v>13.55</v>
      </c>
      <c r="S23" s="170">
        <f>ROUND((H23-R23),2)</f>
        <v>329.45</v>
      </c>
      <c r="T23" s="171" t="s">
        <v>146</v>
      </c>
      <c r="U23" s="172">
        <v>0.18</v>
      </c>
      <c r="V23" s="170">
        <f>IF(OR($C$21=1,$C$21=4),ROUND(((S23*U23)/2),2),0)</f>
        <v>29.65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29.65</v>
      </c>
      <c r="Z23" s="173">
        <v>0</v>
      </c>
      <c r="AA23" s="170">
        <f>IF($C20=3, 0, ROUND(S23*Z23, 2))</f>
        <v>0</v>
      </c>
      <c r="AB23" s="169">
        <f>V23+W23+X23+Y23+AA23</f>
        <v>59.3</v>
      </c>
      <c r="AC23" s="169">
        <f>IF($V21=1,S23+AB23,S23)</f>
        <v>388.75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329.45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329.45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329.45</v>
      </c>
      <c r="AS23" s="175" t="s">
        <v>603</v>
      </c>
      <c r="AT23" s="175" t="s">
        <v>58</v>
      </c>
      <c r="AU23" t="s">
        <v>239</v>
      </c>
      <c r="AV23" t="s">
        <v>605</v>
      </c>
      <c r="AW23" s="175">
        <f>AM23</f>
        <v>1</v>
      </c>
      <c r="AX23" s="175">
        <f>AR23</f>
        <v>329.45</v>
      </c>
      <c r="AY23" s="175">
        <f>AU23+AW23</f>
        <v>1</v>
      </c>
      <c r="AZ23" s="175">
        <f>ROUND(((AU23*AV23)+(AW23*AX23))/(AU23+AW23),5)</f>
        <v>329.45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604</v>
      </c>
      <c r="BM23" t="s">
        <v>605</v>
      </c>
      <c r="BN23" t="s">
        <v>269</v>
      </c>
      <c r="BO23" s="175">
        <f>ROUND((((AW23*AZ23)+(BN23*BM23))/(AW23+BN23)),5)</f>
        <v>332.79500000000002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343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13.55</v>
      </c>
      <c r="S24" s="180">
        <f>SUM(S23)</f>
        <v>329.45</v>
      </c>
      <c r="T24" s="180"/>
      <c r="U24" s="180"/>
      <c r="V24" s="181">
        <f t="shared" ref="V24:AE24" si="1">SUM(V23)</f>
        <v>29.65</v>
      </c>
      <c r="W24" s="181">
        <f t="shared" si="1"/>
        <v>0</v>
      </c>
      <c r="X24" s="181">
        <f t="shared" si="1"/>
        <v>0</v>
      </c>
      <c r="Y24" s="181">
        <f t="shared" si="1"/>
        <v>29.65</v>
      </c>
      <c r="Z24" s="182">
        <f t="shared" si="1"/>
        <v>0</v>
      </c>
      <c r="AA24" s="181">
        <f t="shared" si="1"/>
        <v>0</v>
      </c>
      <c r="AB24" s="180">
        <f t="shared" si="1"/>
        <v>59.3</v>
      </c>
      <c r="AC24" s="183">
        <f t="shared" si="1"/>
        <v>388.75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329.45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343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13.55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329.45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59.3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388.75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D22" sqref="D22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3" t="s">
        <v>47</v>
      </c>
      <c r="B2" s="223"/>
      <c r="C2" s="223"/>
      <c r="D2" s="223"/>
      <c r="E2" s="223"/>
      <c r="F2" s="223"/>
      <c r="G2" s="223"/>
      <c r="H2" s="22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600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>
        <v>239</v>
      </c>
      <c r="AV23" t="s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602</v>
      </c>
      <c r="BM23" t="s">
        <v>599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355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14.02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340.98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61.38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402.36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2" t="s">
        <v>47</v>
      </c>
      <c r="B2" s="222"/>
      <c r="C2" s="222"/>
      <c r="D2" s="222"/>
      <c r="E2" s="222"/>
      <c r="F2" s="222"/>
      <c r="G2" s="222"/>
      <c r="H2" s="22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600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>
        <v>239</v>
      </c>
      <c r="AV23" t="s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602</v>
      </c>
      <c r="BM23" t="s">
        <v>599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355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14.02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340.98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61.38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402.36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1" sqref="D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1" t="s">
        <v>47</v>
      </c>
      <c r="B2" s="221"/>
      <c r="C2" s="221"/>
      <c r="D2" s="221"/>
      <c r="E2" s="221"/>
      <c r="F2" s="221"/>
      <c r="G2" s="221"/>
      <c r="H2" s="22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600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30.69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>
        <v>239</v>
      </c>
      <c r="AV23" t="s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602</v>
      </c>
      <c r="BM23" t="s">
        <v>599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0</v>
      </c>
      <c r="X24" s="181">
        <f t="shared" si="1"/>
        <v>0</v>
      </c>
      <c r="Y24" s="181">
        <f t="shared" si="1"/>
        <v>30.69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355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14.02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340.98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61.38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402.36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BN23" sqref="BN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0" t="s">
        <v>47</v>
      </c>
      <c r="B2" s="220"/>
      <c r="C2" s="220"/>
      <c r="D2" s="220"/>
      <c r="E2" s="220"/>
      <c r="F2" s="220"/>
      <c r="G2" s="220"/>
      <c r="H2" s="22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600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61.38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597</v>
      </c>
      <c r="AT23" s="175" t="s">
        <v>58</v>
      </c>
      <c r="AU23" t="s">
        <v>239</v>
      </c>
      <c r="AV23" t="s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598</v>
      </c>
      <c r="BM23" t="s">
        <v>599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61.38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355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14.02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340.98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61.38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402.36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AL23" sqref="A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9" t="s">
        <v>47</v>
      </c>
      <c r="B2" s="219"/>
      <c r="C2" s="219"/>
      <c r="D2" s="219"/>
      <c r="E2" s="219"/>
      <c r="F2" s="219"/>
      <c r="G2" s="219"/>
      <c r="H2" s="21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596</v>
      </c>
      <c r="H23" s="170">
        <f>F23*G23</f>
        <v>444</v>
      </c>
      <c r="I23" t="s">
        <v>223</v>
      </c>
      <c r="J23" s="170">
        <v>1</v>
      </c>
      <c r="K23" s="170">
        <v>1</v>
      </c>
      <c r="L23" s="170">
        <f>H23</f>
        <v>444</v>
      </c>
      <c r="M23" s="170">
        <f>ROUND(L23*I23%,2)</f>
        <v>8.8800000000000008</v>
      </c>
      <c r="N23" s="170">
        <f>H23-M23</f>
        <v>435.12</v>
      </c>
      <c r="O23" s="170">
        <f>ROUND(N23*J23%,2)</f>
        <v>4.3499999999999996</v>
      </c>
      <c r="P23" s="170">
        <f>ROUND(N23-O23,2)</f>
        <v>430.77</v>
      </c>
      <c r="Q23" s="170">
        <f>ROUND(P23*K23%,2)</f>
        <v>4.3099999999999996</v>
      </c>
      <c r="R23" s="170">
        <f>ROUND((M23+O23+Q23),2)</f>
        <v>17.54</v>
      </c>
      <c r="S23" s="170">
        <f>ROUND((H23-R23),2)</f>
        <v>426.46</v>
      </c>
      <c r="T23" s="171" t="s">
        <v>146</v>
      </c>
      <c r="U23" s="172">
        <v>0.18</v>
      </c>
      <c r="V23" s="170">
        <f>IF(OR($C$21=1,$C$21=4),ROUND(((S23*U23)/2),2),0)</f>
        <v>38.380000000000003</v>
      </c>
      <c r="W23" s="170">
        <f>IF($C$21=1,ROUND(((S23*U23)/2),2),0)</f>
        <v>38.380000000000003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76.760000000000005</v>
      </c>
      <c r="AC23" s="169">
        <f>IF($V21=1,S23+AB23,S23)</f>
        <v>503.21999999999997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426.46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426.46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426.46</v>
      </c>
      <c r="AS23" s="175" t="s">
        <v>594</v>
      </c>
      <c r="AT23" s="175" t="s">
        <v>58</v>
      </c>
      <c r="AW23" s="175">
        <f>AM23</f>
        <v>1</v>
      </c>
      <c r="AX23" s="175">
        <f>AR23</f>
        <v>426.46</v>
      </c>
      <c r="AY23" s="175">
        <f>AU23+AW23</f>
        <v>1</v>
      </c>
      <c r="AZ23" s="175">
        <f>ROUND(((AU23*AV23)+(AW23*AX23))/(AU23+AW23),5)</f>
        <v>426.46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595</v>
      </c>
      <c r="BM23" t="s">
        <v>239</v>
      </c>
      <c r="BN23" t="s">
        <v>239</v>
      </c>
      <c r="BO23" s="175">
        <f>ROUND((((AW23*AZ23)+(BN23*BM23))/(AW23+BN23)),5)</f>
        <v>426.46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444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17.54</v>
      </c>
      <c r="S24" s="180">
        <f>SUM(S23)</f>
        <v>426.46</v>
      </c>
      <c r="T24" s="180"/>
      <c r="U24" s="180"/>
      <c r="V24" s="181">
        <f t="shared" ref="V24:AE24" si="1">SUM(V23)</f>
        <v>38.380000000000003</v>
      </c>
      <c r="W24" s="181">
        <f t="shared" si="1"/>
        <v>38.380000000000003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76.760000000000005</v>
      </c>
      <c r="AC24" s="183">
        <f t="shared" si="1"/>
        <v>503.21999999999997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426.46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503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444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17.54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426.46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76.760000000000005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503.21999999999997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hyperlinks>
    <hyperlink ref="AS23" r:id="rId1" display="https://webappqc.roadmaperp.com:8765/ords/r/autojen27/scm-us9011/warehouse1?p367019101_rowid=AABFg5AAJAAEIFvAAL&amp;p367019101_store_id=INS%20WH-DC1&amp;session=16961274983825"/>
  </hyperlinks>
  <pageMargins left="0.7" right="0.7" top="0.75" bottom="0.75" header="0.3" footer="0.3"/>
  <pageSetup orientation="portrait" r:id="rId2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BQ38"/>
  <sheetViews>
    <sheetView topLeftCell="BK10" workbookViewId="0">
      <selection activeCell="BL23" sqref="B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591</v>
      </c>
      <c r="H23" s="170">
        <f>F23*G23</f>
        <v>466</v>
      </c>
      <c r="I23" t="s">
        <v>223</v>
      </c>
      <c r="J23" s="170">
        <v>1</v>
      </c>
      <c r="K23" s="170">
        <v>1</v>
      </c>
      <c r="L23" s="170">
        <f>H23</f>
        <v>466</v>
      </c>
      <c r="M23" s="170">
        <f>ROUND(L23*I23%,2)</f>
        <v>9.32</v>
      </c>
      <c r="N23" s="170">
        <f>H23-M23</f>
        <v>456.68</v>
      </c>
      <c r="O23" s="170">
        <f>ROUND(N23*J23%,2)</f>
        <v>4.57</v>
      </c>
      <c r="P23" s="170">
        <f>ROUND(N23-O23,2)</f>
        <v>452.11</v>
      </c>
      <c r="Q23" s="170">
        <f>ROUND(P23*K23%,2)</f>
        <v>4.5199999999999996</v>
      </c>
      <c r="R23" s="170">
        <f>ROUND((M23+O23+Q23),2)</f>
        <v>18.41</v>
      </c>
      <c r="S23" s="170">
        <f>ROUND((H23-R23),2)</f>
        <v>447.59</v>
      </c>
      <c r="T23" s="171" t="s">
        <v>146</v>
      </c>
      <c r="U23" s="172">
        <v>0.18</v>
      </c>
      <c r="V23" s="170">
        <f>IF(OR($C$21=1,$C$21=4),ROUND(((S23*U23)/2),2),0)</f>
        <v>40.28</v>
      </c>
      <c r="W23" s="170">
        <f>IF($C$21=1,ROUND(((S23*U23)/2),2),0)</f>
        <v>40.28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80.56</v>
      </c>
      <c r="AC23" s="169">
        <f>IF($V21=1,S23+AB23,S23)</f>
        <v>528.15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447.59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447.59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447.59</v>
      </c>
      <c r="AS23" s="175" t="s">
        <v>589</v>
      </c>
      <c r="AT23" s="175" t="s">
        <v>58</v>
      </c>
      <c r="AU23" t="s">
        <v>239</v>
      </c>
      <c r="AV23" t="s">
        <v>592</v>
      </c>
      <c r="AW23" s="175">
        <f>AM23</f>
        <v>1</v>
      </c>
      <c r="AX23" s="175">
        <f>AR23</f>
        <v>447.59</v>
      </c>
      <c r="AY23" s="175">
        <f>AU23+AW23</f>
        <v>1</v>
      </c>
      <c r="AZ23" s="175">
        <f>ROUND(((AU23*AV23)+(AW23*AX23))/(AU23+AW23),5)</f>
        <v>447.59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590</v>
      </c>
      <c r="BM23" t="s">
        <v>593</v>
      </c>
      <c r="BN23" t="s">
        <v>223</v>
      </c>
      <c r="BO23" s="175">
        <f>ROUND((((AW23*AZ23)+(BN23*BM23))/(AW23+BN23)),5)</f>
        <v>450.62</v>
      </c>
      <c r="BP23" s="87">
        <f>BN23+AW23</f>
        <v>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466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18.41</v>
      </c>
      <c r="S24" s="180">
        <f>SUM(S23)</f>
        <v>447.59</v>
      </c>
      <c r="T24" s="180"/>
      <c r="U24" s="180"/>
      <c r="V24" s="181">
        <f t="shared" ref="V24:AE24" si="1">SUM(V23)</f>
        <v>40.28</v>
      </c>
      <c r="W24" s="181">
        <f t="shared" si="1"/>
        <v>40.28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80.56</v>
      </c>
      <c r="AC24" s="183">
        <f t="shared" si="1"/>
        <v>528.15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447.59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528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466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18.41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447.59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80.56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528.15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BQ38"/>
  <sheetViews>
    <sheetView topLeftCell="H10" workbookViewId="0">
      <selection activeCell="H21" sqref="H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2" t="s">
        <v>47</v>
      </c>
      <c r="B2" s="212"/>
      <c r="C2" s="212"/>
      <c r="D2" s="212"/>
      <c r="E2" s="212"/>
      <c r="F2" s="212"/>
      <c r="G2" s="212"/>
      <c r="H2" s="21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232</v>
      </c>
      <c r="H23" s="170">
        <f>F23*G23</f>
        <v>250</v>
      </c>
      <c r="I23" t="s">
        <v>223</v>
      </c>
      <c r="J23" s="170">
        <v>1</v>
      </c>
      <c r="K23" s="170">
        <v>1</v>
      </c>
      <c r="L23" s="170">
        <f>H23</f>
        <v>250</v>
      </c>
      <c r="M23" s="170">
        <f>ROUND(L23*I23%,2)</f>
        <v>5</v>
      </c>
      <c r="N23" s="170">
        <f>H23-M23</f>
        <v>245</v>
      </c>
      <c r="O23" s="170">
        <f>ROUND(N23*J23%,2)</f>
        <v>2.4500000000000002</v>
      </c>
      <c r="P23" s="170">
        <f>ROUND(N23-O23,2)</f>
        <v>242.55</v>
      </c>
      <c r="Q23" s="170">
        <f>ROUND(P23*K23%,2)</f>
        <v>2.4300000000000002</v>
      </c>
      <c r="R23" s="170">
        <f>ROUND((M23+O23+Q23),2)</f>
        <v>9.8800000000000008</v>
      </c>
      <c r="S23" s="170">
        <f>ROUND((H23-R23),2)</f>
        <v>240.12</v>
      </c>
      <c r="T23" s="171" t="s">
        <v>146</v>
      </c>
      <c r="U23" s="172">
        <v>0.18</v>
      </c>
      <c r="V23" s="170">
        <f>IF(OR($C$21=1,$C$21=4),ROUND(((S23*U23)/2),2),0)</f>
        <v>21.61</v>
      </c>
      <c r="W23" s="170">
        <f>IF($C$21=1,ROUND(((S23*U23)/2),2),0)</f>
        <v>21.61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43.22</v>
      </c>
      <c r="AC23" s="169">
        <f>IF($V21=1,S23+AB23,S23)</f>
        <v>283.34000000000003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240.12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240.12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240.12</v>
      </c>
      <c r="AS23" s="171" t="s">
        <v>569</v>
      </c>
      <c r="AT23" s="175" t="s">
        <v>58</v>
      </c>
      <c r="AU23" t="s">
        <v>239</v>
      </c>
      <c r="AV23" t="s">
        <v>571</v>
      </c>
      <c r="AW23" s="175">
        <f>AM23</f>
        <v>1</v>
      </c>
      <c r="AX23" s="175">
        <f>AR23</f>
        <v>240.12</v>
      </c>
      <c r="AY23" s="175">
        <f>AU23+AW23</f>
        <v>1</v>
      </c>
      <c r="AZ23" s="175">
        <f>ROUND(((AU23*AV23)+(AW23*AX23))/(AU23+AW23),5)</f>
        <v>240.12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570</v>
      </c>
      <c r="BM23" t="s">
        <v>571</v>
      </c>
      <c r="BN23" t="s">
        <v>269</v>
      </c>
      <c r="BO23" s="175">
        <f>ROUND((((AW23*AZ23)+(BN23*BM23))/(AW23+BN23)),5)</f>
        <v>153.56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250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9.8800000000000008</v>
      </c>
      <c r="S24" s="180">
        <f>SUM(S23)</f>
        <v>240.12</v>
      </c>
      <c r="T24" s="180"/>
      <c r="U24" s="180"/>
      <c r="V24" s="181">
        <f t="shared" ref="V24:AE24" si="1">SUM(V23)</f>
        <v>21.61</v>
      </c>
      <c r="W24" s="181">
        <f t="shared" si="1"/>
        <v>21.61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43.22</v>
      </c>
      <c r="AC24" s="183">
        <f t="shared" si="1"/>
        <v>283.34000000000003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240.12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283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250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9.8800000000000008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240.12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43.22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283.34000000000003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DB42"/>
  <sheetViews>
    <sheetView topLeftCell="BY19" workbookViewId="0">
      <selection activeCell="CC27" sqref="CC27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4" t="s">
        <v>47</v>
      </c>
      <c r="B2" s="264"/>
      <c r="C2" s="264"/>
      <c r="D2" s="264"/>
      <c r="E2" s="264"/>
      <c r="F2" s="264"/>
      <c r="G2" s="264"/>
      <c r="H2" s="26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>
        <v>6300</v>
      </c>
      <c r="H23" s="170">
        <f>F23*G23</f>
        <v>6300</v>
      </c>
      <c r="I23">
        <v>1</v>
      </c>
      <c r="J23" s="170">
        <v>2</v>
      </c>
      <c r="K23" s="170">
        <v>3</v>
      </c>
      <c r="L23" s="170">
        <f>H23</f>
        <v>6300</v>
      </c>
      <c r="M23" s="170">
        <f>ROUND(L23*I23%,2)</f>
        <v>63</v>
      </c>
      <c r="N23" s="170">
        <f>H23-M23</f>
        <v>6237</v>
      </c>
      <c r="O23" s="170">
        <f>ROUND(N23*J23%,2)</f>
        <v>124.74</v>
      </c>
      <c r="P23" s="170">
        <f>ROUND(N23-O23,2)</f>
        <v>6112.26</v>
      </c>
      <c r="Q23" s="170">
        <f>ROUND(P23*K23%,2)</f>
        <v>183.37</v>
      </c>
      <c r="R23" s="170">
        <f>ROUND((M23+O23+Q23),2)</f>
        <v>371.11</v>
      </c>
      <c r="S23" s="170">
        <f>ROUND((H23-R23),2)</f>
        <v>5928.89</v>
      </c>
      <c r="T23" s="171" t="s">
        <v>146</v>
      </c>
      <c r="U23" s="172">
        <v>0.18</v>
      </c>
      <c r="V23" s="170">
        <f>IF(OR($C$21=1,$C$21=4),ROUND(((S23*U23)/2),2),0)</f>
        <v>533.6</v>
      </c>
      <c r="W23" s="170">
        <f>IF($C$21=1,ROUND(((S23*U23)/2),2),0)</f>
        <v>533.6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1067.2</v>
      </c>
      <c r="AC23" s="169">
        <f>IF($V21=1,S23+AB23,S23)</f>
        <v>6996.09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5928.89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5928.89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5928.89</v>
      </c>
      <c r="AS23" s="175" t="s">
        <v>518</v>
      </c>
      <c r="AT23" s="175" t="s">
        <v>58</v>
      </c>
      <c r="AU23" t="s">
        <v>239</v>
      </c>
      <c r="AV23" t="s">
        <v>689</v>
      </c>
      <c r="AW23" s="175">
        <f>AM23</f>
        <v>1</v>
      </c>
      <c r="AX23" s="175">
        <f>AR23</f>
        <v>5928.89</v>
      </c>
      <c r="AY23" s="175">
        <f>AU23+AW23</f>
        <v>1</v>
      </c>
      <c r="AZ23" s="175">
        <f>ROUND(((AU23*AV23)+(AW23*AX23))/(AU23+AW23),5)</f>
        <v>5928.89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691</v>
      </c>
      <c r="BN23" t="s">
        <v>690</v>
      </c>
      <c r="BO23" s="175">
        <f>ROUND((((AW23*AZ23)+(BN23*BM23))/(AW23+BN23)),5)</f>
        <v>2817.4979499999999</v>
      </c>
      <c r="BP23" s="87">
        <f>BN23+AW23</f>
        <v>516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12228.89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CU23+CD27</f>
        <v>0</v>
      </c>
      <c r="CY23">
        <v>0</v>
      </c>
      <c r="CZ23">
        <f>CU23</f>
        <v>0</v>
      </c>
      <c r="DA23">
        <v>0</v>
      </c>
      <c r="DB23">
        <f>CD27</f>
        <v>0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>
        <v>6300</v>
      </c>
      <c r="H24" s="170">
        <f>F24*G24</f>
        <v>6300</v>
      </c>
      <c r="I24">
        <v>0</v>
      </c>
      <c r="J24" s="170">
        <v>0</v>
      </c>
      <c r="K24" s="170">
        <v>0</v>
      </c>
      <c r="L24" s="170">
        <f>H24</f>
        <v>6300</v>
      </c>
      <c r="M24" s="170">
        <f>ROUND(L24*I24%,2)</f>
        <v>0</v>
      </c>
      <c r="N24" s="170">
        <f>H24-M24</f>
        <v>6300</v>
      </c>
      <c r="O24" s="170">
        <f>ROUND(N24*J24%,2)</f>
        <v>0</v>
      </c>
      <c r="P24" s="170">
        <f>ROUND(N24-O24,2)</f>
        <v>6300</v>
      </c>
      <c r="Q24" s="170">
        <f>ROUND(P24*K24%,2)</f>
        <v>0</v>
      </c>
      <c r="R24" s="170">
        <f>ROUND((M24+O24+Q24),2)</f>
        <v>0</v>
      </c>
      <c r="S24" s="170">
        <f>ROUND((H24-R24),2)</f>
        <v>6300</v>
      </c>
      <c r="T24" s="171" t="s">
        <v>146</v>
      </c>
      <c r="U24" s="172">
        <v>0.18</v>
      </c>
      <c r="V24" s="170">
        <f>IF(OR($C$21=1,$C$21=4),ROUND(((S24*U24)/2),2),0)</f>
        <v>567</v>
      </c>
      <c r="W24" s="170">
        <f>IF($C$21=1,ROUND(((S24*U24)/2),2),0)</f>
        <v>567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1134</v>
      </c>
      <c r="AC24" s="169">
        <f>IF($V21=1,S24+AB24,S24)</f>
        <v>7434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6300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6300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6300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6300</v>
      </c>
      <c r="AY24" s="175">
        <f>AU24+AW24</f>
        <v>1</v>
      </c>
      <c r="AZ24" s="175">
        <f>ROUND(((AU24*AV24)+(AW24*AX24))/(AU24+AW24),5)</f>
        <v>6300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677</v>
      </c>
      <c r="BN24" t="s">
        <v>676</v>
      </c>
      <c r="BO24" s="175">
        <f>ROUND((((AW24*AZ24)+(BN24*BM24))/(AW24+BN24)),5)</f>
        <v>2259.08097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6300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f t="shared" ref="CR24:CS27" si="2">X24</f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616</v>
      </c>
      <c r="CC25" s="266">
        <f>V28</f>
        <v>1667.6</v>
      </c>
      <c r="CD25" s="26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617</v>
      </c>
      <c r="CC26" s="266">
        <f>W28</f>
        <v>1667.6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672</v>
      </c>
      <c r="CC27" s="266">
        <f>ABS(IF(AU28&lt;=0.5,AU28,0))</f>
        <v>9.0000000000145519E-2</v>
      </c>
      <c r="CD27">
        <f>ABS(IF(AU28&gt;=0.5,AU28,0))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1667.6</v>
      </c>
      <c r="W28" s="181">
        <f>SUM(W23:W27)</f>
        <v>1667.6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3335.2</v>
      </c>
      <c r="AC28" s="183">
        <f>SUM(AC23:AC27)</f>
        <v>21864.09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21864</v>
      </c>
      <c r="AU28">
        <f>AT28-AC28</f>
        <v>-9.0000000000145519E-2</v>
      </c>
      <c r="AW28" s="137">
        <f>SUMIF(BX23:BX27,"Item",S23:S27)</f>
        <v>12228.89</v>
      </c>
      <c r="AX28" s="137">
        <f>SUMIF(BX23:BX27,"Exp.",S23:S27)</f>
        <v>6300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675</v>
      </c>
      <c r="CC28" s="266">
        <v>0</v>
      </c>
      <c r="CD28">
        <f>AT28</f>
        <v>21864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106" ht="15.75" thickBot="1">
      <c r="A30" s="137"/>
      <c r="B30" s="137"/>
      <c r="C30" s="137"/>
      <c r="D30" s="137"/>
      <c r="E30" s="137"/>
      <c r="F30" s="137"/>
      <c r="G30" s="299" t="s">
        <v>194</v>
      </c>
      <c r="H30" s="300"/>
      <c r="I30" s="301">
        <f>H28</f>
        <v>2100</v>
      </c>
      <c r="J30" s="301"/>
      <c r="K30" s="185"/>
      <c r="L30" s="137"/>
      <c r="M30" s="303" t="s">
        <v>195</v>
      </c>
      <c r="N30" s="304"/>
      <c r="O30" s="304"/>
      <c r="P30" s="305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299" t="s">
        <v>196</v>
      </c>
      <c r="H31" s="300"/>
      <c r="I31" s="301">
        <f>R28</f>
        <v>0</v>
      </c>
      <c r="J31" s="301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299" t="s">
        <v>197</v>
      </c>
      <c r="H32" s="300"/>
      <c r="I32" s="301">
        <f>S28</f>
        <v>2100</v>
      </c>
      <c r="J32" s="301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99" t="s">
        <v>198</v>
      </c>
      <c r="H33" s="300"/>
      <c r="I33" s="301">
        <f>AB28</f>
        <v>3335.2</v>
      </c>
      <c r="J33" s="301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99" t="s">
        <v>199</v>
      </c>
      <c r="H34" s="300"/>
      <c r="I34" s="302">
        <f>I32+I33</f>
        <v>5435.2</v>
      </c>
      <c r="J34" s="30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  <mergeCell ref="G30:H30"/>
    <mergeCell ref="I30:J30"/>
  </mergeCells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CA38"/>
  <sheetViews>
    <sheetView topLeftCell="A10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157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>
        <f>[1]StocktransferLC!G23+500</f>
        <v>3800</v>
      </c>
      <c r="H23" s="170">
        <f>F23*G23</f>
        <v>45600</v>
      </c>
      <c r="I23" t="s">
        <v>263</v>
      </c>
      <c r="J23" s="170">
        <v>2</v>
      </c>
      <c r="K23" s="170">
        <v>2.5</v>
      </c>
      <c r="L23" s="170">
        <f>H23</f>
        <v>45600</v>
      </c>
      <c r="M23" s="170">
        <f>ROUND(L23*I23%,2)</f>
        <v>1368</v>
      </c>
      <c r="N23" s="170">
        <f>H23-M23</f>
        <v>44232</v>
      </c>
      <c r="O23" s="170">
        <f>ROUND(N23*J23%,2)</f>
        <v>884.64</v>
      </c>
      <c r="P23" s="170">
        <f>ROUND(N23-O23,2)</f>
        <v>43347.360000000001</v>
      </c>
      <c r="Q23" s="170">
        <f>ROUND(P23*K23%,2)</f>
        <v>1083.68</v>
      </c>
      <c r="R23" s="170">
        <f>ROUND((M23+O23+Q23),2)</f>
        <v>3336.32</v>
      </c>
      <c r="S23" s="170">
        <f>ROUND((H23-R23),2)</f>
        <v>42263.68</v>
      </c>
      <c r="T23" s="171" t="s">
        <v>146</v>
      </c>
      <c r="U23" s="172">
        <v>0.18</v>
      </c>
      <c r="V23" s="170">
        <f>IF(OR([1]StocktransferLC!$C$21=1,[1]StocktransferLC!$C$21=4),ROUND(((S23*U23)/2),2),0)</f>
        <v>3803.73</v>
      </c>
      <c r="W23" s="170">
        <f>IF([1]StocktransferLC!$C$21=1,ROUND(((S23*U23)/2),2),0)</f>
        <v>3803.73</v>
      </c>
      <c r="X23" s="170">
        <f>IF([1]StocktransferLC!$C$21=2,ROUND(((S23*U23)),2),0)</f>
        <v>0</v>
      </c>
      <c r="Y23" s="170">
        <f>IF([1]StocktransferLC!$C$21=4,ROUND(((S23*U23)/2),2),0)</f>
        <v>0</v>
      </c>
      <c r="Z23" s="173">
        <v>0</v>
      </c>
      <c r="AA23" s="170">
        <f>IF([1]StocktransferLC!$C20=3, 0, ROUND(S23*Z23, 2))</f>
        <v>0</v>
      </c>
      <c r="AB23" s="169">
        <f>V23+W23+X23+Y23+AA23</f>
        <v>7607.46</v>
      </c>
      <c r="AC23" s="169">
        <f>IF([1]StocktransferLC!$V20=1,S23+AB23,S23)</f>
        <v>42263.68</v>
      </c>
      <c r="AD23" s="171">
        <v>120</v>
      </c>
      <c r="AE23" s="171">
        <f>IF([1]StocktransferLC!$P$21=1,(S23/[1]StocktransferLC!$S$24)*[1]StocktransferLC!$E$35,AD23/[1]StocktransferLC!$AD$24*[1]StocktransferLC!$E$35)</f>
        <v>0</v>
      </c>
      <c r="AF23" s="171"/>
      <c r="AG23" s="171">
        <f>IF([1]StocktransferLC!$P$21=1,(S23/[1]StocktransferLC!$S$24)*[1]StocktransferLC!$E$37,AD23/[1]StocktransferLC!$AD$24*[1]StocktransferLC!$E$37)</f>
        <v>0</v>
      </c>
      <c r="AH23" s="171">
        <f>IF([1]StocktransferLC!$P$21=1,(S23/[1]StocktransferLC!$S$24)*[1]StocktransferLC!$E$38,AD23/[1]StocktransferLC!$AD$24*[1]StocktransferLC!$E$38)</f>
        <v>0</v>
      </c>
      <c r="AI23" s="171">
        <f>S23*[1]StocktransferLC!$M$21</f>
        <v>42263.68</v>
      </c>
      <c r="AJ23" s="171">
        <f>IF([1]StocktransferLC!$C$21=3,0,AG23+AH23)</f>
        <v>0</v>
      </c>
      <c r="AK23" s="171">
        <f>IF([1]StocktransferLC!$C$21=3,AE23+AG23+AH23,0)</f>
        <v>0</v>
      </c>
      <c r="AL23" s="174">
        <v>1</v>
      </c>
      <c r="AM23" s="171">
        <f>F23/AL23</f>
        <v>12</v>
      </c>
      <c r="AN23" s="171">
        <f>ROUND(AI23/AM23,5)</f>
        <v>3521.9733299999998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3521.9733299999998</v>
      </c>
      <c r="AS23" s="175" t="s">
        <v>518</v>
      </c>
      <c r="AT23" s="175" t="s">
        <v>58</v>
      </c>
      <c r="AU23" t="s">
        <v>239</v>
      </c>
      <c r="AV23" t="s">
        <v>523</v>
      </c>
      <c r="AW23" s="175">
        <f>AM23</f>
        <v>12</v>
      </c>
      <c r="AX23" s="175">
        <f>AR23</f>
        <v>3521.9733299999998</v>
      </c>
      <c r="AY23" s="175">
        <f>AU23+AW23</f>
        <v>12</v>
      </c>
      <c r="AZ23" s="175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524</v>
      </c>
      <c r="BN23" t="s">
        <v>460</v>
      </c>
      <c r="BO23" s="175">
        <f>ROUND((((AW23*AZ23)+(BN23*BM23))/(AW23+BN23)),5)</f>
        <v>1796.78808</v>
      </c>
      <c r="BP23" s="87">
        <f>BN23+AW23</f>
        <v>26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529</v>
      </c>
      <c r="CA23" s="193">
        <v>60</v>
      </c>
    </row>
    <row r="24" spans="1:7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3336.32</v>
      </c>
      <c r="S24" s="180">
        <f>SUM(S23)</f>
        <v>42263.68</v>
      </c>
      <c r="T24" s="180"/>
      <c r="U24" s="180"/>
      <c r="V24" s="181">
        <f t="shared" ref="V24:AE24" si="1">SUM(V23)</f>
        <v>3803.73</v>
      </c>
      <c r="W24" s="181">
        <f t="shared" si="1"/>
        <v>3803.73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7607.46</v>
      </c>
      <c r="AC24" s="183">
        <f t="shared" si="1"/>
        <v>42263.68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IF([1]StocktransferLC!$P$21=1,(S24/[1]StocktransferLC!$S$24)*[1]StocktransferLC!$E$38,AD24/[1]StocktransferLC!$AD$24*[1]StocktransferLC!$E$38)</f>
        <v>0</v>
      </c>
      <c r="AI24" s="184">
        <f>SUM(AI23)</f>
        <v>42263.68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0"/>
      <c r="BS24" s="190"/>
      <c r="BT24" s="190"/>
      <c r="BU24" s="190"/>
      <c r="BV24" s="191"/>
      <c r="BW24" s="190"/>
      <c r="BX24" s="192"/>
      <c r="BY24" s="190"/>
      <c r="BZ24" s="190"/>
      <c r="CA24" s="193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45600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93"/>
      <c r="BS26" s="190"/>
      <c r="BT26" s="190"/>
      <c r="BU26" s="190"/>
      <c r="BV26" s="191"/>
      <c r="BW26" s="190"/>
      <c r="BX26" s="194"/>
      <c r="BY26" s="190"/>
      <c r="BZ26" s="190"/>
      <c r="CA26" s="193"/>
    </row>
    <row r="27" spans="1:7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3336.32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42263.68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7607.46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49871.14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BQ38"/>
  <sheetViews>
    <sheetView topLeftCell="A19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>
        <v>239</v>
      </c>
      <c r="AV23" t="s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564</v>
      </c>
      <c r="BN23" t="s">
        <v>563</v>
      </c>
      <c r="BO23" s="175">
        <f>ROUND((((AW23*AZ23)+(BN23*BM23))/(AW23+BN23)),5)</f>
        <v>475.56932</v>
      </c>
      <c r="BP23" s="87">
        <f>BN23+AW23</f>
        <v>44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500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24.65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475.35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85.56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560.91000000000008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BQ38"/>
  <sheetViews>
    <sheetView topLeftCell="BL16" workbookViewId="0">
      <selection activeCell="BP24" sqref="BP24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0.5703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0" t="s">
        <v>47</v>
      </c>
      <c r="B2" s="210"/>
      <c r="C2" s="210"/>
      <c r="D2" s="210"/>
      <c r="E2" s="210"/>
      <c r="F2" s="210"/>
      <c r="G2" s="210"/>
      <c r="H2" s="21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223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565</v>
      </c>
      <c r="AT23" s="175" t="s">
        <v>58</v>
      </c>
      <c r="AU23" t="s">
        <v>239</v>
      </c>
      <c r="AV23" t="s">
        <v>567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566</v>
      </c>
      <c r="BM23" t="s">
        <v>568</v>
      </c>
      <c r="BN23" t="s">
        <v>255</v>
      </c>
      <c r="BO23" s="175">
        <f>ROUND((((AW23*AZ23)+(BN23*BM23))/(AW23+BN23)),5)</f>
        <v>421.64285999999998</v>
      </c>
      <c r="BP23" s="87">
        <f>BN23+AW23</f>
        <v>7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19.75</v>
      </c>
      <c r="S24" s="180">
        <f>SUM(S23)</f>
        <v>480.25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86.45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86.45</v>
      </c>
      <c r="AC24" s="183">
        <f t="shared" si="1"/>
        <v>480.25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480.25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480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500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19.75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480.25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86.45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566.70000000000005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B28" sqref="B2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6" t="s">
        <v>154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8" t="s">
        <v>89</v>
      </c>
      <c r="B21" s="30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>
        <v>239</v>
      </c>
      <c r="AV23" t="s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561</v>
      </c>
      <c r="BN23" t="s">
        <v>560</v>
      </c>
      <c r="BO23" s="175">
        <f>ROUND((((AW23*AZ23)+(BN23*BM23))/(AW23+BN23)),5)</f>
        <v>475.83249000000001</v>
      </c>
      <c r="BP23" s="87">
        <f>BN23+AW23</f>
        <v>20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99" t="s">
        <v>194</v>
      </c>
      <c r="H26" s="300"/>
      <c r="I26" s="301">
        <f>H24</f>
        <v>500</v>
      </c>
      <c r="J26" s="301"/>
      <c r="K26" s="185"/>
      <c r="L26" s="137"/>
      <c r="M26" s="303" t="s">
        <v>195</v>
      </c>
      <c r="N26" s="304"/>
      <c r="O26" s="304"/>
      <c r="P26" s="305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99" t="s">
        <v>196</v>
      </c>
      <c r="H27" s="300"/>
      <c r="I27" s="301">
        <f>R24</f>
        <v>24.65</v>
      </c>
      <c r="J27" s="301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99" t="s">
        <v>197</v>
      </c>
      <c r="H28" s="300"/>
      <c r="I28" s="301">
        <f>S24</f>
        <v>475.35</v>
      </c>
      <c r="J28" s="301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99" t="s">
        <v>198</v>
      </c>
      <c r="H29" s="300"/>
      <c r="I29" s="301">
        <f>AB24</f>
        <v>85.56</v>
      </c>
      <c r="J29" s="301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99" t="s">
        <v>199</v>
      </c>
      <c r="H30" s="300"/>
      <c r="I30" s="302">
        <f>I28+I29</f>
        <v>560.91000000000008</v>
      </c>
      <c r="J30" s="30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17" sqref="D1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309" t="s">
        <v>46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08" t="s">
        <v>89</v>
      </c>
      <c r="B21" s="30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42.18</v>
      </c>
      <c r="W23" s="170">
        <f>IF($C$21=1,ROUND(((S23*U23)/2),2),0)</f>
        <v>42.18</v>
      </c>
      <c r="X23" s="170">
        <f>IF($C$21=2,ROUND(((S23*U23)),2),0)</f>
        <v>0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>
        <v>223</v>
      </c>
      <c r="AV23" t="s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>
        <v>225</v>
      </c>
      <c r="BN23" t="s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42.18</v>
      </c>
      <c r="W24" s="208">
        <f t="shared" si="5"/>
        <v>42.18</v>
      </c>
      <c r="X24" s="208">
        <f t="shared" si="5"/>
        <v>0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BR25"/>
  <sheetViews>
    <sheetView topLeftCell="BL13" workbookViewId="0">
      <selection activeCell="BT23" sqref="BT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309" t="s">
        <v>46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07" t="s">
        <v>87</v>
      </c>
      <c r="C19" s="307"/>
      <c r="D19" s="307"/>
      <c r="E19" s="307"/>
      <c r="F19" s="307"/>
      <c r="G19" s="307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08" t="s">
        <v>89</v>
      </c>
      <c r="B21" s="30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84.36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>
        <v>223</v>
      </c>
      <c r="AV23" t="s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>
        <v>225</v>
      </c>
      <c r="BN23" t="s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0</v>
      </c>
      <c r="W24" s="208">
        <f t="shared" si="5"/>
        <v>0</v>
      </c>
      <c r="X24" s="208">
        <f t="shared" si="5"/>
        <v>84.36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134</vt:i4>
      </vt:variant>
    </vt:vector>
  </HeadingPairs>
  <TitlesOfParts>
    <vt:vector size="134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StockTransferAddLocalEXURITR</vt:lpstr>
      <vt:lpstr>StockTransferAddInterEXUR</vt:lpstr>
      <vt:lpstr>StockTransferAddLocalEXUR</vt:lpstr>
      <vt:lpstr>StockTransferIGSTEXPWRCM</vt:lpstr>
      <vt:lpstr>StockTransferIGSTEXP</vt:lpstr>
      <vt:lpstr>StockTransferAddLocalEXIGST</vt:lpstr>
      <vt:lpstr>StockTransferAddDCTIS</vt:lpstr>
      <vt:lpstr>STUNRIGST</vt:lpstr>
      <vt:lpstr>STUNRLocalToIgst</vt:lpstr>
      <vt:lpstr>STUNRLocal</vt:lpstr>
      <vt:lpstr>STIGSTWEXPRCM</vt:lpstr>
      <vt:lpstr>StockTransferAddLocalEXDCTRCM</vt:lpstr>
      <vt:lpstr>StockTransferDomURSU</vt:lpstr>
      <vt:lpstr>StockTransferDomURLF</vt:lpstr>
      <vt:lpstr>StockTransferDomRegUT</vt:lpstr>
      <vt:lpstr>StockTransferDomRegSezUnit</vt:lpstr>
      <vt:lpstr>StockTransferAddLocalFright</vt:lpstr>
      <vt:lpstr>StockTransferAddLocalEXDCT</vt:lpstr>
      <vt:lpstr>StockTransferAddLocalEX</vt:lpstr>
      <vt:lpstr>StocktransferInterstate</vt:lpstr>
      <vt:lpstr>StocktransferISForRCM</vt:lpstr>
      <vt:lpstr>StocktransferLCRCM</vt:lpstr>
      <vt:lpstr>StocktransferURSEZ</vt:lpstr>
      <vt:lpstr>StocktransferURLF</vt:lpstr>
      <vt:lpstr>StocktransferLocalURUT</vt:lpstr>
      <vt:lpstr>StocktransferLocalWFUT</vt:lpstr>
      <vt:lpstr>StocktransferLocalWFSEZ</vt:lpstr>
      <vt:lpstr>StocktransferNRUT</vt:lpstr>
      <vt:lpstr>StocktransferNRLF</vt:lpstr>
      <vt:lpstr>StocktransferCPUT</vt:lpstr>
      <vt:lpstr>StocktransferLocalFrightCP</vt:lpstr>
      <vt:lpstr>StocktransferLocalCPSup</vt:lpstr>
      <vt:lpstr>StocktransferUTComSup</vt:lpstr>
      <vt:lpstr>StocktransferIntrerComSup</vt:lpstr>
      <vt:lpstr>StocktransferLocalComSup</vt:lpstr>
      <vt:lpstr>StocktransferLocalComFright</vt:lpstr>
      <vt:lpstr>StocktransferLocalWF</vt:lpstr>
      <vt:lpstr>StocktransferLC</vt:lpstr>
      <vt:lpstr>StocktransferAddItemWithEx</vt:lpstr>
      <vt:lpstr>StocktransferURINTR</vt:lpstr>
      <vt:lpstr>StocktransferIntrUR</vt:lpstr>
      <vt:lpstr>StocktransferUR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2026-04-22T13:00:51Z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