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externalLinks/externalLink1.xml" ContentType="application/vnd.openxmlformats-officedocument.spreadsheetml.externalLink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29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0" windowWidth="19200" windowHeight="6915" tabRatio="769" firstSheet="119" activeTab="127"/>
  </bookViews>
  <sheets>
    <sheet name="test" sheetId="1" r:id="rId1"/>
    <sheet name="DBDetails2" sheetId="2" r:id="rId2"/>
    <sheet name="Sheet3" sheetId="3" r:id="rId3"/>
    <sheet name="Sheet1" sheetId="4" r:id="rId4"/>
    <sheet name="Sheet4" sheetId="5" r:id="rId5"/>
    <sheet name="POSER" sheetId="6" r:id="rId6"/>
    <sheet name="POGENUD" sheetId="7" r:id="rId7"/>
    <sheet name="ToleranceQty" sheetId="33" r:id="rId8"/>
    <sheet name="FreePassDirectGRNUserDefined" sheetId="40" r:id="rId9"/>
    <sheet name="FreePassDirectRateSer" sheetId="44" r:id="rId10"/>
    <sheet name="POwithGrnWithoutQualityEnabImp" sheetId="100" r:id="rId11"/>
    <sheet name="POwithGrnWithoutQualityEnabled" sheetId="23" r:id="rId12"/>
    <sheet name="PriceListGenWOQE" sheetId="27" r:id="rId13"/>
    <sheet name="POWithRateContractGen" sheetId="8" r:id="rId14"/>
    <sheet name="POwithoutQualityRateGen" sheetId="25" r:id="rId15"/>
    <sheet name="PriceListMaterial" sheetId="28" r:id="rId16"/>
    <sheet name="POwithRateContractMat" sheetId="9" r:id="rId17"/>
    <sheet name="POMATUD" sheetId="10" r:id="rId18"/>
    <sheet name="PurchaseWithImportSupplier" sheetId="62" r:id="rId19"/>
    <sheet name="STRateContract" sheetId="13" r:id="rId20"/>
    <sheet name="StockTransferItemGeneralType" sheetId="14" r:id="rId21"/>
    <sheet name="FreePassUdRateSer" sheetId="37" r:id="rId22"/>
    <sheet name="FreePassDirectGRNSerUserDefined" sheetId="42" r:id="rId23"/>
    <sheet name="FreePassDirectGRNRateGen" sheetId="43" r:id="rId24"/>
    <sheet name="FreePassDirectPriceListGen" sheetId="45" r:id="rId25"/>
    <sheet name="FreePassDirectGRNPriceListSer" sheetId="46" r:id="rId26"/>
    <sheet name="RateContractSer" sheetId="11" r:id="rId27"/>
    <sheet name="PriceListItemGen" sheetId="12" r:id="rId28"/>
    <sheet name="FreePassUdGen" sheetId="34" r:id="rId29"/>
    <sheet name="FreePassUDRatContract" sheetId="36" r:id="rId30"/>
    <sheet name="FreePassGenPrice" sheetId="38" r:id="rId31"/>
    <sheet name="StockTransferFreePassUD" sheetId="57" r:id="rId32"/>
    <sheet name="FreePassUdService" sheetId="35" r:id="rId33"/>
    <sheet name="FreePassSerPrice" sheetId="39" r:id="rId34"/>
    <sheet name="PriceListItemSer" sheetId="15" r:id="rId35"/>
    <sheet name="StockTransferPriceList" sheetId="16" r:id="rId36"/>
    <sheet name="StockTransferPOUserDefined" sheetId="54" r:id="rId37"/>
    <sheet name="StockTransferSameRateContract" sheetId="59" r:id="rId38"/>
    <sheet name="DifferentUOMUD" sheetId="18" r:id="rId39"/>
    <sheet name="DirectGrnDifFreePassRateContGen" sheetId="47" r:id="rId40"/>
    <sheet name="DirectgrndiffFreePassPricelistG" sheetId="48" r:id="rId41"/>
    <sheet name="DirectPOWithFreePassItem" sheetId="49" r:id="rId42"/>
    <sheet name="StockTransferRateDifferent" sheetId="51" r:id="rId43"/>
    <sheet name="DirectPOPriceListFreePassGRN" sheetId="50" r:id="rId44"/>
    <sheet name="StocktransferPriceListDifferent" sheetId="52" r:id="rId45"/>
    <sheet name="PoToGrnRateContractGenWQE" sheetId="31" r:id="rId46"/>
    <sheet name="PotoGRNDiffUOMPriceListGenWQE" sheetId="32" r:id="rId47"/>
    <sheet name="PoToGrnDifferentUomGenWOQE" sheetId="30" r:id="rId48"/>
    <sheet name="DifferentUOMRateGen" sheetId="21" r:id="rId49"/>
    <sheet name="StockTransferUDFreePass" sheetId="69" r:id="rId50"/>
    <sheet name="StockTransferRCFreePass" sheetId="68" r:id="rId51"/>
    <sheet name="StockTransferPricelistFreePass" sheetId="53" r:id="rId52"/>
    <sheet name="DifferentUOMPriceListGen" sheetId="29" r:id="rId53"/>
    <sheet name="StockTransferUDDifferentUOM" sheetId="67" r:id="rId54"/>
    <sheet name="DifferentUOMMATUD" sheetId="19" r:id="rId55"/>
    <sheet name="DifferentUOMStocktransferUD" sheetId="20" r:id="rId56"/>
    <sheet name="DifferentUOMRateMat" sheetId="22" r:id="rId57"/>
    <sheet name="POwithGrnWithoutQEMaterial" sheetId="24" r:id="rId58"/>
    <sheet name="POwithoutQualityRateMat" sheetId="26" r:id="rId59"/>
    <sheet name="StockTransferPORateContract" sheetId="55" r:id="rId60"/>
    <sheet name="StockTransferPOpriceList" sheetId="56" r:id="rId61"/>
    <sheet name="StocktransferPriceListPO" sheetId="58" r:id="rId62"/>
    <sheet name="TvsMrvApplicationControl" sheetId="60" r:id="rId63"/>
    <sheet name="MrvLineWiseCancel" sheetId="61" r:id="rId64"/>
    <sheet name="LocalUnregisterSuplier" sheetId="63" r:id="rId65"/>
    <sheet name="InterstateSupplierUnregister" sheetId="64" r:id="rId66"/>
    <sheet name="CESS" sheetId="66" r:id="rId67"/>
    <sheet name="WithoutDiscount" sheetId="65" r:id="rId68"/>
    <sheet name="ImportDirectGRNUDGeneralSameUOM" sheetId="70" r:id="rId69"/>
    <sheet name="ImportDirectGRNUDGeneralDiffUOM" sheetId="80" r:id="rId70"/>
    <sheet name="ImportDirectGRNUDServiceSameUOM" sheetId="71" r:id="rId71"/>
    <sheet name="ImportDirectGRNRCGeneralSameUOM" sheetId="72" r:id="rId72"/>
    <sheet name="ImportDirectGRNRCGeneralDiffUOM" sheetId="77" r:id="rId73"/>
    <sheet name="ImportDirectGRNRCServiceSameUOM" sheetId="73" r:id="rId74"/>
    <sheet name="ImportDirectGRNPLGeneralSameUOM" sheetId="74" r:id="rId75"/>
    <sheet name="ImportDirectGRNPLGeneralDiffUOM" sheetId="78" r:id="rId76"/>
    <sheet name="ImportDirectGRNPLServiceSameUOM" sheetId="75" r:id="rId77"/>
    <sheet name="LandedCostDB" sheetId="81" r:id="rId78"/>
    <sheet name="LandedCostWTDS" sheetId="82" r:id="rId79"/>
    <sheet name="LandedCostWTDSandESI" sheetId="83" r:id="rId80"/>
    <sheet name="LandedCostHSNCHanged" sheetId="84" r:id="rId81"/>
    <sheet name="LandedCostAdditem" sheetId="85" r:id="rId82"/>
    <sheet name="LandedCostAddition" sheetId="86" r:id="rId83"/>
    <sheet name="LandedCostDeduction" sheetId="87" r:id="rId84"/>
    <sheet name="RoundOFValue" sheetId="88" r:id="rId85"/>
    <sheet name="StocktransferAddItem" sheetId="89" r:id="rId86"/>
    <sheet name="StockTransferAddLocalRCM" sheetId="90" r:id="rId87"/>
    <sheet name="StockTransferAddLocalEXToIGST" sheetId="91" r:id="rId88"/>
    <sheet name="StockTransferAddIterstateEXWRCM" sheetId="92" r:id="rId89"/>
    <sheet name="StockTransferAddIterstateEX" sheetId="93" r:id="rId90"/>
    <sheet name="StockTransferAddLocalEXURITR" sheetId="105" r:id="rId91"/>
    <sheet name="StockTransferAddInterEXUR" sheetId="108" r:id="rId92"/>
    <sheet name="StockTransferAddLocalEXUR" sheetId="102" r:id="rId93"/>
    <sheet name="StockTransferIGSTEXPWRCM" sheetId="129" r:id="rId94"/>
    <sheet name="StockTransferIGSTEXP" sheetId="128" r:id="rId95"/>
    <sheet name="StockTransferAddLocalEXIGST" sheetId="125" r:id="rId96"/>
    <sheet name="StockTransferAddDCTIS" sheetId="127" r:id="rId97"/>
    <sheet name="STUNRIGST" sheetId="133" r:id="rId98"/>
    <sheet name="STUNRLocalToIgst" sheetId="132" r:id="rId99"/>
    <sheet name="STUNRLocal" sheetId="131" r:id="rId100"/>
    <sheet name="STIGSTWEXPRCM" sheetId="130" r:id="rId101"/>
    <sheet name="StockTransferAddLocalEXDCTRCM" sheetId="126" r:id="rId102"/>
    <sheet name="StockTransferDomURSU" sheetId="138" r:id="rId103"/>
    <sheet name="StockTransferDomURLF" sheetId="137" r:id="rId104"/>
    <sheet name="StockTransferDomRegUT" sheetId="136" r:id="rId105"/>
    <sheet name="StockTransferDomRegSezUnit" sheetId="135" r:id="rId106"/>
    <sheet name="StockTransferAddLocalFright" sheetId="134" r:id="rId107"/>
    <sheet name="StockTransferAddLocalEXDCT" sheetId="124" r:id="rId108"/>
    <sheet name="StockTransferAddLocalEX" sheetId="94" r:id="rId109"/>
    <sheet name="StocktransferInterstate" sheetId="95" r:id="rId110"/>
    <sheet name="StocktransferISForRCM" sheetId="96" r:id="rId111"/>
    <sheet name="StocktransferLCRCM" sheetId="99" r:id="rId112"/>
    <sheet name="StocktransferURSEZ" sheetId="113" r:id="rId113"/>
    <sheet name="StocktransferURLF" sheetId="112" r:id="rId114"/>
    <sheet name="StocktransferLocalURUT" sheetId="114" r:id="rId115"/>
    <sheet name="StocktransferLocalWFUT" sheetId="111" r:id="rId116"/>
    <sheet name="StocktransferLocalWFSEZ" sheetId="110" r:id="rId117"/>
    <sheet name="StocktransferNRUT" sheetId="123" r:id="rId118"/>
    <sheet name="StocktransferNRLF" sheetId="122" r:id="rId119"/>
    <sheet name="StocktransferCPUT" sheetId="121" r:id="rId120"/>
    <sheet name="StocktransferLocalFrightCP" sheetId="120" r:id="rId121"/>
    <sheet name="StocktransferLocalCPSup" sheetId="119" r:id="rId122"/>
    <sheet name="StocktransferUTComSup" sheetId="118" r:id="rId123"/>
    <sheet name="StocktransferIntrerComSup" sheetId="117" r:id="rId124"/>
    <sheet name="StocktransferLocalComSup" sheetId="116" r:id="rId125"/>
    <sheet name="StocktransferLocalComFright" sheetId="115" r:id="rId126"/>
    <sheet name="StocktransferLocalWF" sheetId="109" r:id="rId127"/>
    <sheet name="StocktransferLC" sheetId="97" r:id="rId128"/>
    <sheet name="StocktransferAddItemWithEx" sheetId="98" r:id="rId129"/>
    <sheet name="StocktransferURINTR" sheetId="106" r:id="rId130"/>
    <sheet name="StocktransferIntrUR" sheetId="107" r:id="rId131"/>
    <sheet name="StocktransferUR" sheetId="101" r:id="rId132"/>
    <sheet name="poSerPurbills" sheetId="103" r:id="rId133"/>
    <sheet name="PoSerPurBillsInterstate" sheetId="104" r:id="rId134"/>
  </sheets>
  <externalReferences>
    <externalReference r:id="rId135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26" i="93"/>
  <c r="BM37"/>
  <c r="BN36"/>
  <c r="BM36"/>
  <c r="AD28"/>
  <c r="AE27" s="1"/>
  <c r="AE28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AM25"/>
  <c r="AW25" s="1"/>
  <c r="AY25" s="1"/>
  <c r="AK25"/>
  <c r="Y25"/>
  <c r="CS25" s="1"/>
  <c r="H25"/>
  <c r="L25" s="1"/>
  <c r="M25" s="1"/>
  <c r="AM24"/>
  <c r="AW24" s="1"/>
  <c r="AK24"/>
  <c r="AG24"/>
  <c r="Y24"/>
  <c r="CS24" s="1"/>
  <c r="H24"/>
  <c r="L24" s="1"/>
  <c r="M24" s="1"/>
  <c r="DB23"/>
  <c r="CU23"/>
  <c r="CX23" s="1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0"/>
  <c r="BN36"/>
  <c r="BM36"/>
  <c r="AD28"/>
  <c r="AG27" s="1"/>
  <c r="Z28"/>
  <c r="AM27"/>
  <c r="AW27" s="1"/>
  <c r="AK27"/>
  <c r="Y27"/>
  <c r="CS27" s="1"/>
  <c r="X27"/>
  <c r="CR27" s="1"/>
  <c r="H27"/>
  <c r="H28" s="1"/>
  <c r="I30" s="1"/>
  <c r="AM26"/>
  <c r="AW26" s="1"/>
  <c r="AK26"/>
  <c r="AE26"/>
  <c r="Y26"/>
  <c r="CS26" s="1"/>
  <c r="X26"/>
  <c r="CR26" s="1"/>
  <c r="H26"/>
  <c r="AM25"/>
  <c r="AW25" s="1"/>
  <c r="AK25"/>
  <c r="Y25"/>
  <c r="CS25" s="1"/>
  <c r="X25"/>
  <c r="CR25" s="1"/>
  <c r="H25"/>
  <c r="L25" s="1"/>
  <c r="M25" s="1"/>
  <c r="AM24"/>
  <c r="AW24" s="1"/>
  <c r="AK24"/>
  <c r="AH24"/>
  <c r="Y24"/>
  <c r="CS24" s="1"/>
  <c r="X24"/>
  <c r="CR24" s="1"/>
  <c r="H24"/>
  <c r="L24" s="1"/>
  <c r="M24" s="1"/>
  <c r="DB23"/>
  <c r="CU23"/>
  <c r="CX23" s="1"/>
  <c r="AM23"/>
  <c r="AW23" s="1"/>
  <c r="BP23" s="1"/>
  <c r="AK23"/>
  <c r="Y23"/>
  <c r="CS23" s="1"/>
  <c r="X23"/>
  <c r="H23"/>
  <c r="H18"/>
  <c r="H17"/>
  <c r="H16"/>
  <c r="H15"/>
  <c r="H14"/>
  <c r="H13"/>
  <c r="H12"/>
  <c r="H11"/>
  <c r="H10"/>
  <c r="H9"/>
  <c r="H8"/>
  <c r="H7"/>
  <c r="H6"/>
  <c r="H5"/>
  <c r="H4"/>
  <c r="DB23" i="125"/>
  <c r="BM37" i="97"/>
  <c r="BN36"/>
  <c r="BM36"/>
  <c r="AD28"/>
  <c r="AH23" s="1"/>
  <c r="Z28"/>
  <c r="AM27"/>
  <c r="AW27" s="1"/>
  <c r="AK27"/>
  <c r="AK28" s="1"/>
  <c r="Y27"/>
  <c r="Y28" s="1"/>
  <c r="H27"/>
  <c r="H28" s="1"/>
  <c r="I30" s="1"/>
  <c r="AM26"/>
  <c r="AW26" s="1"/>
  <c r="AK26"/>
  <c r="Y26"/>
  <c r="CS26" s="1"/>
  <c r="H26"/>
  <c r="L26" s="1"/>
  <c r="M26" s="1"/>
  <c r="AM25"/>
  <c r="AW25" s="1"/>
  <c r="AY25" s="1"/>
  <c r="AK25"/>
  <c r="Y25"/>
  <c r="CS25" s="1"/>
  <c r="H25"/>
  <c r="AM24"/>
  <c r="AW24" s="1"/>
  <c r="AY24" s="1"/>
  <c r="AK24"/>
  <c r="Y24"/>
  <c r="CS24" s="1"/>
  <c r="H24"/>
  <c r="AM23"/>
  <c r="AW23" s="1"/>
  <c r="AY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CU23" i="85"/>
  <c r="BM33" i="84"/>
  <c r="BN32"/>
  <c r="BM32"/>
  <c r="AX24"/>
  <c r="AW24"/>
  <c r="AD24"/>
  <c r="AG23" s="1"/>
  <c r="AG24" s="1"/>
  <c r="Z24"/>
  <c r="AM23"/>
  <c r="AW23" s="1"/>
  <c r="AK23"/>
  <c r="AK24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E23" i="93" l="1"/>
  <c r="AG25"/>
  <c r="AJ25" s="1"/>
  <c r="AO25" s="1"/>
  <c r="AH23" i="90"/>
  <c r="AE24"/>
  <c r="AH25"/>
  <c r="AG26" i="93"/>
  <c r="AE23" i="90"/>
  <c r="AE25"/>
  <c r="AH26"/>
  <c r="AH23" i="93"/>
  <c r="AJ23" s="1"/>
  <c r="AO23" s="1"/>
  <c r="AE27" i="90"/>
  <c r="AE28" s="1"/>
  <c r="AH27" i="93"/>
  <c r="AY25" i="90"/>
  <c r="BP25"/>
  <c r="AP24"/>
  <c r="AP25"/>
  <c r="AG26"/>
  <c r="AJ26" s="1"/>
  <c r="AO26" s="1"/>
  <c r="AH27"/>
  <c r="AJ27" s="1"/>
  <c r="AJ28" s="1"/>
  <c r="AG24"/>
  <c r="AJ24" s="1"/>
  <c r="AO24" s="1"/>
  <c r="AG25"/>
  <c r="AJ25" s="1"/>
  <c r="AO25" s="1"/>
  <c r="AH28"/>
  <c r="AH28" i="93"/>
  <c r="AG23" i="90"/>
  <c r="AG23" i="93"/>
  <c r="AE24"/>
  <c r="AH25"/>
  <c r="AH26"/>
  <c r="AE25"/>
  <c r="AE26"/>
  <c r="AP27" i="90"/>
  <c r="H19"/>
  <c r="AK28"/>
  <c r="CZ23"/>
  <c r="L27"/>
  <c r="M27" s="1"/>
  <c r="N27" s="1"/>
  <c r="O27" s="1"/>
  <c r="AY26"/>
  <c r="BP26"/>
  <c r="AG28"/>
  <c r="Y28"/>
  <c r="BM40"/>
  <c r="BN40" s="1"/>
  <c r="AP26"/>
  <c r="AP23"/>
  <c r="AH24" i="93"/>
  <c r="AJ24" s="1"/>
  <c r="AO24" s="1"/>
  <c r="AP25"/>
  <c r="BM40"/>
  <c r="BN40" s="1"/>
  <c r="AP24"/>
  <c r="AJ26"/>
  <c r="AO26" s="1"/>
  <c r="N27"/>
  <c r="H19"/>
  <c r="AP26"/>
  <c r="AG27"/>
  <c r="AP23"/>
  <c r="N25"/>
  <c r="BP27"/>
  <c r="AY27"/>
  <c r="N23"/>
  <c r="BP24"/>
  <c r="AY24"/>
  <c r="BP25"/>
  <c r="L26"/>
  <c r="M26" s="1"/>
  <c r="CZ23"/>
  <c r="BP26"/>
  <c r="AP27"/>
  <c r="BP23"/>
  <c r="H28"/>
  <c r="I30" s="1"/>
  <c r="N24"/>
  <c r="CS27"/>
  <c r="X28" i="90"/>
  <c r="L23"/>
  <c r="M23" s="1"/>
  <c r="N23" s="1"/>
  <c r="AJ23"/>
  <c r="AO23" s="1"/>
  <c r="N25"/>
  <c r="BP24"/>
  <c r="AY24"/>
  <c r="CR23"/>
  <c r="AY23"/>
  <c r="AY27"/>
  <c r="N24"/>
  <c r="L26"/>
  <c r="M26" s="1"/>
  <c r="BP27"/>
  <c r="AP25" i="97"/>
  <c r="AG23"/>
  <c r="AJ23" s="1"/>
  <c r="AO23" s="1"/>
  <c r="AH24"/>
  <c r="AE23"/>
  <c r="AG24"/>
  <c r="AH25"/>
  <c r="AH26"/>
  <c r="AE24"/>
  <c r="AG25"/>
  <c r="AG26"/>
  <c r="AH27"/>
  <c r="AE25"/>
  <c r="AE26"/>
  <c r="AG27"/>
  <c r="AG28" s="1"/>
  <c r="AE27"/>
  <c r="AE28" s="1"/>
  <c r="AH28"/>
  <c r="AP23" i="84"/>
  <c r="BM36"/>
  <c r="BN36" s="1"/>
  <c r="AE23"/>
  <c r="AE24" s="1"/>
  <c r="AH23"/>
  <c r="AJ23" s="1"/>
  <c r="AH24"/>
  <c r="AP23" i="97"/>
  <c r="L27"/>
  <c r="M27" s="1"/>
  <c r="N27" s="1"/>
  <c r="BM40"/>
  <c r="BN40" s="1"/>
  <c r="AP26"/>
  <c r="H19" i="84"/>
  <c r="X24"/>
  <c r="H19" i="97"/>
  <c r="AP24"/>
  <c r="AY26"/>
  <c r="BP26"/>
  <c r="AY27"/>
  <c r="BP23"/>
  <c r="L24"/>
  <c r="M24" s="1"/>
  <c r="N24" s="1"/>
  <c r="N26"/>
  <c r="CS27"/>
  <c r="BP24"/>
  <c r="L25"/>
  <c r="M25" s="1"/>
  <c r="N23"/>
  <c r="BP25"/>
  <c r="AP27"/>
  <c r="BP27"/>
  <c r="CZ23" i="85"/>
  <c r="AY23" i="84"/>
  <c r="BP23"/>
  <c r="N23"/>
  <c r="Y24"/>
  <c r="H24"/>
  <c r="I26" s="1"/>
  <c r="AJ27" i="97" l="1"/>
  <c r="AJ28" s="1"/>
  <c r="P27" i="90"/>
  <c r="Q27" s="1"/>
  <c r="R27" s="1"/>
  <c r="S27" s="1"/>
  <c r="AO27"/>
  <c r="AJ25" i="97"/>
  <c r="AO25" s="1"/>
  <c r="AJ26"/>
  <c r="AO26" s="1"/>
  <c r="O27" i="93"/>
  <c r="P27" s="1"/>
  <c r="Q27" s="1"/>
  <c r="AG28"/>
  <c r="AJ27"/>
  <c r="O25"/>
  <c r="P25" s="1"/>
  <c r="Q25" s="1"/>
  <c r="N26"/>
  <c r="O23"/>
  <c r="P23" s="1"/>
  <c r="Q23" s="1"/>
  <c r="O24"/>
  <c r="O23" i="90"/>
  <c r="P23" s="1"/>
  <c r="Q23" s="1"/>
  <c r="R23" s="1"/>
  <c r="S23" s="1"/>
  <c r="V23" s="1"/>
  <c r="CP23" s="1"/>
  <c r="O25"/>
  <c r="O24"/>
  <c r="N26"/>
  <c r="AJ24" i="97"/>
  <c r="AO24" s="1"/>
  <c r="N25"/>
  <c r="O23"/>
  <c r="O26"/>
  <c r="P26" s="1"/>
  <c r="Q26" s="1"/>
  <c r="O24"/>
  <c r="O27"/>
  <c r="P27" s="1"/>
  <c r="Q27" s="1"/>
  <c r="AJ24" i="84"/>
  <c r="AO23"/>
  <c r="O23"/>
  <c r="AO27" i="97" l="1"/>
  <c r="W27" i="90"/>
  <c r="CQ27" s="1"/>
  <c r="AA27"/>
  <c r="CT27" s="1"/>
  <c r="AC27"/>
  <c r="AI27"/>
  <c r="AI28" s="1"/>
  <c r="R28"/>
  <c r="I31" s="1"/>
  <c r="S28"/>
  <c r="I32" s="1"/>
  <c r="V27"/>
  <c r="R27" i="93"/>
  <c r="S27" s="1"/>
  <c r="X27" s="1"/>
  <c r="CR27" s="1"/>
  <c r="AJ28"/>
  <c r="AO27"/>
  <c r="O26"/>
  <c r="P26" s="1"/>
  <c r="Q26" s="1"/>
  <c r="V27"/>
  <c r="W27"/>
  <c r="CQ27" s="1"/>
  <c r="P24"/>
  <c r="Q24" s="1"/>
  <c r="R24" s="1"/>
  <c r="S24" s="1"/>
  <c r="X24" s="1"/>
  <c r="CR24" s="1"/>
  <c r="R23"/>
  <c r="S23" s="1"/>
  <c r="X23" s="1"/>
  <c r="R25"/>
  <c r="S25" s="1"/>
  <c r="X25" s="1"/>
  <c r="CR25" s="1"/>
  <c r="AA23" i="90"/>
  <c r="CT23" s="1"/>
  <c r="AI23"/>
  <c r="AN23" s="1"/>
  <c r="AR23" s="1"/>
  <c r="AX23" s="1"/>
  <c r="AZ23" s="1"/>
  <c r="BO23" s="1"/>
  <c r="W23"/>
  <c r="CQ23" s="1"/>
  <c r="O26"/>
  <c r="P26" s="1"/>
  <c r="Q26" s="1"/>
  <c r="P25"/>
  <c r="Q25" s="1"/>
  <c r="R25" s="1"/>
  <c r="S25" s="1"/>
  <c r="P24"/>
  <c r="Q24" s="1"/>
  <c r="R24" s="1"/>
  <c r="S24" s="1"/>
  <c r="P24" i="97"/>
  <c r="Q24" s="1"/>
  <c r="R24" s="1"/>
  <c r="S24" s="1"/>
  <c r="O25"/>
  <c r="P23"/>
  <c r="Q23" s="1"/>
  <c r="R23" s="1"/>
  <c r="S23" s="1"/>
  <c r="R27"/>
  <c r="R26"/>
  <c r="S26" s="1"/>
  <c r="P23" i="84"/>
  <c r="Q23" s="1"/>
  <c r="R23" s="1"/>
  <c r="AN27" i="90" l="1"/>
  <c r="AR27" s="1"/>
  <c r="AX27" s="1"/>
  <c r="AZ27" s="1"/>
  <c r="BO27" s="1"/>
  <c r="AA28"/>
  <c r="AB27"/>
  <c r="CP27"/>
  <c r="AA27" i="93"/>
  <c r="CT27" s="1"/>
  <c r="S28"/>
  <c r="I32" s="1"/>
  <c r="R28"/>
  <c r="I31" s="1"/>
  <c r="AI27"/>
  <c r="CR23"/>
  <c r="V24"/>
  <c r="AX28"/>
  <c r="AI24"/>
  <c r="AN24" s="1"/>
  <c r="AR24" s="1"/>
  <c r="AX24" s="1"/>
  <c r="AZ24" s="1"/>
  <c r="BO24" s="1"/>
  <c r="CC24"/>
  <c r="AA24"/>
  <c r="CT24" s="1"/>
  <c r="W24"/>
  <c r="CQ24" s="1"/>
  <c r="R26"/>
  <c r="S26" s="1"/>
  <c r="X26" s="1"/>
  <c r="CR26" s="1"/>
  <c r="AA28"/>
  <c r="AI23"/>
  <c r="AN23" s="1"/>
  <c r="AR23" s="1"/>
  <c r="AX23" s="1"/>
  <c r="AZ23" s="1"/>
  <c r="BO23" s="1"/>
  <c r="V23"/>
  <c r="AA23"/>
  <c r="CT23" s="1"/>
  <c r="W23"/>
  <c r="AI28"/>
  <c r="AN27"/>
  <c r="AR27" s="1"/>
  <c r="AX27" s="1"/>
  <c r="AZ27" s="1"/>
  <c r="BO27" s="1"/>
  <c r="CP27"/>
  <c r="AB27"/>
  <c r="AC27" s="1"/>
  <c r="V25"/>
  <c r="W25"/>
  <c r="CQ25" s="1"/>
  <c r="AA25"/>
  <c r="CT25" s="1"/>
  <c r="AI25"/>
  <c r="AN25" s="1"/>
  <c r="AR25" s="1"/>
  <c r="AX25" s="1"/>
  <c r="AZ25" s="1"/>
  <c r="BO25" s="1"/>
  <c r="AB23" i="90"/>
  <c r="W25"/>
  <c r="CQ25" s="1"/>
  <c r="AI25"/>
  <c r="AN25" s="1"/>
  <c r="AR25" s="1"/>
  <c r="AX25" s="1"/>
  <c r="AZ25" s="1"/>
  <c r="BO25" s="1"/>
  <c r="AA25"/>
  <c r="CT25" s="1"/>
  <c r="V25"/>
  <c r="CP25" s="1"/>
  <c r="AA24"/>
  <c r="CT24" s="1"/>
  <c r="CC24"/>
  <c r="AX28"/>
  <c r="V24"/>
  <c r="CP24" s="1"/>
  <c r="W24"/>
  <c r="CQ24" s="1"/>
  <c r="AI24"/>
  <c r="AN24" s="1"/>
  <c r="AR24" s="1"/>
  <c r="AX24" s="1"/>
  <c r="AZ24" s="1"/>
  <c r="BO24" s="1"/>
  <c r="R26"/>
  <c r="S26" s="1"/>
  <c r="CC23" s="1"/>
  <c r="AC23"/>
  <c r="V26" i="97"/>
  <c r="W26"/>
  <c r="V24"/>
  <c r="W24"/>
  <c r="V23"/>
  <c r="W23"/>
  <c r="AA24"/>
  <c r="CT24" s="1"/>
  <c r="AI24"/>
  <c r="AN24" s="1"/>
  <c r="AR24" s="1"/>
  <c r="AX24" s="1"/>
  <c r="AZ24" s="1"/>
  <c r="BO24" s="1"/>
  <c r="X24"/>
  <c r="AX28"/>
  <c r="CC24"/>
  <c r="AA26"/>
  <c r="CT26" s="1"/>
  <c r="AI26"/>
  <c r="AN26" s="1"/>
  <c r="AR26" s="1"/>
  <c r="AX26" s="1"/>
  <c r="AZ26" s="1"/>
  <c r="BO26" s="1"/>
  <c r="X26"/>
  <c r="AA23"/>
  <c r="CT23" s="1"/>
  <c r="AI23"/>
  <c r="AN23" s="1"/>
  <c r="AR23" s="1"/>
  <c r="AX23" s="1"/>
  <c r="AZ23" s="1"/>
  <c r="BO23" s="1"/>
  <c r="X23"/>
  <c r="P25"/>
  <c r="Q25" s="1"/>
  <c r="R25" s="1"/>
  <c r="S25" s="1"/>
  <c r="R28"/>
  <c r="I31" s="1"/>
  <c r="S27"/>
  <c r="R24" i="84"/>
  <c r="I27" s="1"/>
  <c r="S23"/>
  <c r="BM33" i="83"/>
  <c r="BN32"/>
  <c r="BM32"/>
  <c r="AX24"/>
  <c r="AW24"/>
  <c r="AD24"/>
  <c r="AH23" s="1"/>
  <c r="Z24"/>
  <c r="AM23"/>
  <c r="AW23" s="1"/>
  <c r="AK23"/>
  <c r="AK24" s="1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H24" l="1"/>
  <c r="AE23"/>
  <c r="AE24" s="1"/>
  <c r="AG23"/>
  <c r="AJ23" s="1"/>
  <c r="CC23" i="93"/>
  <c r="AW28"/>
  <c r="X28"/>
  <c r="CC25" s="1"/>
  <c r="W26"/>
  <c r="CQ26" s="1"/>
  <c r="AI26"/>
  <c r="AN26" s="1"/>
  <c r="AR26" s="1"/>
  <c r="AX26" s="1"/>
  <c r="AZ26" s="1"/>
  <c r="BO26" s="1"/>
  <c r="AA26"/>
  <c r="CT26" s="1"/>
  <c r="V26"/>
  <c r="V28" s="1"/>
  <c r="CQ23"/>
  <c r="CP24"/>
  <c r="AB24"/>
  <c r="AC24" s="1"/>
  <c r="CP25"/>
  <c r="AB25"/>
  <c r="AC25" s="1"/>
  <c r="AB23"/>
  <c r="AC23" s="1"/>
  <c r="CP23"/>
  <c r="AI26" i="90"/>
  <c r="AN26" s="1"/>
  <c r="AR26" s="1"/>
  <c r="AX26" s="1"/>
  <c r="AZ26" s="1"/>
  <c r="BO26" s="1"/>
  <c r="AA26"/>
  <c r="CT26" s="1"/>
  <c r="V26"/>
  <c r="CP26" s="1"/>
  <c r="W26"/>
  <c r="CQ26" s="1"/>
  <c r="AB24"/>
  <c r="AB25"/>
  <c r="AC25" s="1"/>
  <c r="AW28"/>
  <c r="BM36" i="83"/>
  <c r="BN36" s="1"/>
  <c r="V25" i="97"/>
  <c r="W25"/>
  <c r="H19" i="83"/>
  <c r="Y24"/>
  <c r="AP23"/>
  <c r="S28" i="97"/>
  <c r="I32" s="1"/>
  <c r="V27"/>
  <c r="W27"/>
  <c r="CR26"/>
  <c r="AB26"/>
  <c r="AC26" s="1"/>
  <c r="CR23"/>
  <c r="AB23"/>
  <c r="AA25"/>
  <c r="CT25" s="1"/>
  <c r="AI25"/>
  <c r="AN25" s="1"/>
  <c r="AR25" s="1"/>
  <c r="AX25" s="1"/>
  <c r="AZ25" s="1"/>
  <c r="BO25" s="1"/>
  <c r="X25"/>
  <c r="AI27"/>
  <c r="X27"/>
  <c r="AA27"/>
  <c r="CR24"/>
  <c r="AB24"/>
  <c r="AC24" s="1"/>
  <c r="AW28"/>
  <c r="CC23"/>
  <c r="AA23" i="84"/>
  <c r="V23"/>
  <c r="W23"/>
  <c r="CC23"/>
  <c r="AI23"/>
  <c r="S24"/>
  <c r="I28" s="1"/>
  <c r="BP23" i="83"/>
  <c r="AY23"/>
  <c r="N23"/>
  <c r="H24"/>
  <c r="I26" s="1"/>
  <c r="AO23" l="1"/>
  <c r="AJ24"/>
  <c r="AG24"/>
  <c r="V28" i="90"/>
  <c r="CC25" s="1"/>
  <c r="CD28" s="1"/>
  <c r="W28"/>
  <c r="CC26" s="1"/>
  <c r="CD29" s="1"/>
  <c r="W28" i="93"/>
  <c r="CP26"/>
  <c r="AB26"/>
  <c r="AB28" i="90"/>
  <c r="I33" s="1"/>
  <c r="I34" s="1"/>
  <c r="AC24"/>
  <c r="AB26"/>
  <c r="AC26" s="1"/>
  <c r="W28" i="97"/>
  <c r="CC26" s="1"/>
  <c r="V28"/>
  <c r="CC25" s="1"/>
  <c r="CR25"/>
  <c r="AB25"/>
  <c r="AC25" s="1"/>
  <c r="AN27"/>
  <c r="AR27" s="1"/>
  <c r="AX27" s="1"/>
  <c r="AZ27" s="1"/>
  <c r="BO27" s="1"/>
  <c r="AI28"/>
  <c r="CR27"/>
  <c r="AB27"/>
  <c r="AC27" s="1"/>
  <c r="AC23"/>
  <c r="AA28"/>
  <c r="CT27"/>
  <c r="X28"/>
  <c r="CU23" s="1"/>
  <c r="CQ23" i="84"/>
  <c r="W24"/>
  <c r="CC25" s="1"/>
  <c r="AA24"/>
  <c r="CT23"/>
  <c r="V24"/>
  <c r="CC24" s="1"/>
  <c r="CP23"/>
  <c r="AB23"/>
  <c r="AN23"/>
  <c r="AR23" s="1"/>
  <c r="AX23" s="1"/>
  <c r="AZ23" s="1"/>
  <c r="BO23" s="1"/>
  <c r="AI24"/>
  <c r="O23" i="83"/>
  <c r="P23" s="1"/>
  <c r="Q23" s="1"/>
  <c r="BM33" i="82"/>
  <c r="BN32"/>
  <c r="BM32"/>
  <c r="AX24"/>
  <c r="AW24"/>
  <c r="AH24"/>
  <c r="AD24"/>
  <c r="AE23" s="1"/>
  <c r="AE24" s="1"/>
  <c r="Z24"/>
  <c r="AM23"/>
  <c r="AW23" s="1"/>
  <c r="AK23"/>
  <c r="AK24" s="1"/>
  <c r="Y23"/>
  <c r="CS23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1"/>
  <c r="BN32"/>
  <c r="BM32"/>
  <c r="AX24"/>
  <c r="AW24"/>
  <c r="AH24"/>
  <c r="AD24"/>
  <c r="AE23" s="1"/>
  <c r="AE24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8"/>
  <c r="BN32"/>
  <c r="BM32"/>
  <c r="AX24"/>
  <c r="AW24"/>
  <c r="AD24"/>
  <c r="AH24" s="1"/>
  <c r="Z24"/>
  <c r="AM23"/>
  <c r="AW23" s="1"/>
  <c r="AY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87"/>
  <c r="BN32"/>
  <c r="BM32"/>
  <c r="AX24"/>
  <c r="AW24"/>
  <c r="AD24"/>
  <c r="AG23" s="1"/>
  <c r="Z24"/>
  <c r="AM23"/>
  <c r="AW23" s="1"/>
  <c r="AY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86"/>
  <c r="BN32"/>
  <c r="BM32"/>
  <c r="AX24"/>
  <c r="AW24"/>
  <c r="AD24"/>
  <c r="AH24" s="1"/>
  <c r="Z24"/>
  <c r="AM23"/>
  <c r="AW23" s="1"/>
  <c r="AY23" s="1"/>
  <c r="AK23"/>
  <c r="AK24" s="1"/>
  <c r="Y23"/>
  <c r="Y24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Z25" i="85"/>
  <c r="AD25"/>
  <c r="AG23" s="1"/>
  <c r="BM34"/>
  <c r="BN33"/>
  <c r="BM33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8"/>
  <c r="BN36"/>
  <c r="BM36"/>
  <c r="AD28"/>
  <c r="AE27" s="1"/>
  <c r="AE28" s="1"/>
  <c r="Z28"/>
  <c r="AM27"/>
  <c r="AW27" s="1"/>
  <c r="Y27"/>
  <c r="Y28" s="1"/>
  <c r="X27"/>
  <c r="H27"/>
  <c r="H28" s="1"/>
  <c r="I30" s="1"/>
  <c r="AM26"/>
  <c r="AW26" s="1"/>
  <c r="AY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AM23"/>
  <c r="AW23" s="1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7"/>
  <c r="BN36"/>
  <c r="BM36"/>
  <c r="AD28"/>
  <c r="AH28" s="1"/>
  <c r="Z28"/>
  <c r="AM27"/>
  <c r="Y27"/>
  <c r="Y28" s="1"/>
  <c r="X27"/>
  <c r="CR27" s="1"/>
  <c r="H27"/>
  <c r="H28" s="1"/>
  <c r="I30" s="1"/>
  <c r="AM26"/>
  <c r="AW26" s="1"/>
  <c r="Y26"/>
  <c r="X26"/>
  <c r="CR26" s="1"/>
  <c r="H26"/>
  <c r="AM25"/>
  <c r="AW25" s="1"/>
  <c r="AY25" s="1"/>
  <c r="AK25"/>
  <c r="Y25"/>
  <c r="CS25" s="1"/>
  <c r="X25"/>
  <c r="CR25" s="1"/>
  <c r="H25"/>
  <c r="AM24"/>
  <c r="AW24" s="1"/>
  <c r="Y24"/>
  <c r="CS24" s="1"/>
  <c r="X24"/>
  <c r="CR24" s="1"/>
  <c r="H24"/>
  <c r="L24" s="1"/>
  <c r="M24" s="1"/>
  <c r="N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6"/>
  <c r="BN36"/>
  <c r="BM36"/>
  <c r="AD28"/>
  <c r="AH24" s="1"/>
  <c r="Z28"/>
  <c r="AM27"/>
  <c r="AW27" s="1"/>
  <c r="AJ27"/>
  <c r="AJ28" s="1"/>
  <c r="Y27"/>
  <c r="Y28" s="1"/>
  <c r="X27"/>
  <c r="W27"/>
  <c r="V27"/>
  <c r="H27"/>
  <c r="H28" s="1"/>
  <c r="I30" s="1"/>
  <c r="AM26"/>
  <c r="AW26" s="1"/>
  <c r="AY26" s="1"/>
  <c r="AJ26"/>
  <c r="Y26"/>
  <c r="CS26" s="1"/>
  <c r="X26"/>
  <c r="CR26" s="1"/>
  <c r="W26"/>
  <c r="CQ26" s="1"/>
  <c r="V26"/>
  <c r="H26"/>
  <c r="L26" s="1"/>
  <c r="M26" s="1"/>
  <c r="AM25"/>
  <c r="AW25" s="1"/>
  <c r="AJ25"/>
  <c r="Y25"/>
  <c r="CS25" s="1"/>
  <c r="X25"/>
  <c r="CR25" s="1"/>
  <c r="W25"/>
  <c r="CQ25" s="1"/>
  <c r="V25"/>
  <c r="CP25" s="1"/>
  <c r="H25"/>
  <c r="AM24"/>
  <c r="AW24" s="1"/>
  <c r="AJ24"/>
  <c r="Y24"/>
  <c r="CS24" s="1"/>
  <c r="X24"/>
  <c r="CR24" s="1"/>
  <c r="W24"/>
  <c r="CQ24" s="1"/>
  <c r="V24"/>
  <c r="CP24" s="1"/>
  <c r="H24"/>
  <c r="AM23"/>
  <c r="AW23" s="1"/>
  <c r="AJ23"/>
  <c r="AH23"/>
  <c r="Y23"/>
  <c r="CS23" s="1"/>
  <c r="X23"/>
  <c r="CR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5"/>
  <c r="BN36"/>
  <c r="BM36"/>
  <c r="AD28"/>
  <c r="AE27" s="1"/>
  <c r="Z28"/>
  <c r="AM27"/>
  <c r="AW27" s="1"/>
  <c r="Y27"/>
  <c r="Y28" s="1"/>
  <c r="X27"/>
  <c r="CR27" s="1"/>
  <c r="H27"/>
  <c r="H28" s="1"/>
  <c r="I30" s="1"/>
  <c r="AM26"/>
  <c r="AW26" s="1"/>
  <c r="Y26"/>
  <c r="CS26" s="1"/>
  <c r="X26"/>
  <c r="CR26" s="1"/>
  <c r="H26"/>
  <c r="L26" s="1"/>
  <c r="M26" s="1"/>
  <c r="AM25"/>
  <c r="AW25" s="1"/>
  <c r="AJ25"/>
  <c r="Y25"/>
  <c r="CS25" s="1"/>
  <c r="X25"/>
  <c r="CR25" s="1"/>
  <c r="H25"/>
  <c r="AM24"/>
  <c r="AW24" s="1"/>
  <c r="Y24"/>
  <c r="CS24" s="1"/>
  <c r="X24"/>
  <c r="CR24" s="1"/>
  <c r="H24"/>
  <c r="L24" s="1"/>
  <c r="M24" s="1"/>
  <c r="AM23"/>
  <c r="AW23" s="1"/>
  <c r="Y23"/>
  <c r="CS23" s="1"/>
  <c r="X23"/>
  <c r="CR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4"/>
  <c r="BN36"/>
  <c r="BM36"/>
  <c r="AD28"/>
  <c r="AG26" s="1"/>
  <c r="Z28"/>
  <c r="AM27"/>
  <c r="AW27" s="1"/>
  <c r="AK27"/>
  <c r="AK28" s="1"/>
  <c r="AG27"/>
  <c r="AG28" s="1"/>
  <c r="Y27"/>
  <c r="Y28" s="1"/>
  <c r="X27"/>
  <c r="CR27" s="1"/>
  <c r="H27"/>
  <c r="H28" s="1"/>
  <c r="I30" s="1"/>
  <c r="AM26"/>
  <c r="AW26" s="1"/>
  <c r="AK26"/>
  <c r="Y26"/>
  <c r="CS26" s="1"/>
  <c r="X26"/>
  <c r="H26"/>
  <c r="AM25"/>
  <c r="AK25"/>
  <c r="Y25"/>
  <c r="CS25" s="1"/>
  <c r="X25"/>
  <c r="CR25" s="1"/>
  <c r="H25"/>
  <c r="L25" s="1"/>
  <c r="M25" s="1"/>
  <c r="AM24"/>
  <c r="AW24" s="1"/>
  <c r="AY24" s="1"/>
  <c r="AK24"/>
  <c r="Y24"/>
  <c r="CS24" s="1"/>
  <c r="X24"/>
  <c r="CR24" s="1"/>
  <c r="H24"/>
  <c r="L24" s="1"/>
  <c r="M24" s="1"/>
  <c r="AM23"/>
  <c r="AW23" s="1"/>
  <c r="AK23"/>
  <c r="Y23"/>
  <c r="CS23" s="1"/>
  <c r="X23"/>
  <c r="CR23" s="1"/>
  <c r="H23"/>
  <c r="H18"/>
  <c r="H17"/>
  <c r="H16"/>
  <c r="H15"/>
  <c r="H14"/>
  <c r="H13"/>
  <c r="H12"/>
  <c r="H11"/>
  <c r="H10"/>
  <c r="H9"/>
  <c r="H8"/>
  <c r="H7"/>
  <c r="H6"/>
  <c r="H5"/>
  <c r="H4"/>
  <c r="BM37" i="133"/>
  <c r="BN36"/>
  <c r="BM36"/>
  <c r="AD28"/>
  <c r="AG27" s="1"/>
  <c r="Z28"/>
  <c r="AM27"/>
  <c r="AW27" s="1"/>
  <c r="AK27"/>
  <c r="Y27"/>
  <c r="Y28" s="1"/>
  <c r="W27"/>
  <c r="CQ27" s="1"/>
  <c r="V27"/>
  <c r="CP27" s="1"/>
  <c r="H27"/>
  <c r="H28" s="1"/>
  <c r="I30" s="1"/>
  <c r="AM26"/>
  <c r="AW26" s="1"/>
  <c r="AK26"/>
  <c r="Y26"/>
  <c r="CS26" s="1"/>
  <c r="W26"/>
  <c r="V26"/>
  <c r="CP26" s="1"/>
  <c r="H26"/>
  <c r="L26" s="1"/>
  <c r="M26" s="1"/>
  <c r="AM25"/>
  <c r="AW25" s="1"/>
  <c r="AK25"/>
  <c r="Y25"/>
  <c r="CS25" s="1"/>
  <c r="W25"/>
  <c r="CQ25" s="1"/>
  <c r="V25"/>
  <c r="H25"/>
  <c r="L25" s="1"/>
  <c r="M25" s="1"/>
  <c r="AM24"/>
  <c r="AK24"/>
  <c r="Y24"/>
  <c r="CS24" s="1"/>
  <c r="W24"/>
  <c r="CQ24" s="1"/>
  <c r="V24"/>
  <c r="H24"/>
  <c r="AM23"/>
  <c r="AW23" s="1"/>
  <c r="AK23"/>
  <c r="Y23"/>
  <c r="CS23" s="1"/>
  <c r="W23"/>
  <c r="CQ23" s="1"/>
  <c r="V23"/>
  <c r="H23"/>
  <c r="H18"/>
  <c r="H17"/>
  <c r="H16"/>
  <c r="H15"/>
  <c r="H14"/>
  <c r="H13"/>
  <c r="H12"/>
  <c r="H11"/>
  <c r="H10"/>
  <c r="H9"/>
  <c r="H8"/>
  <c r="H7"/>
  <c r="H6"/>
  <c r="H5"/>
  <c r="H4"/>
  <c r="BM37" i="132"/>
  <c r="BN36"/>
  <c r="BM36"/>
  <c r="AD28"/>
  <c r="AH28" s="1"/>
  <c r="Z28"/>
  <c r="AM27"/>
  <c r="AW27" s="1"/>
  <c r="AY27" s="1"/>
  <c r="AK27"/>
  <c r="AK28" s="1"/>
  <c r="Y27"/>
  <c r="Y28" s="1"/>
  <c r="H27"/>
  <c r="H28" s="1"/>
  <c r="I30" s="1"/>
  <c r="AM26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H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1"/>
  <c r="BN36"/>
  <c r="BM36"/>
  <c r="AD28"/>
  <c r="AG27" s="1"/>
  <c r="Z28"/>
  <c r="AM27"/>
  <c r="AW27" s="1"/>
  <c r="BP27" s="1"/>
  <c r="AK27"/>
  <c r="AK28" s="1"/>
  <c r="Y27"/>
  <c r="Y28" s="1"/>
  <c r="H27"/>
  <c r="H28" s="1"/>
  <c r="I30" s="1"/>
  <c r="AM26"/>
  <c r="AW26" s="1"/>
  <c r="BP26" s="1"/>
  <c r="AK26"/>
  <c r="Y26"/>
  <c r="CS26" s="1"/>
  <c r="H26"/>
  <c r="AM25"/>
  <c r="AW25" s="1"/>
  <c r="AK25"/>
  <c r="Y25"/>
  <c r="CS25" s="1"/>
  <c r="H25"/>
  <c r="L25" s="1"/>
  <c r="M25" s="1"/>
  <c r="AM24"/>
  <c r="AW24" s="1"/>
  <c r="AK24"/>
  <c r="AE24"/>
  <c r="Y24"/>
  <c r="CS24" s="1"/>
  <c r="H24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5"/>
  <c r="BN36"/>
  <c r="BM36"/>
  <c r="AD28"/>
  <c r="AG27" s="1"/>
  <c r="Z28"/>
  <c r="AM27"/>
  <c r="AW27" s="1"/>
  <c r="AY27" s="1"/>
  <c r="AK27"/>
  <c r="Y27"/>
  <c r="Y28" s="1"/>
  <c r="H27"/>
  <c r="L27" s="1"/>
  <c r="M27" s="1"/>
  <c r="AM26"/>
  <c r="AW26" s="1"/>
  <c r="BP26" s="1"/>
  <c r="AK26"/>
  <c r="Y26"/>
  <c r="CS26" s="1"/>
  <c r="H26"/>
  <c r="L26" s="1"/>
  <c r="M26" s="1"/>
  <c r="N26" s="1"/>
  <c r="AM25"/>
  <c r="AK25"/>
  <c r="Y25"/>
  <c r="CS25" s="1"/>
  <c r="H25"/>
  <c r="L25" s="1"/>
  <c r="M25" s="1"/>
  <c r="AM24"/>
  <c r="AW24" s="1"/>
  <c r="AK24"/>
  <c r="Y24"/>
  <c r="CS24" s="1"/>
  <c r="H24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4"/>
  <c r="BN36"/>
  <c r="BM36"/>
  <c r="AD28"/>
  <c r="AG27" s="1"/>
  <c r="Z28"/>
  <c r="AM27"/>
  <c r="AW27" s="1"/>
  <c r="AY27" s="1"/>
  <c r="AK27"/>
  <c r="Y27"/>
  <c r="Y28" s="1"/>
  <c r="X27"/>
  <c r="CR27" s="1"/>
  <c r="H27"/>
  <c r="L27" s="1"/>
  <c r="M27" s="1"/>
  <c r="AM26"/>
  <c r="AW26" s="1"/>
  <c r="BP26" s="1"/>
  <c r="AK26"/>
  <c r="Y26"/>
  <c r="CS26" s="1"/>
  <c r="X26"/>
  <c r="CR26" s="1"/>
  <c r="H26"/>
  <c r="L26" s="1"/>
  <c r="M26" s="1"/>
  <c r="AM25"/>
  <c r="AK25"/>
  <c r="Y25"/>
  <c r="CS25" s="1"/>
  <c r="X25"/>
  <c r="CR25" s="1"/>
  <c r="H25"/>
  <c r="AM24"/>
  <c r="AW24" s="1"/>
  <c r="AK24"/>
  <c r="Y24"/>
  <c r="CS24" s="1"/>
  <c r="X24"/>
  <c r="CR24" s="1"/>
  <c r="H24"/>
  <c r="L24" s="1"/>
  <c r="M24" s="1"/>
  <c r="AM23"/>
  <c r="AW23" s="1"/>
  <c r="AK23"/>
  <c r="Y23"/>
  <c r="CS23" s="1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6"/>
  <c r="BN36"/>
  <c r="BM36"/>
  <c r="AD28"/>
  <c r="AE27" s="1"/>
  <c r="AE28" s="1"/>
  <c r="Z28"/>
  <c r="AM27"/>
  <c r="AW27" s="1"/>
  <c r="AY27" s="1"/>
  <c r="AK27"/>
  <c r="AK28" s="1"/>
  <c r="Y27"/>
  <c r="Y28" s="1"/>
  <c r="H27"/>
  <c r="H28" s="1"/>
  <c r="I30" s="1"/>
  <c r="AM26"/>
  <c r="AW26" s="1"/>
  <c r="AY26" s="1"/>
  <c r="AK26"/>
  <c r="AH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Y24" s="1"/>
  <c r="AK24"/>
  <c r="Y24"/>
  <c r="CS24" s="1"/>
  <c r="H24"/>
  <c r="L24" s="1"/>
  <c r="M24" s="1"/>
  <c r="AM23"/>
  <c r="AW23" s="1"/>
  <c r="AK23"/>
  <c r="Y23"/>
  <c r="CS23" s="1"/>
  <c r="H23"/>
  <c r="H18"/>
  <c r="H17"/>
  <c r="H16"/>
  <c r="H15"/>
  <c r="H14"/>
  <c r="H13"/>
  <c r="H12"/>
  <c r="H11"/>
  <c r="H10"/>
  <c r="H9"/>
  <c r="H8"/>
  <c r="H7"/>
  <c r="H6"/>
  <c r="H5"/>
  <c r="H4"/>
  <c r="BM37" i="128"/>
  <c r="BN36"/>
  <c r="BM36"/>
  <c r="AD28"/>
  <c r="AG27" s="1"/>
  <c r="Z28"/>
  <c r="AM27"/>
  <c r="AW27" s="1"/>
  <c r="AK27"/>
  <c r="AK28" s="1"/>
  <c r="Y27"/>
  <c r="CS27" s="1"/>
  <c r="W27"/>
  <c r="CQ27" s="1"/>
  <c r="V27"/>
  <c r="CP27" s="1"/>
  <c r="H27"/>
  <c r="H28" s="1"/>
  <c r="I30" s="1"/>
  <c r="AM26"/>
  <c r="AW26" s="1"/>
  <c r="AK26"/>
  <c r="Y26"/>
  <c r="CS26" s="1"/>
  <c r="W26"/>
  <c r="CQ26" s="1"/>
  <c r="V26"/>
  <c r="CP26" s="1"/>
  <c r="H26"/>
  <c r="AM25"/>
  <c r="AW25" s="1"/>
  <c r="AY25" s="1"/>
  <c r="AK25"/>
  <c r="Y25"/>
  <c r="CS25" s="1"/>
  <c r="W25"/>
  <c r="CQ25" s="1"/>
  <c r="V25"/>
  <c r="CP25" s="1"/>
  <c r="H25"/>
  <c r="L25" s="1"/>
  <c r="M25" s="1"/>
  <c r="AM24"/>
  <c r="AW24" s="1"/>
  <c r="AY24" s="1"/>
  <c r="AK24"/>
  <c r="Y24"/>
  <c r="CS24" s="1"/>
  <c r="W24"/>
  <c r="CQ24" s="1"/>
  <c r="V24"/>
  <c r="CP24" s="1"/>
  <c r="H24"/>
  <c r="L24" s="1"/>
  <c r="M24" s="1"/>
  <c r="AM23"/>
  <c r="AW23" s="1"/>
  <c r="AY23" s="1"/>
  <c r="AK23"/>
  <c r="Y23"/>
  <c r="CS23" s="1"/>
  <c r="W23"/>
  <c r="CQ23" s="1"/>
  <c r="V23"/>
  <c r="CP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30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CS26" s="1"/>
  <c r="H26"/>
  <c r="L26" s="1"/>
  <c r="M26" s="1"/>
  <c r="AM25"/>
  <c r="AW25" s="1"/>
  <c r="AK25"/>
  <c r="Y25"/>
  <c r="CS25" s="1"/>
  <c r="H25"/>
  <c r="L25" s="1"/>
  <c r="M25" s="1"/>
  <c r="AM24"/>
  <c r="AW24" s="1"/>
  <c r="AK24"/>
  <c r="Y24"/>
  <c r="CS24" s="1"/>
  <c r="H24"/>
  <c r="L24" s="1"/>
  <c r="M24" s="1"/>
  <c r="AM23"/>
  <c r="AW23" s="1"/>
  <c r="AK23"/>
  <c r="Y23"/>
  <c r="CS23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9"/>
  <c r="BN36"/>
  <c r="BM36"/>
  <c r="AD28"/>
  <c r="AE25" s="1"/>
  <c r="Z28"/>
  <c r="AM27"/>
  <c r="AW27" s="1"/>
  <c r="AK27"/>
  <c r="Y27"/>
  <c r="Y28" s="1"/>
  <c r="W27"/>
  <c r="V27"/>
  <c r="H27"/>
  <c r="H28" s="1"/>
  <c r="I30" s="1"/>
  <c r="AM26"/>
  <c r="AW26" s="1"/>
  <c r="AK26"/>
  <c r="Y26"/>
  <c r="W26"/>
  <c r="V26"/>
  <c r="H26"/>
  <c r="AM25"/>
  <c r="AW25" s="1"/>
  <c r="AK25"/>
  <c r="AG25"/>
  <c r="Y25"/>
  <c r="W25"/>
  <c r="V25"/>
  <c r="H25"/>
  <c r="L25" s="1"/>
  <c r="M25" s="1"/>
  <c r="AM24"/>
  <c r="AW24" s="1"/>
  <c r="AK24"/>
  <c r="Y24"/>
  <c r="W24"/>
  <c r="V24"/>
  <c r="H24"/>
  <c r="AM23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27"/>
  <c r="BN36"/>
  <c r="BM36"/>
  <c r="AD28"/>
  <c r="AG26" s="1"/>
  <c r="Z28"/>
  <c r="AM27"/>
  <c r="AW27" s="1"/>
  <c r="AK27"/>
  <c r="AK28" s="1"/>
  <c r="Y27"/>
  <c r="Y28" s="1"/>
  <c r="H27"/>
  <c r="L27" s="1"/>
  <c r="M27" s="1"/>
  <c r="AM26"/>
  <c r="AW26" s="1"/>
  <c r="AY26" s="1"/>
  <c r="AK26"/>
  <c r="Y26"/>
  <c r="H26"/>
  <c r="L26" s="1"/>
  <c r="M26" s="1"/>
  <c r="AM25"/>
  <c r="AW25" s="1"/>
  <c r="AK25"/>
  <c r="Y25"/>
  <c r="H25"/>
  <c r="L25" s="1"/>
  <c r="M25" s="1"/>
  <c r="AM24"/>
  <c r="AW24" s="1"/>
  <c r="AY24" s="1"/>
  <c r="AK24"/>
  <c r="Y24"/>
  <c r="H24"/>
  <c r="L24" s="1"/>
  <c r="M24" s="1"/>
  <c r="AM23"/>
  <c r="AW23" s="1"/>
  <c r="BP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3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2"/>
  <c r="BN32"/>
  <c r="BM32"/>
  <c r="AD24"/>
  <c r="AH24" s="1"/>
  <c r="Z24"/>
  <c r="AM23"/>
  <c r="AW23" s="1"/>
  <c r="AY23" s="1"/>
  <c r="AK23"/>
  <c r="X23"/>
  <c r="X24" s="1"/>
  <c r="W23"/>
  <c r="W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121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20"/>
  <c r="BN32"/>
  <c r="BM32"/>
  <c r="AD24"/>
  <c r="AH24" s="1"/>
  <c r="Z24"/>
  <c r="AM23"/>
  <c r="AW23" s="1"/>
  <c r="BP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9"/>
  <c r="BN32"/>
  <c r="BM32"/>
  <c r="AD24"/>
  <c r="AH24" s="1"/>
  <c r="Z24"/>
  <c r="AM23"/>
  <c r="AW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8"/>
  <c r="BN32"/>
  <c r="BM32"/>
  <c r="AD24"/>
  <c r="AE23" s="1"/>
  <c r="AE24" s="1"/>
  <c r="Z24"/>
  <c r="AM23"/>
  <c r="AW23" s="1"/>
  <c r="AK23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7"/>
  <c r="BN32"/>
  <c r="BM32"/>
  <c r="AD24"/>
  <c r="AH24" s="1"/>
  <c r="Z24"/>
  <c r="AM23"/>
  <c r="AW23" s="1"/>
  <c r="AK23"/>
  <c r="Y23"/>
  <c r="Y24" s="1"/>
  <c r="H23"/>
  <c r="H18"/>
  <c r="H17"/>
  <c r="H16"/>
  <c r="H15"/>
  <c r="H14"/>
  <c r="H13"/>
  <c r="H12"/>
  <c r="H11"/>
  <c r="H10"/>
  <c r="H9"/>
  <c r="H8"/>
  <c r="H7"/>
  <c r="H6"/>
  <c r="H5"/>
  <c r="H4"/>
  <c r="BM33" i="116"/>
  <c r="BN32"/>
  <c r="BM32"/>
  <c r="AD24"/>
  <c r="AH23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5"/>
  <c r="BN32"/>
  <c r="BM32"/>
  <c r="AD24"/>
  <c r="AH24" s="1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4"/>
  <c r="BN32"/>
  <c r="BM32"/>
  <c r="AD24"/>
  <c r="AH23" s="1"/>
  <c r="Z24"/>
  <c r="AM23"/>
  <c r="AW23" s="1"/>
  <c r="AK23"/>
  <c r="AK24" s="1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3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12"/>
  <c r="BN32"/>
  <c r="BM32"/>
  <c r="AD24"/>
  <c r="AE23" s="1"/>
  <c r="AE24" s="1"/>
  <c r="Z24"/>
  <c r="AM23"/>
  <c r="AW23" s="1"/>
  <c r="AY23" s="1"/>
  <c r="AK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111"/>
  <c r="BN32"/>
  <c r="BM32"/>
  <c r="AD24"/>
  <c r="AH24" s="1"/>
  <c r="Z24"/>
  <c r="AM23"/>
  <c r="AW23" s="1"/>
  <c r="AY23" s="1"/>
  <c r="AK23"/>
  <c r="X23"/>
  <c r="X24" s="1"/>
  <c r="W23"/>
  <c r="W24" s="1"/>
  <c r="H23"/>
  <c r="H18"/>
  <c r="H17"/>
  <c r="H16"/>
  <c r="H15"/>
  <c r="H14"/>
  <c r="H13"/>
  <c r="H12"/>
  <c r="H11"/>
  <c r="H10"/>
  <c r="H9"/>
  <c r="H8"/>
  <c r="H7"/>
  <c r="H6"/>
  <c r="H5"/>
  <c r="H4"/>
  <c r="BM33" i="110"/>
  <c r="BN32"/>
  <c r="BM32"/>
  <c r="AD24"/>
  <c r="AH24" s="1"/>
  <c r="Z24"/>
  <c r="AM23"/>
  <c r="AW23" s="1"/>
  <c r="BP23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7" i="108"/>
  <c r="BN36"/>
  <c r="BM36"/>
  <c r="AD28"/>
  <c r="AG27" s="1"/>
  <c r="Z28"/>
  <c r="AM27"/>
  <c r="AW27" s="1"/>
  <c r="AK27"/>
  <c r="Y27"/>
  <c r="Y28" s="1"/>
  <c r="H27"/>
  <c r="AM26"/>
  <c r="AK26"/>
  <c r="Y26"/>
  <c r="H26"/>
  <c r="AM25"/>
  <c r="AK25"/>
  <c r="Y25"/>
  <c r="H25"/>
  <c r="L25" s="1"/>
  <c r="M25" s="1"/>
  <c r="AM24"/>
  <c r="AW24" s="1"/>
  <c r="AK24"/>
  <c r="Y24"/>
  <c r="H24"/>
  <c r="AM23"/>
  <c r="AW23" s="1"/>
  <c r="AK23"/>
  <c r="Y23"/>
  <c r="H23"/>
  <c r="H18"/>
  <c r="H17"/>
  <c r="H16"/>
  <c r="H15"/>
  <c r="H14"/>
  <c r="H13"/>
  <c r="H12"/>
  <c r="H11"/>
  <c r="H10"/>
  <c r="H9"/>
  <c r="H8"/>
  <c r="H7"/>
  <c r="H6"/>
  <c r="H5"/>
  <c r="H4"/>
  <c r="BM33" i="107"/>
  <c r="BN32"/>
  <c r="BM32"/>
  <c r="AD24"/>
  <c r="AG23" s="1"/>
  <c r="Z24"/>
  <c r="AM23"/>
  <c r="AW23" s="1"/>
  <c r="BP23" s="1"/>
  <c r="AK23"/>
  <c r="Y23"/>
  <c r="Y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106"/>
  <c r="BN32"/>
  <c r="BM32"/>
  <c r="AD24"/>
  <c r="AH24" s="1"/>
  <c r="Z24"/>
  <c r="AM23"/>
  <c r="AW23" s="1"/>
  <c r="BP23" s="1"/>
  <c r="AK23"/>
  <c r="AK24" s="1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105"/>
  <c r="BN36"/>
  <c r="BM36"/>
  <c r="AD28"/>
  <c r="AH28" s="1"/>
  <c r="Z28"/>
  <c r="AM27"/>
  <c r="AW27" s="1"/>
  <c r="AK27"/>
  <c r="AK28" s="1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04"/>
  <c r="AM23"/>
  <c r="AW23" s="1"/>
  <c r="BP23" s="1"/>
  <c r="AK23"/>
  <c r="Y23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103"/>
  <c r="AM23"/>
  <c r="AW23" s="1"/>
  <c r="AK23"/>
  <c r="Y23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B28" i="93" l="1"/>
  <c r="I33" s="1"/>
  <c r="I34" s="1"/>
  <c r="AC26"/>
  <c r="AC28" s="1"/>
  <c r="AT28" s="1"/>
  <c r="AH23" i="82"/>
  <c r="AC28" i="90"/>
  <c r="AT28" s="1"/>
  <c r="AG23" i="81"/>
  <c r="AG24" s="1"/>
  <c r="AH23"/>
  <c r="AP23" i="82"/>
  <c r="CR23"/>
  <c r="BM40" i="134"/>
  <c r="BN40" s="1"/>
  <c r="BM40" i="135"/>
  <c r="BN40" s="1"/>
  <c r="AE23" i="87"/>
  <c r="AE24" s="1"/>
  <c r="AE25" i="137"/>
  <c r="AH24" i="87"/>
  <c r="AE23" i="88"/>
  <c r="AE24" s="1"/>
  <c r="AG26" i="137"/>
  <c r="AG24" i="87"/>
  <c r="AO26" i="136"/>
  <c r="AG23" i="137"/>
  <c r="AE26"/>
  <c r="AH23" i="138"/>
  <c r="H24" i="88"/>
  <c r="I26" s="1"/>
  <c r="AH27" i="137"/>
  <c r="AH23" i="86"/>
  <c r="AH25" i="135"/>
  <c r="AH24" i="137"/>
  <c r="AG23" i="86"/>
  <c r="AG24" s="1"/>
  <c r="BM36" i="88"/>
  <c r="BN36" s="1"/>
  <c r="AH23" i="87"/>
  <c r="AJ23" s="1"/>
  <c r="AJ24" s="1"/>
  <c r="AH23" i="88"/>
  <c r="AH26" i="135"/>
  <c r="AG23" i="88"/>
  <c r="AG24" s="1"/>
  <c r="BM36" i="81"/>
  <c r="BN36" s="1"/>
  <c r="AE26" i="135"/>
  <c r="AG26"/>
  <c r="AJ26" s="1"/>
  <c r="AO26" s="1"/>
  <c r="AH27"/>
  <c r="AJ27" s="1"/>
  <c r="AO27" s="1"/>
  <c r="AH23"/>
  <c r="AP27" i="133"/>
  <c r="AP26" i="134"/>
  <c r="AG23" i="135"/>
  <c r="AJ23" s="1"/>
  <c r="AO23" s="1"/>
  <c r="AH24"/>
  <c r="AG25" i="137"/>
  <c r="Y25" i="85"/>
  <c r="AE23" i="133"/>
  <c r="AE23" i="135"/>
  <c r="AG24"/>
  <c r="AJ24" s="1"/>
  <c r="AO24" s="1"/>
  <c r="BM36" i="82"/>
  <c r="BN36" s="1"/>
  <c r="AE24" i="135"/>
  <c r="AH28"/>
  <c r="AY23" i="137"/>
  <c r="BP23"/>
  <c r="H19" i="82"/>
  <c r="AH25" i="133"/>
  <c r="AG27" i="137"/>
  <c r="AG28" s="1"/>
  <c r="H19" i="88"/>
  <c r="AP23"/>
  <c r="N23" i="82"/>
  <c r="O23" s="1"/>
  <c r="P23" s="1"/>
  <c r="Q23" s="1"/>
  <c r="R23" s="1"/>
  <c r="AG25" i="133"/>
  <c r="AH26"/>
  <c r="L27" i="135"/>
  <c r="M27" s="1"/>
  <c r="N27" s="1"/>
  <c r="O27" s="1"/>
  <c r="AH27" i="133"/>
  <c r="AJ27" s="1"/>
  <c r="AH27" i="138"/>
  <c r="AE23" i="137"/>
  <c r="AK23" s="1"/>
  <c r="AP23" s="1"/>
  <c r="AE24"/>
  <c r="AG27" i="138"/>
  <c r="AJ27" s="1"/>
  <c r="AO27" s="1"/>
  <c r="H25" i="85"/>
  <c r="I27" s="1"/>
  <c r="BM36" i="87"/>
  <c r="BN36" s="1"/>
  <c r="AP23" i="81"/>
  <c r="AG23" i="82"/>
  <c r="Y24"/>
  <c r="AP23" i="87"/>
  <c r="H19" i="81"/>
  <c r="L23"/>
  <c r="M23" s="1"/>
  <c r="N23" s="1"/>
  <c r="AP25" i="134"/>
  <c r="AE25" i="138"/>
  <c r="H19" i="87"/>
  <c r="L23"/>
  <c r="M23" s="1"/>
  <c r="N23" s="1"/>
  <c r="CZ23" i="97"/>
  <c r="AB28"/>
  <c r="I33" s="1"/>
  <c r="I34" s="1"/>
  <c r="AC28"/>
  <c r="AT28" s="1"/>
  <c r="CD28" s="1"/>
  <c r="AB24" i="84"/>
  <c r="I29" s="1"/>
  <c r="I30" s="1"/>
  <c r="AC23"/>
  <c r="AC24" s="1"/>
  <c r="R23" i="83"/>
  <c r="AY23" i="82"/>
  <c r="BP23"/>
  <c r="H24"/>
  <c r="I26" s="1"/>
  <c r="BP23" i="81"/>
  <c r="CS23"/>
  <c r="CR23"/>
  <c r="N23" i="88"/>
  <c r="BP23"/>
  <c r="CS23"/>
  <c r="CR23"/>
  <c r="BP23" i="87"/>
  <c r="CS23"/>
  <c r="CR23"/>
  <c r="AP23" i="86"/>
  <c r="AE23"/>
  <c r="AE24" s="1"/>
  <c r="X24"/>
  <c r="BM36"/>
  <c r="BN36" s="1"/>
  <c r="H19"/>
  <c r="BP23"/>
  <c r="H24"/>
  <c r="I26" s="1"/>
  <c r="N23"/>
  <c r="CS23"/>
  <c r="AG24" i="85"/>
  <c r="AH25"/>
  <c r="AH23"/>
  <c r="AJ23" s="1"/>
  <c r="AE24"/>
  <c r="H19"/>
  <c r="X25"/>
  <c r="BM37"/>
  <c r="BN37" s="1"/>
  <c r="AE23"/>
  <c r="AH24"/>
  <c r="AK24" s="1"/>
  <c r="AP24" s="1"/>
  <c r="AY23"/>
  <c r="BP23"/>
  <c r="AY24"/>
  <c r="BP24"/>
  <c r="N24"/>
  <c r="N23"/>
  <c r="AP23" i="127"/>
  <c r="AE23" i="136"/>
  <c r="AP24" i="133"/>
  <c r="AH26" i="134"/>
  <c r="AJ26" s="1"/>
  <c r="AO26" s="1"/>
  <c r="AO25" i="135"/>
  <c r="AH27" i="134"/>
  <c r="AJ27" s="1"/>
  <c r="AP24"/>
  <c r="AW25"/>
  <c r="AY25" s="1"/>
  <c r="AO23" i="136"/>
  <c r="AP24" i="132"/>
  <c r="AH23" i="133"/>
  <c r="AG24"/>
  <c r="AG24" i="134"/>
  <c r="AG24" i="137"/>
  <c r="AK24" s="1"/>
  <c r="AP24" s="1"/>
  <c r="AE23" i="138"/>
  <c r="AG24"/>
  <c r="AJ24" s="1"/>
  <c r="AO24" s="1"/>
  <c r="AH25"/>
  <c r="AG26"/>
  <c r="AJ26" s="1"/>
  <c r="AO26" s="1"/>
  <c r="AG23" i="133"/>
  <c r="AE24"/>
  <c r="AE24" i="134"/>
  <c r="AE24" i="138"/>
  <c r="AG25"/>
  <c r="AE26"/>
  <c r="AH28"/>
  <c r="L27"/>
  <c r="M27" s="1"/>
  <c r="N27" s="1"/>
  <c r="H19" i="133"/>
  <c r="AO25" i="136"/>
  <c r="AW24" i="133"/>
  <c r="AY24" s="1"/>
  <c r="AP25"/>
  <c r="AG26"/>
  <c r="BM40"/>
  <c r="BN40" s="1"/>
  <c r="AE27" i="134"/>
  <c r="AE28" s="1"/>
  <c r="AE27" i="137"/>
  <c r="AE28" s="1"/>
  <c r="BP26" i="138"/>
  <c r="AP23" i="134"/>
  <c r="AE25" i="133"/>
  <c r="AH24" i="134"/>
  <c r="BM40" i="136"/>
  <c r="BN40" s="1"/>
  <c r="AG23" i="138"/>
  <c r="AJ23" s="1"/>
  <c r="AO23" s="1"/>
  <c r="AH24"/>
  <c r="AO25"/>
  <c r="AH26"/>
  <c r="AY26" i="135"/>
  <c r="BP26"/>
  <c r="AE28"/>
  <c r="AY23" i="134"/>
  <c r="BP23"/>
  <c r="V28" i="133"/>
  <c r="CP23"/>
  <c r="AP26"/>
  <c r="AE27"/>
  <c r="AE28" s="1"/>
  <c r="AG23" i="134"/>
  <c r="AH25"/>
  <c r="AE26"/>
  <c r="AG25" i="135"/>
  <c r="AG27"/>
  <c r="AG28" s="1"/>
  <c r="AO24" i="136"/>
  <c r="AE25"/>
  <c r="W28"/>
  <c r="CQ27"/>
  <c r="AP25" i="137"/>
  <c r="AE23" i="134"/>
  <c r="AG25"/>
  <c r="AE25" i="135"/>
  <c r="AG24" i="136"/>
  <c r="H19" i="137"/>
  <c r="AE25" i="134"/>
  <c r="X28"/>
  <c r="AH28"/>
  <c r="AG26" i="136"/>
  <c r="AH23" i="137"/>
  <c r="AH25"/>
  <c r="H19" i="138"/>
  <c r="H19" i="134"/>
  <c r="H19" i="136"/>
  <c r="AE26"/>
  <c r="L27"/>
  <c r="M27" s="1"/>
  <c r="N27" s="1"/>
  <c r="AH27"/>
  <c r="H19" i="135"/>
  <c r="AG23" i="136"/>
  <c r="BP26"/>
  <c r="AG27"/>
  <c r="AG28" s="1"/>
  <c r="BM40" i="137"/>
  <c r="BN40" s="1"/>
  <c r="BM40" i="138"/>
  <c r="BN40" s="1"/>
  <c r="AK28" i="133"/>
  <c r="AH23" i="134"/>
  <c r="AH25" i="136"/>
  <c r="X28"/>
  <c r="X28" i="138"/>
  <c r="BP25"/>
  <c r="AY25"/>
  <c r="AY24"/>
  <c r="BP24"/>
  <c r="AY23"/>
  <c r="BP23"/>
  <c r="N26"/>
  <c r="AY27"/>
  <c r="L25"/>
  <c r="M25" s="1"/>
  <c r="CS27"/>
  <c r="L23"/>
  <c r="M23" s="1"/>
  <c r="BP27"/>
  <c r="L24"/>
  <c r="M24" s="1"/>
  <c r="N24" s="1"/>
  <c r="CR27"/>
  <c r="AY26" i="137"/>
  <c r="BP26"/>
  <c r="AY24"/>
  <c r="BP24"/>
  <c r="O24"/>
  <c r="P24" s="1"/>
  <c r="Q24" s="1"/>
  <c r="R24" s="1"/>
  <c r="S24" s="1"/>
  <c r="N23"/>
  <c r="AK27"/>
  <c r="L25"/>
  <c r="M25" s="1"/>
  <c r="AH26"/>
  <c r="AK26" s="1"/>
  <c r="AP26" s="1"/>
  <c r="CS27"/>
  <c r="BP25"/>
  <c r="L26"/>
  <c r="M26" s="1"/>
  <c r="AW27"/>
  <c r="X28"/>
  <c r="L27"/>
  <c r="M27" s="1"/>
  <c r="CS26"/>
  <c r="N23" i="136"/>
  <c r="AY23"/>
  <c r="BP23"/>
  <c r="AY25"/>
  <c r="BP25"/>
  <c r="AY24"/>
  <c r="BP24"/>
  <c r="N26"/>
  <c r="AY27"/>
  <c r="AE24"/>
  <c r="L25"/>
  <c r="M25" s="1"/>
  <c r="AG25"/>
  <c r="AH26"/>
  <c r="CS27"/>
  <c r="AH28"/>
  <c r="CP27"/>
  <c r="V28"/>
  <c r="L24"/>
  <c r="M24" s="1"/>
  <c r="N24" s="1"/>
  <c r="CP26"/>
  <c r="CR27"/>
  <c r="AE27"/>
  <c r="AO27"/>
  <c r="BP27"/>
  <c r="BP25" i="135"/>
  <c r="AY25"/>
  <c r="N24"/>
  <c r="AY24"/>
  <c r="BP24"/>
  <c r="AY23"/>
  <c r="BP23"/>
  <c r="N23"/>
  <c r="X28"/>
  <c r="AY27"/>
  <c r="N26"/>
  <c r="L25"/>
  <c r="M25" s="1"/>
  <c r="N25" s="1"/>
  <c r="CS27"/>
  <c r="BP27"/>
  <c r="N24" i="134"/>
  <c r="AY26"/>
  <c r="N25"/>
  <c r="CR26"/>
  <c r="AY27"/>
  <c r="CS27"/>
  <c r="L23"/>
  <c r="M23" s="1"/>
  <c r="N23" s="1"/>
  <c r="BP24"/>
  <c r="L26"/>
  <c r="M26" s="1"/>
  <c r="BP26"/>
  <c r="L27"/>
  <c r="M27" s="1"/>
  <c r="AP27"/>
  <c r="BP27"/>
  <c r="BP27" i="133"/>
  <c r="AY27"/>
  <c r="BP26"/>
  <c r="AY26"/>
  <c r="AY23"/>
  <c r="BP23"/>
  <c r="AG28"/>
  <c r="AY25"/>
  <c r="BP25"/>
  <c r="L23"/>
  <c r="M23" s="1"/>
  <c r="AP23"/>
  <c r="AH24"/>
  <c r="CP24"/>
  <c r="N25"/>
  <c r="CS27"/>
  <c r="AH28"/>
  <c r="L24"/>
  <c r="M24" s="1"/>
  <c r="CP25"/>
  <c r="N26"/>
  <c r="CQ26"/>
  <c r="W28"/>
  <c r="AE26"/>
  <c r="L27"/>
  <c r="M27" s="1"/>
  <c r="AG23" i="114"/>
  <c r="AG24" s="1"/>
  <c r="AP26" i="132"/>
  <c r="AP24" i="131"/>
  <c r="AH25" i="132"/>
  <c r="AG25"/>
  <c r="AP25" i="131"/>
  <c r="AE23" i="132"/>
  <c r="AE24"/>
  <c r="AP25"/>
  <c r="AH27"/>
  <c r="AH23"/>
  <c r="AE23" i="131"/>
  <c r="AE25" i="132"/>
  <c r="AH26"/>
  <c r="AH23" i="113"/>
  <c r="AJ23" s="1"/>
  <c r="AO23" s="1"/>
  <c r="AP24" i="129"/>
  <c r="AP23" i="132"/>
  <c r="BM40" i="131"/>
  <c r="BN40" s="1"/>
  <c r="AP26"/>
  <c r="AG23" i="126"/>
  <c r="AE27" i="128"/>
  <c r="AE28" s="1"/>
  <c r="BM40" i="132"/>
  <c r="BN40" s="1"/>
  <c r="AW26"/>
  <c r="BP26" s="1"/>
  <c r="AG23" i="128"/>
  <c r="AH24"/>
  <c r="AY23" i="132"/>
  <c r="BP23"/>
  <c r="AG23" i="124"/>
  <c r="AE26" i="131"/>
  <c r="AG23" i="132"/>
  <c r="AG27"/>
  <c r="AG23" i="121"/>
  <c r="AG24" s="1"/>
  <c r="AE24" i="124"/>
  <c r="AE27" i="132"/>
  <c r="AE28" s="1"/>
  <c r="AE25" i="128"/>
  <c r="AG25" i="126"/>
  <c r="AH25" i="124"/>
  <c r="AP23" i="131"/>
  <c r="AH24"/>
  <c r="AG25"/>
  <c r="AP27"/>
  <c r="AG24" i="132"/>
  <c r="AJ24" s="1"/>
  <c r="AO24" s="1"/>
  <c r="AG26"/>
  <c r="AP27"/>
  <c r="AH23" i="126"/>
  <c r="H19" i="131"/>
  <c r="AG23"/>
  <c r="AG24"/>
  <c r="AH27"/>
  <c r="AJ27" s="1"/>
  <c r="H19" i="132"/>
  <c r="AE26"/>
  <c r="L27"/>
  <c r="M27" s="1"/>
  <c r="N27" s="1"/>
  <c r="AE27" i="131"/>
  <c r="AE28" s="1"/>
  <c r="AH26"/>
  <c r="BP24" i="132"/>
  <c r="AY24"/>
  <c r="L24"/>
  <c r="M24" s="1"/>
  <c r="BP27"/>
  <c r="N23"/>
  <c r="AY25"/>
  <c r="N25"/>
  <c r="CS27"/>
  <c r="BP25"/>
  <c r="L26"/>
  <c r="M26" s="1"/>
  <c r="AY24" i="131"/>
  <c r="BP24"/>
  <c r="AY23"/>
  <c r="BP23"/>
  <c r="AG28"/>
  <c r="N25"/>
  <c r="N23"/>
  <c r="AY25"/>
  <c r="AH23"/>
  <c r="AY26"/>
  <c r="AY27"/>
  <c r="CS27"/>
  <c r="AH28"/>
  <c r="L24"/>
  <c r="M24" s="1"/>
  <c r="N24" s="1"/>
  <c r="AH25"/>
  <c r="AE25"/>
  <c r="BP25"/>
  <c r="L26"/>
  <c r="M26" s="1"/>
  <c r="N26" s="1"/>
  <c r="AG26"/>
  <c r="L27"/>
  <c r="M27" s="1"/>
  <c r="N27" s="1"/>
  <c r="AH24" i="114"/>
  <c r="BM40" i="127"/>
  <c r="BN40" s="1"/>
  <c r="AP23" i="124"/>
  <c r="AH27" i="125"/>
  <c r="AJ27" s="1"/>
  <c r="AH27" i="127"/>
  <c r="BM40" i="129"/>
  <c r="BN40" s="1"/>
  <c r="AE27" i="124"/>
  <c r="AE28" s="1"/>
  <c r="AP26" i="129"/>
  <c r="AP25" i="128"/>
  <c r="AH28" i="124"/>
  <c r="AP23" i="129"/>
  <c r="AP26" i="127"/>
  <c r="AH26"/>
  <c r="AJ26" s="1"/>
  <c r="AO26" s="1"/>
  <c r="AP23" i="125"/>
  <c r="AH28" i="128"/>
  <c r="AH27" i="129"/>
  <c r="AG27" i="126"/>
  <c r="AG28" s="1"/>
  <c r="X28" i="124"/>
  <c r="AG25" i="125"/>
  <c r="AP26" i="130"/>
  <c r="BM40"/>
  <c r="BN40" s="1"/>
  <c r="Y28" i="128"/>
  <c r="AE23" i="126"/>
  <c r="AG24"/>
  <c r="AP25"/>
  <c r="AE23" i="125"/>
  <c r="AP26"/>
  <c r="AE23" i="129"/>
  <c r="AP25"/>
  <c r="AP23" i="128"/>
  <c r="H19" i="126"/>
  <c r="AE24"/>
  <c r="AH25"/>
  <c r="AH26" i="125"/>
  <c r="AE23" i="119"/>
  <c r="AE24" s="1"/>
  <c r="AE24" i="128"/>
  <c r="AG26"/>
  <c r="AH27"/>
  <c r="AJ27" s="1"/>
  <c r="AJ28" s="1"/>
  <c r="BM40"/>
  <c r="BN40" s="1"/>
  <c r="AE25" i="126"/>
  <c r="AH23" i="124"/>
  <c r="AH24"/>
  <c r="AP25"/>
  <c r="AG24" i="125"/>
  <c r="AP27"/>
  <c r="BP25" i="127"/>
  <c r="AY25"/>
  <c r="AP25"/>
  <c r="CS27" i="124"/>
  <c r="AP23" i="126"/>
  <c r="AP24"/>
  <c r="AP26" i="124"/>
  <c r="AP26" i="126"/>
  <c r="BM40" i="124"/>
  <c r="BN40" s="1"/>
  <c r="BP27" i="125"/>
  <c r="AP25" i="130"/>
  <c r="N25" i="128"/>
  <c r="O25" s="1"/>
  <c r="P25" s="1"/>
  <c r="Q25" s="1"/>
  <c r="R25" s="1"/>
  <c r="S25" s="1"/>
  <c r="AG28"/>
  <c r="H19" i="127"/>
  <c r="AG24"/>
  <c r="AE26"/>
  <c r="W28" i="129"/>
  <c r="H19" i="130"/>
  <c r="AP24" i="128"/>
  <c r="AH25"/>
  <c r="AG26" i="126"/>
  <c r="AJ26" s="1"/>
  <c r="AO26" s="1"/>
  <c r="AE23" i="124"/>
  <c r="AP27"/>
  <c r="AE24" i="127"/>
  <c r="H19" i="129"/>
  <c r="V28"/>
  <c r="AP27"/>
  <c r="N23" i="128"/>
  <c r="O23" s="1"/>
  <c r="N24"/>
  <c r="AG25"/>
  <c r="AH26"/>
  <c r="AE26" i="126"/>
  <c r="L27"/>
  <c r="M27" s="1"/>
  <c r="N27" s="1"/>
  <c r="CR23" i="124"/>
  <c r="AP24"/>
  <c r="AH27"/>
  <c r="AJ27" s="1"/>
  <c r="AP25" i="125"/>
  <c r="H19"/>
  <c r="BM36" i="123"/>
  <c r="BN36" s="1"/>
  <c r="AH23" i="127"/>
  <c r="AH25"/>
  <c r="AG27"/>
  <c r="AG28" s="1"/>
  <c r="AH24" i="129"/>
  <c r="AH26"/>
  <c r="AG27"/>
  <c r="AH28"/>
  <c r="AP23" i="130"/>
  <c r="AP24"/>
  <c r="H19" i="128"/>
  <c r="AH23"/>
  <c r="AG24"/>
  <c r="AE26"/>
  <c r="AH24" i="126"/>
  <c r="AH27"/>
  <c r="BM40"/>
  <c r="BN40" s="1"/>
  <c r="H19" i="124"/>
  <c r="AG24"/>
  <c r="AE25"/>
  <c r="AG26"/>
  <c r="AG23" i="125"/>
  <c r="AP24"/>
  <c r="AH25"/>
  <c r="AG26"/>
  <c r="AE27"/>
  <c r="AE28" s="1"/>
  <c r="BM40"/>
  <c r="BN40" s="1"/>
  <c r="AG23" i="127"/>
  <c r="AG25"/>
  <c r="AE27"/>
  <c r="AE28" s="1"/>
  <c r="AH23" i="129"/>
  <c r="AG24"/>
  <c r="AG26"/>
  <c r="AE27"/>
  <c r="AE28" s="1"/>
  <c r="AH23" i="130"/>
  <c r="AE24"/>
  <c r="BP27" i="124"/>
  <c r="AE26" i="108"/>
  <c r="AP23" i="118"/>
  <c r="AE23" i="127"/>
  <c r="AP24"/>
  <c r="AE25"/>
  <c r="AH28"/>
  <c r="AG23" i="129"/>
  <c r="AE24"/>
  <c r="AH25"/>
  <c r="AJ25" s="1"/>
  <c r="AO25" s="1"/>
  <c r="AE26"/>
  <c r="AH26" i="130"/>
  <c r="AJ26" s="1"/>
  <c r="AO26" s="1"/>
  <c r="AE23" i="128"/>
  <c r="AK28" i="124"/>
  <c r="AE24" i="125"/>
  <c r="AE25"/>
  <c r="CS27" i="130"/>
  <c r="AE23" i="108"/>
  <c r="AH24" i="127"/>
  <c r="W28" i="128"/>
  <c r="CC26" s="1"/>
  <c r="AP26"/>
  <c r="AK28" i="125"/>
  <c r="O26"/>
  <c r="AY23"/>
  <c r="BP23"/>
  <c r="AG28"/>
  <c r="BP24"/>
  <c r="AY24"/>
  <c r="H28"/>
  <c r="I30" s="1"/>
  <c r="AH23"/>
  <c r="AY26"/>
  <c r="L23"/>
  <c r="M23" s="1"/>
  <c r="AH24"/>
  <c r="N25"/>
  <c r="AW25"/>
  <c r="CS27"/>
  <c r="AH28"/>
  <c r="L24"/>
  <c r="M24" s="1"/>
  <c r="N24" s="1"/>
  <c r="N27"/>
  <c r="AE26"/>
  <c r="AY23" i="124"/>
  <c r="BP23"/>
  <c r="N26"/>
  <c r="AG28"/>
  <c r="BP24"/>
  <c r="AY24"/>
  <c r="N23"/>
  <c r="H28"/>
  <c r="I30" s="1"/>
  <c r="N24"/>
  <c r="AY26"/>
  <c r="AW25"/>
  <c r="L25"/>
  <c r="M25" s="1"/>
  <c r="N25" s="1"/>
  <c r="AG25"/>
  <c r="AH26"/>
  <c r="N27"/>
  <c r="AE26"/>
  <c r="N24" i="126"/>
  <c r="AY25"/>
  <c r="BP25"/>
  <c r="AY23"/>
  <c r="BP23"/>
  <c r="L23"/>
  <c r="M23" s="1"/>
  <c r="N23" s="1"/>
  <c r="N25"/>
  <c r="CS27"/>
  <c r="AH28"/>
  <c r="N26"/>
  <c r="AP27"/>
  <c r="BP24"/>
  <c r="BP26"/>
  <c r="BP27"/>
  <c r="BP26" i="128"/>
  <c r="AY26"/>
  <c r="AY27"/>
  <c r="BP27"/>
  <c r="BP23"/>
  <c r="BP24"/>
  <c r="V28"/>
  <c r="BP25"/>
  <c r="L26"/>
  <c r="M26" s="1"/>
  <c r="L27"/>
  <c r="M27" s="1"/>
  <c r="N27" s="1"/>
  <c r="AP27"/>
  <c r="AE23" i="130"/>
  <c r="AE26"/>
  <c r="AP27"/>
  <c r="AH25"/>
  <c r="AG25"/>
  <c r="AE25"/>
  <c r="AH27"/>
  <c r="AH24"/>
  <c r="AG27"/>
  <c r="AG28" s="1"/>
  <c r="AG24"/>
  <c r="AE27"/>
  <c r="AE28" s="1"/>
  <c r="AH28"/>
  <c r="AG23"/>
  <c r="N24"/>
  <c r="BP27"/>
  <c r="AY27"/>
  <c r="N23"/>
  <c r="N26"/>
  <c r="N25"/>
  <c r="AY23"/>
  <c r="AY25"/>
  <c r="BP24"/>
  <c r="BP26"/>
  <c r="H28"/>
  <c r="I30" s="1"/>
  <c r="N27"/>
  <c r="AY24"/>
  <c r="BP23"/>
  <c r="BP25"/>
  <c r="AY27" i="129"/>
  <c r="BP27"/>
  <c r="AY26"/>
  <c r="BP26"/>
  <c r="AY25"/>
  <c r="BP25"/>
  <c r="N23"/>
  <c r="AW23"/>
  <c r="L24"/>
  <c r="M24" s="1"/>
  <c r="N24" s="1"/>
  <c r="AY24"/>
  <c r="N25"/>
  <c r="L26"/>
  <c r="M26" s="1"/>
  <c r="N26" s="1"/>
  <c r="BP24"/>
  <c r="AK28"/>
  <c r="L27"/>
  <c r="M27" s="1"/>
  <c r="N27" s="1"/>
  <c r="AP27" i="127"/>
  <c r="BP27"/>
  <c r="AY27"/>
  <c r="N23"/>
  <c r="N25"/>
  <c r="N24"/>
  <c r="N26"/>
  <c r="AY23"/>
  <c r="BP24"/>
  <c r="BP26"/>
  <c r="H28"/>
  <c r="I30" s="1"/>
  <c r="N27"/>
  <c r="AG23" i="120"/>
  <c r="AG24" s="1"/>
  <c r="AE23"/>
  <c r="AE24" s="1"/>
  <c r="BM36" i="110"/>
  <c r="BN36" s="1"/>
  <c r="AG23" i="108"/>
  <c r="AH28"/>
  <c r="AH23" i="112"/>
  <c r="AH23" i="121"/>
  <c r="AE23" i="111"/>
  <c r="AE24" s="1"/>
  <c r="AE23" i="121"/>
  <c r="AE24" s="1"/>
  <c r="AH24" i="108"/>
  <c r="AG24"/>
  <c r="AH24" i="112"/>
  <c r="L23" i="115"/>
  <c r="M23" s="1"/>
  <c r="N23" s="1"/>
  <c r="O23" s="1"/>
  <c r="BM36"/>
  <c r="BN36" s="1"/>
  <c r="AP23" i="107"/>
  <c r="AH23"/>
  <c r="AJ23" s="1"/>
  <c r="AO23" s="1"/>
  <c r="AE24" i="108"/>
  <c r="AG25"/>
  <c r="AE23" i="113"/>
  <c r="AE24" s="1"/>
  <c r="BM36" i="122"/>
  <c r="BN36" s="1"/>
  <c r="AE23" i="107"/>
  <c r="AE24" s="1"/>
  <c r="AE25" i="108"/>
  <c r="H19" i="110"/>
  <c r="AE23" i="106"/>
  <c r="AE24" s="1"/>
  <c r="AG26" i="108"/>
  <c r="BM36" i="116"/>
  <c r="BN36" s="1"/>
  <c r="AE23" i="123"/>
  <c r="AE24" s="1"/>
  <c r="AH27" i="108"/>
  <c r="AJ27" s="1"/>
  <c r="AG23" i="112"/>
  <c r="AG24" s="1"/>
  <c r="AH23" i="108"/>
  <c r="AE27"/>
  <c r="AE28" s="1"/>
  <c r="AE23" i="114"/>
  <c r="AE24" s="1"/>
  <c r="AH23" i="119"/>
  <c r="BM36" i="107"/>
  <c r="BN36" s="1"/>
  <c r="AP23" i="115"/>
  <c r="AH23" i="118"/>
  <c r="BM36" i="119"/>
  <c r="BN36" s="1"/>
  <c r="BM36" i="121"/>
  <c r="BN36" s="1"/>
  <c r="AP27" i="108"/>
  <c r="AP23" i="117"/>
  <c r="AG23" i="118"/>
  <c r="AG24" s="1"/>
  <c r="AP23" i="120"/>
  <c r="AH23" i="123"/>
  <c r="AH23" i="106"/>
  <c r="AH24" i="107"/>
  <c r="AH23" i="111"/>
  <c r="AE23" i="117"/>
  <c r="AE24" s="1"/>
  <c r="AG23" i="106"/>
  <c r="AG24" s="1"/>
  <c r="AG23" i="111"/>
  <c r="AG24" s="1"/>
  <c r="AG23" i="116"/>
  <c r="AG24" s="1"/>
  <c r="AH24" i="118"/>
  <c r="BM36" i="120"/>
  <c r="BN36" s="1"/>
  <c r="H19" i="122"/>
  <c r="AP23" i="121"/>
  <c r="AG24" i="107"/>
  <c r="AP23" i="108"/>
  <c r="AP24"/>
  <c r="AH25"/>
  <c r="AJ25" s="1"/>
  <c r="AO25" s="1"/>
  <c r="AH26"/>
  <c r="BM40"/>
  <c r="BN40" s="1"/>
  <c r="AP23" i="109"/>
  <c r="AG23" i="113"/>
  <c r="AG24" s="1"/>
  <c r="BM36" i="114"/>
  <c r="BN36" s="1"/>
  <c r="AK24" i="115"/>
  <c r="AE23" i="116"/>
  <c r="AE24" s="1"/>
  <c r="AH24"/>
  <c r="AG23" i="119"/>
  <c r="AG24" s="1"/>
  <c r="AG23" i="123"/>
  <c r="AG24" s="1"/>
  <c r="AH23" i="109"/>
  <c r="H19" i="118"/>
  <c r="AK24" i="120"/>
  <c r="AG23" i="109"/>
  <c r="AG24" s="1"/>
  <c r="BM36"/>
  <c r="BN36" s="1"/>
  <c r="H19" i="111"/>
  <c r="BP23" i="112"/>
  <c r="H19" i="116"/>
  <c r="AH23" i="120"/>
  <c r="H19" i="107"/>
  <c r="AE23" i="109"/>
  <c r="AE24" s="1"/>
  <c r="H19" i="112"/>
  <c r="H19" i="113"/>
  <c r="BM36" i="117"/>
  <c r="BN36" s="1"/>
  <c r="H19" i="119"/>
  <c r="H19" i="123"/>
  <c r="H19" i="114"/>
  <c r="H19" i="117"/>
  <c r="H19" i="109"/>
  <c r="AE23" i="110"/>
  <c r="AP23" i="111"/>
  <c r="AP23" i="114"/>
  <c r="H19" i="115"/>
  <c r="AP23" i="116"/>
  <c r="H19" i="121"/>
  <c r="AP23" i="122"/>
  <c r="H19" i="108"/>
  <c r="AP25"/>
  <c r="BM36" i="111"/>
  <c r="BN36" s="1"/>
  <c r="AP23" i="112"/>
  <c r="BM36"/>
  <c r="BN36" s="1"/>
  <c r="BM36" i="113"/>
  <c r="BN36" s="1"/>
  <c r="BM36" i="118"/>
  <c r="BN36" s="1"/>
  <c r="AP23" i="119"/>
  <c r="H19" i="120"/>
  <c r="AP23" i="123"/>
  <c r="BP23"/>
  <c r="AY23"/>
  <c r="AK24"/>
  <c r="L23"/>
  <c r="M23" s="1"/>
  <c r="H24"/>
  <c r="I26" s="1"/>
  <c r="N23" i="122"/>
  <c r="AH23"/>
  <c r="AK24"/>
  <c r="AG23"/>
  <c r="H24"/>
  <c r="I26" s="1"/>
  <c r="AE23"/>
  <c r="AE24" s="1"/>
  <c r="BP23"/>
  <c r="BP23" i="121"/>
  <c r="AY23"/>
  <c r="AK24"/>
  <c r="L23"/>
  <c r="M23" s="1"/>
  <c r="N23" s="1"/>
  <c r="H24"/>
  <c r="I26" s="1"/>
  <c r="AY23" i="120"/>
  <c r="L23"/>
  <c r="M23" s="1"/>
  <c r="N23" s="1"/>
  <c r="BP23" i="119"/>
  <c r="AY23"/>
  <c r="AK24"/>
  <c r="L23"/>
  <c r="M23" s="1"/>
  <c r="H24"/>
  <c r="I26" s="1"/>
  <c r="BP23" i="118"/>
  <c r="AY23"/>
  <c r="AK24"/>
  <c r="L23"/>
  <c r="M23" s="1"/>
  <c r="N23" s="1"/>
  <c r="H24"/>
  <c r="I26" s="1"/>
  <c r="AK24" i="117"/>
  <c r="BP23"/>
  <c r="AY23"/>
  <c r="AH23"/>
  <c r="L23"/>
  <c r="M23" s="1"/>
  <c r="AG23"/>
  <c r="H24"/>
  <c r="I26" s="1"/>
  <c r="AY23" i="116"/>
  <c r="L23"/>
  <c r="M23" s="1"/>
  <c r="N23" s="1"/>
  <c r="AK24"/>
  <c r="BP23"/>
  <c r="AH23" i="115"/>
  <c r="AG23"/>
  <c r="AE23"/>
  <c r="AE24" s="1"/>
  <c r="BP23"/>
  <c r="BP23" i="114"/>
  <c r="AY23"/>
  <c r="L23"/>
  <c r="M23" s="1"/>
  <c r="N23" s="1"/>
  <c r="H24"/>
  <c r="I26" s="1"/>
  <c r="AY23" i="113"/>
  <c r="L23"/>
  <c r="M23" s="1"/>
  <c r="N23" s="1"/>
  <c r="AK24" i="112"/>
  <c r="L23"/>
  <c r="M23" s="1"/>
  <c r="N23" s="1"/>
  <c r="H24"/>
  <c r="I26" s="1"/>
  <c r="AK24" i="111"/>
  <c r="L23"/>
  <c r="M23" s="1"/>
  <c r="N23" s="1"/>
  <c r="H24"/>
  <c r="I26" s="1"/>
  <c r="BP23"/>
  <c r="AY23" i="110"/>
  <c r="AH23"/>
  <c r="L23"/>
  <c r="M23" s="1"/>
  <c r="N23" s="1"/>
  <c r="AG23"/>
  <c r="AY23" i="109"/>
  <c r="AK24"/>
  <c r="L23"/>
  <c r="M23" s="1"/>
  <c r="N23" s="1"/>
  <c r="H24"/>
  <c r="I26" s="1"/>
  <c r="BP23"/>
  <c r="BP27" i="108"/>
  <c r="AY27"/>
  <c r="N25"/>
  <c r="BP24"/>
  <c r="AY24"/>
  <c r="L23"/>
  <c r="M23" s="1"/>
  <c r="N23" s="1"/>
  <c r="L24"/>
  <c r="M24" s="1"/>
  <c r="N24" s="1"/>
  <c r="AG28"/>
  <c r="AW26"/>
  <c r="AK28"/>
  <c r="AY23"/>
  <c r="AW25"/>
  <c r="L27"/>
  <c r="M27" s="1"/>
  <c r="H28"/>
  <c r="I30" s="1"/>
  <c r="BP23"/>
  <c r="L26"/>
  <c r="M26" s="1"/>
  <c r="N26" s="1"/>
  <c r="AP26"/>
  <c r="AY23" i="107"/>
  <c r="AK24"/>
  <c r="L23"/>
  <c r="M23" s="1"/>
  <c r="N23" s="1"/>
  <c r="AG26" i="105"/>
  <c r="AE25"/>
  <c r="AH26"/>
  <c r="AH27"/>
  <c r="AG27"/>
  <c r="AG28" s="1"/>
  <c r="AE27"/>
  <c r="AE28" s="1"/>
  <c r="AH23"/>
  <c r="AE23"/>
  <c r="H19" i="104"/>
  <c r="L23"/>
  <c r="M23" s="1"/>
  <c r="N23" s="1"/>
  <c r="BM40" i="105"/>
  <c r="BN40" s="1"/>
  <c r="H28"/>
  <c r="I30" s="1"/>
  <c r="AG24"/>
  <c r="AP25"/>
  <c r="H24" i="106"/>
  <c r="I26" s="1"/>
  <c r="AP23" i="104"/>
  <c r="AH25" i="105"/>
  <c r="AP26"/>
  <c r="H19" i="103"/>
  <c r="H19" i="105"/>
  <c r="AP23"/>
  <c r="AH24"/>
  <c r="AG25"/>
  <c r="AE26"/>
  <c r="H19" i="106"/>
  <c r="AP23"/>
  <c r="AY23" i="104"/>
  <c r="AE24" i="105"/>
  <c r="AP27"/>
  <c r="BM36" i="106"/>
  <c r="BN36" s="1"/>
  <c r="AP23" i="103"/>
  <c r="AG23" i="105"/>
  <c r="N23" i="106"/>
  <c r="AY23"/>
  <c r="BP27" i="105"/>
  <c r="AY27"/>
  <c r="BP26"/>
  <c r="AY26"/>
  <c r="N25"/>
  <c r="AY25"/>
  <c r="BP25"/>
  <c r="AY24"/>
  <c r="BP24"/>
  <c r="L24"/>
  <c r="M24" s="1"/>
  <c r="N24" s="1"/>
  <c r="AP24"/>
  <c r="N27"/>
  <c r="N26"/>
  <c r="AY23"/>
  <c r="L23"/>
  <c r="M23" s="1"/>
  <c r="N23" s="1"/>
  <c r="AK24" i="104"/>
  <c r="BP23" i="103"/>
  <c r="AY23"/>
  <c r="AK24"/>
  <c r="N23"/>
  <c r="H24"/>
  <c r="CD27" i="93" l="1"/>
  <c r="AU28"/>
  <c r="AJ23" i="137"/>
  <c r="AO23" s="1"/>
  <c r="AJ23" i="82"/>
  <c r="AJ24" s="1"/>
  <c r="AU28" i="90"/>
  <c r="CD30"/>
  <c r="AJ25" i="133"/>
  <c r="AO25" s="1"/>
  <c r="AJ23" i="81"/>
  <c r="AJ24" s="1"/>
  <c r="AJ27" i="137"/>
  <c r="AJ28" s="1"/>
  <c r="AK26" i="135"/>
  <c r="AP26" s="1"/>
  <c r="AK24"/>
  <c r="AP24" s="1"/>
  <c r="AJ23" i="86"/>
  <c r="AO23" s="1"/>
  <c r="P27" i="135"/>
  <c r="Q27" s="1"/>
  <c r="R27" s="1"/>
  <c r="S27" s="1"/>
  <c r="AJ25" i="132"/>
  <c r="AO25" s="1"/>
  <c r="AK23" i="135"/>
  <c r="AP23" s="1"/>
  <c r="AK24" i="138"/>
  <c r="AP24" s="1"/>
  <c r="AG24" i="82"/>
  <c r="AJ23" i="88"/>
  <c r="AO23" i="87"/>
  <c r="AJ24" i="134"/>
  <c r="AO24" s="1"/>
  <c r="AJ28" i="135"/>
  <c r="AK23" i="136"/>
  <c r="AP23" s="1"/>
  <c r="AJ28" i="138"/>
  <c r="AJ25" i="137"/>
  <c r="AO25" s="1"/>
  <c r="AJ26" i="133"/>
  <c r="AO26" s="1"/>
  <c r="AJ24" i="85"/>
  <c r="AO24" s="1"/>
  <c r="AJ23" i="126"/>
  <c r="AO23" s="1"/>
  <c r="AG28" i="138"/>
  <c r="AJ23" i="124"/>
  <c r="AO23" s="1"/>
  <c r="AJ25" i="126"/>
  <c r="AO25" s="1"/>
  <c r="AK27" i="138"/>
  <c r="AJ24" i="126"/>
  <c r="AO24" s="1"/>
  <c r="BP25" i="134"/>
  <c r="AJ23" i="133"/>
  <c r="AO23" s="1"/>
  <c r="AU28" i="97"/>
  <c r="CD26" i="84"/>
  <c r="CU23" s="1"/>
  <c r="AT24"/>
  <c r="AU24" s="1"/>
  <c r="R24" i="83"/>
  <c r="I27" s="1"/>
  <c r="S23"/>
  <c r="X23" s="1"/>
  <c r="R24" i="82"/>
  <c r="I27" s="1"/>
  <c r="S23"/>
  <c r="O23" i="81"/>
  <c r="P23" s="1"/>
  <c r="Q23" s="1"/>
  <c r="O23" i="88"/>
  <c r="O23" i="87"/>
  <c r="O23" i="86"/>
  <c r="P23" s="1"/>
  <c r="Q23" s="1"/>
  <c r="AG25" i="85"/>
  <c r="AK23"/>
  <c r="AK25" s="1"/>
  <c r="AE25"/>
  <c r="AO23"/>
  <c r="O24"/>
  <c r="P24" s="1"/>
  <c r="Q24" s="1"/>
  <c r="O23"/>
  <c r="AJ28" i="134"/>
  <c r="AO27"/>
  <c r="AK25" i="136"/>
  <c r="AP25" s="1"/>
  <c r="AJ23" i="128"/>
  <c r="AO23" s="1"/>
  <c r="AJ24" i="133"/>
  <c r="AO24" s="1"/>
  <c r="AK23" i="138"/>
  <c r="AP23" s="1"/>
  <c r="AK26" i="136"/>
  <c r="AP26" s="1"/>
  <c r="BP24" i="133"/>
  <c r="AJ24" i="137"/>
  <c r="AO24" s="1"/>
  <c r="AK24" i="136"/>
  <c r="AP24" s="1"/>
  <c r="AK25" i="138"/>
  <c r="AP25" s="1"/>
  <c r="AK26"/>
  <c r="AP26" s="1"/>
  <c r="AJ24" i="108"/>
  <c r="AO24" s="1"/>
  <c r="AJ26" i="137"/>
  <c r="AO26" s="1"/>
  <c r="AK25" i="135"/>
  <c r="AP25" s="1"/>
  <c r="AJ26" i="132"/>
  <c r="AO26" s="1"/>
  <c r="AJ23" i="134"/>
  <c r="AO23" s="1"/>
  <c r="AK27" i="135"/>
  <c r="V24" i="137"/>
  <c r="CP24" s="1"/>
  <c r="W24"/>
  <c r="CQ24" s="1"/>
  <c r="AJ25" i="134"/>
  <c r="AO25" s="1"/>
  <c r="O24" i="138"/>
  <c r="P24" s="1"/>
  <c r="Q24" s="1"/>
  <c r="O27"/>
  <c r="O26"/>
  <c r="P26" s="1"/>
  <c r="Q26" s="1"/>
  <c r="N23"/>
  <c r="N25"/>
  <c r="AI24" i="137"/>
  <c r="AN24" s="1"/>
  <c r="AA24"/>
  <c r="AX28"/>
  <c r="AC24"/>
  <c r="CC24"/>
  <c r="BP27"/>
  <c r="AY27"/>
  <c r="O23"/>
  <c r="P23" s="1"/>
  <c r="Q23" s="1"/>
  <c r="AK28"/>
  <c r="AP27"/>
  <c r="N26"/>
  <c r="N25"/>
  <c r="N27"/>
  <c r="O24" i="136"/>
  <c r="O27"/>
  <c r="P27" s="1"/>
  <c r="Q27" s="1"/>
  <c r="O23"/>
  <c r="P23" s="1"/>
  <c r="Q23" s="1"/>
  <c r="O26"/>
  <c r="P26" s="1"/>
  <c r="Q26" s="1"/>
  <c r="N25"/>
  <c r="AE28"/>
  <c r="AK27"/>
  <c r="O25" i="135"/>
  <c r="O26"/>
  <c r="O23"/>
  <c r="P23" s="1"/>
  <c r="Q23" s="1"/>
  <c r="O24"/>
  <c r="N27" i="134"/>
  <c r="O24"/>
  <c r="P24" s="1"/>
  <c r="Q24" s="1"/>
  <c r="O25"/>
  <c r="P25" s="1"/>
  <c r="Q25" s="1"/>
  <c r="N26"/>
  <c r="O23"/>
  <c r="O25" i="133"/>
  <c r="P25" s="1"/>
  <c r="Q25" s="1"/>
  <c r="O26"/>
  <c r="P26" s="1"/>
  <c r="Q26" s="1"/>
  <c r="AJ28"/>
  <c r="AO27"/>
  <c r="N24"/>
  <c r="N23"/>
  <c r="N27"/>
  <c r="AJ23" i="121"/>
  <c r="AJ24" s="1"/>
  <c r="AJ23" i="114"/>
  <c r="AJ24" s="1"/>
  <c r="AJ25" i="131"/>
  <c r="AO25" s="1"/>
  <c r="AJ24" i="128"/>
  <c r="AO24" s="1"/>
  <c r="AJ23" i="132"/>
  <c r="AO23" s="1"/>
  <c r="AJ24" i="113"/>
  <c r="AJ23" i="131"/>
  <c r="AO23" s="1"/>
  <c r="AJ26"/>
  <c r="AO26" s="1"/>
  <c r="AJ25" i="124"/>
  <c r="AO25" s="1"/>
  <c r="AJ23" i="130"/>
  <c r="AO23" s="1"/>
  <c r="AY26" i="132"/>
  <c r="AJ23" i="112"/>
  <c r="AO23" s="1"/>
  <c r="AJ25" i="125"/>
  <c r="AO25" s="1"/>
  <c r="AJ26"/>
  <c r="AO26" s="1"/>
  <c r="AJ27" i="132"/>
  <c r="AG28"/>
  <c r="AJ24" i="124"/>
  <c r="AO24" s="1"/>
  <c r="AJ24" i="131"/>
  <c r="AO24" s="1"/>
  <c r="O27" i="132"/>
  <c r="P27" s="1"/>
  <c r="Q27" s="1"/>
  <c r="N24"/>
  <c r="N26"/>
  <c r="O25"/>
  <c r="O23"/>
  <c r="P23" s="1"/>
  <c r="Q23" s="1"/>
  <c r="O24" i="131"/>
  <c r="P24" s="1"/>
  <c r="Q24" s="1"/>
  <c r="R24" s="1"/>
  <c r="S24" s="1"/>
  <c r="O26"/>
  <c r="O23"/>
  <c r="AJ28"/>
  <c r="AO27"/>
  <c r="O27"/>
  <c r="P27" s="1"/>
  <c r="Q27" s="1"/>
  <c r="R27" s="1"/>
  <c r="O25"/>
  <c r="P25" s="1"/>
  <c r="Q25" s="1"/>
  <c r="AJ27" i="127"/>
  <c r="AO27" s="1"/>
  <c r="AJ27" i="126"/>
  <c r="AO27" s="1"/>
  <c r="AJ24" i="129"/>
  <c r="AO24" s="1"/>
  <c r="AJ24" i="125"/>
  <c r="AO24" s="1"/>
  <c r="AK23" i="113"/>
  <c r="AP23" s="1"/>
  <c r="AO27" i="128"/>
  <c r="AJ26"/>
  <c r="AO26" s="1"/>
  <c r="AJ26" i="124"/>
  <c r="AO26" s="1"/>
  <c r="AJ23" i="108"/>
  <c r="AO23" s="1"/>
  <c r="AJ23" i="118"/>
  <c r="AO23" s="1"/>
  <c r="P23" i="128"/>
  <c r="Q23" s="1"/>
  <c r="R23" s="1"/>
  <c r="S23" s="1"/>
  <c r="X23" s="1"/>
  <c r="AJ24" i="127"/>
  <c r="AO24" s="1"/>
  <c r="AJ26" i="129"/>
  <c r="AO26" s="1"/>
  <c r="AJ23"/>
  <c r="AO23" s="1"/>
  <c r="AJ23" i="109"/>
  <c r="AJ24" s="1"/>
  <c r="AJ24" i="107"/>
  <c r="AJ23" i="125"/>
  <c r="AO23" s="1"/>
  <c r="AJ23" i="127"/>
  <c r="AO23" s="1"/>
  <c r="AJ25"/>
  <c r="AO25" s="1"/>
  <c r="AJ23" i="106"/>
  <c r="AO23" s="1"/>
  <c r="AJ27" i="129"/>
  <c r="AG28"/>
  <c r="O24" i="128"/>
  <c r="P24" s="1"/>
  <c r="Q24" s="1"/>
  <c r="AJ26" i="108"/>
  <c r="AO26" s="1"/>
  <c r="AJ25" i="128"/>
  <c r="AO25" s="1"/>
  <c r="O24" i="125"/>
  <c r="P24" s="1"/>
  <c r="Q24" s="1"/>
  <c r="R24" s="1"/>
  <c r="S24" s="1"/>
  <c r="X24" s="1"/>
  <c r="CR24" s="1"/>
  <c r="BP25"/>
  <c r="AY25"/>
  <c r="AO27"/>
  <c r="AJ28"/>
  <c r="P26"/>
  <c r="Q26" s="1"/>
  <c r="R26" s="1"/>
  <c r="S26" s="1"/>
  <c r="X26" s="1"/>
  <c r="N23"/>
  <c r="O27"/>
  <c r="P27" s="1"/>
  <c r="Q27" s="1"/>
  <c r="O25"/>
  <c r="O27" i="124"/>
  <c r="O26"/>
  <c r="P26" s="1"/>
  <c r="Q26" s="1"/>
  <c r="O24"/>
  <c r="P24" s="1"/>
  <c r="Q24" s="1"/>
  <c r="O25"/>
  <c r="BP25"/>
  <c r="AY25"/>
  <c r="O23"/>
  <c r="P23" s="1"/>
  <c r="Q23" s="1"/>
  <c r="AO27"/>
  <c r="AJ28"/>
  <c r="O27" i="126"/>
  <c r="P27" s="1"/>
  <c r="Q27" s="1"/>
  <c r="O23"/>
  <c r="P23" s="1"/>
  <c r="Q23" s="1"/>
  <c r="O25"/>
  <c r="P25" s="1"/>
  <c r="Q25" s="1"/>
  <c r="O24"/>
  <c r="O26"/>
  <c r="O27" i="128"/>
  <c r="P27" s="1"/>
  <c r="Q27" s="1"/>
  <c r="R27" s="1"/>
  <c r="X25"/>
  <c r="AI25"/>
  <c r="AN25" s="1"/>
  <c r="AA25"/>
  <c r="CT25" s="1"/>
  <c r="N26"/>
  <c r="AJ24" i="130"/>
  <c r="AO24" s="1"/>
  <c r="AJ25"/>
  <c r="AO25" s="1"/>
  <c r="AJ27"/>
  <c r="AO27" s="1"/>
  <c r="O23"/>
  <c r="O24"/>
  <c r="O25"/>
  <c r="O27"/>
  <c r="O26"/>
  <c r="O26" i="129"/>
  <c r="O27"/>
  <c r="O24"/>
  <c r="P24" s="1"/>
  <c r="Q24" s="1"/>
  <c r="R24" s="1"/>
  <c r="S24" s="1"/>
  <c r="O23"/>
  <c r="AY23"/>
  <c r="BP23"/>
  <c r="O25"/>
  <c r="P25" s="1"/>
  <c r="Q25" s="1"/>
  <c r="O26" i="127"/>
  <c r="P26" s="1"/>
  <c r="Q26" s="1"/>
  <c r="O23"/>
  <c r="P23" s="1"/>
  <c r="Q23" s="1"/>
  <c r="O25"/>
  <c r="P25" s="1"/>
  <c r="Q25" s="1"/>
  <c r="O27"/>
  <c r="O24"/>
  <c r="P24" s="1"/>
  <c r="Q24" s="1"/>
  <c r="AJ28" i="108"/>
  <c r="AO27"/>
  <c r="AJ23" i="120"/>
  <c r="AJ23" i="111"/>
  <c r="AO23" s="1"/>
  <c r="AJ23" i="119"/>
  <c r="AJ24" s="1"/>
  <c r="AJ23" i="105"/>
  <c r="AO23" s="1"/>
  <c r="AJ23" i="116"/>
  <c r="AO23" s="1"/>
  <c r="AJ27" i="105"/>
  <c r="AJ28" s="1"/>
  <c r="P23" i="115"/>
  <c r="Q23" s="1"/>
  <c r="R23" s="1"/>
  <c r="R24" s="1"/>
  <c r="I27" s="1"/>
  <c r="AJ23" i="123"/>
  <c r="AJ24" s="1"/>
  <c r="AE24" i="110"/>
  <c r="AK23"/>
  <c r="AJ26" i="105"/>
  <c r="AO26" s="1"/>
  <c r="N23" i="123"/>
  <c r="O23" i="122"/>
  <c r="P23" s="1"/>
  <c r="Q23" s="1"/>
  <c r="AG24"/>
  <c r="AJ23"/>
  <c r="O23" i="121"/>
  <c r="O23" i="120"/>
  <c r="N23" i="119"/>
  <c r="O23" i="118"/>
  <c r="AJ23" i="117"/>
  <c r="AG24"/>
  <c r="N23"/>
  <c r="O23" i="116"/>
  <c r="AG24" i="115"/>
  <c r="AJ23"/>
  <c r="O23" i="114"/>
  <c r="O23" i="113"/>
  <c r="O23" i="112"/>
  <c r="O23" i="111"/>
  <c r="P23" s="1"/>
  <c r="Q23" s="1"/>
  <c r="O23" i="110"/>
  <c r="AG24"/>
  <c r="AJ23"/>
  <c r="O23" i="109"/>
  <c r="O23" i="108"/>
  <c r="P23" s="1"/>
  <c r="Q23" s="1"/>
  <c r="R23" s="1"/>
  <c r="S23" s="1"/>
  <c r="X23" s="1"/>
  <c r="O26"/>
  <c r="P26" s="1"/>
  <c r="Q26" s="1"/>
  <c r="O24"/>
  <c r="P24" s="1"/>
  <c r="Q24" s="1"/>
  <c r="R24" s="1"/>
  <c r="S24" s="1"/>
  <c r="X24" s="1"/>
  <c r="BP26"/>
  <c r="AY26"/>
  <c r="O25"/>
  <c r="P25" s="1"/>
  <c r="Q25" s="1"/>
  <c r="AY25"/>
  <c r="BP25"/>
  <c r="N27"/>
  <c r="O23" i="107"/>
  <c r="AJ24" i="105"/>
  <c r="AO24" s="1"/>
  <c r="AJ25"/>
  <c r="AO25" s="1"/>
  <c r="O23" i="106"/>
  <c r="O23" i="105"/>
  <c r="P23" s="1"/>
  <c r="Q23" s="1"/>
  <c r="O24"/>
  <c r="P24" s="1"/>
  <c r="Q24" s="1"/>
  <c r="R24" s="1"/>
  <c r="S24" s="1"/>
  <c r="O27"/>
  <c r="O25"/>
  <c r="P25" s="1"/>
  <c r="Q25" s="1"/>
  <c r="O26"/>
  <c r="P26" s="1"/>
  <c r="Q26" s="1"/>
  <c r="O23" i="104"/>
  <c r="O23" i="103"/>
  <c r="CC27" i="97" l="1"/>
  <c r="CD27"/>
  <c r="DB23" s="1"/>
  <c r="CC26" i="93"/>
  <c r="CC27" i="90"/>
  <c r="CD27"/>
  <c r="AO23" i="82"/>
  <c r="AO23" i="81"/>
  <c r="AO27" i="137"/>
  <c r="AJ24" i="86"/>
  <c r="R28" i="135"/>
  <c r="I31" s="1"/>
  <c r="AJ24" i="88"/>
  <c r="AO23"/>
  <c r="AO23" i="109"/>
  <c r="AJ25" i="85"/>
  <c r="AK28" i="138"/>
  <c r="AP27"/>
  <c r="CR23" i="83"/>
  <c r="X24"/>
  <c r="CC24" s="1"/>
  <c r="CX23" i="84"/>
  <c r="CZ23"/>
  <c r="CC23" i="83"/>
  <c r="CD25" s="1"/>
  <c r="W23"/>
  <c r="AI23"/>
  <c r="S24"/>
  <c r="I28" s="1"/>
  <c r="V23"/>
  <c r="AA23"/>
  <c r="W23" i="82"/>
  <c r="AI23"/>
  <c r="AA23"/>
  <c r="V23"/>
  <c r="S24"/>
  <c r="I28" s="1"/>
  <c r="CC23"/>
  <c r="R23" i="81"/>
  <c r="P23" i="88"/>
  <c r="Q23" s="1"/>
  <c r="R23" s="1"/>
  <c r="P23" i="87"/>
  <c r="Q23" s="1"/>
  <c r="R23" s="1"/>
  <c r="R23" i="86"/>
  <c r="AP23" i="85"/>
  <c r="P23"/>
  <c r="Q23" s="1"/>
  <c r="R23" s="1"/>
  <c r="R24"/>
  <c r="S24" s="1"/>
  <c r="AR24" i="137"/>
  <c r="AX24" s="1"/>
  <c r="AZ24" s="1"/>
  <c r="BO24" s="1"/>
  <c r="AJ24" i="112"/>
  <c r="AK28" i="135"/>
  <c r="AP27"/>
  <c r="R24" i="138"/>
  <c r="S24" s="1"/>
  <c r="O25"/>
  <c r="P27"/>
  <c r="Q27" s="1"/>
  <c r="R27" s="1"/>
  <c r="R26"/>
  <c r="S26" s="1"/>
  <c r="O23"/>
  <c r="P23" s="1"/>
  <c r="Q23" s="1"/>
  <c r="CT24" i="137"/>
  <c r="AB24"/>
  <c r="R23"/>
  <c r="S23" s="1"/>
  <c r="O25"/>
  <c r="O27"/>
  <c r="P27" s="1"/>
  <c r="Q27" s="1"/>
  <c r="O26"/>
  <c r="P26" s="1"/>
  <c r="Q26" s="1"/>
  <c r="AK28" i="136"/>
  <c r="AP27"/>
  <c r="R27"/>
  <c r="P24"/>
  <c r="Q24" s="1"/>
  <c r="R24" s="1"/>
  <c r="S24" s="1"/>
  <c r="R23"/>
  <c r="S23" s="1"/>
  <c r="R26"/>
  <c r="S26" s="1"/>
  <c r="O25"/>
  <c r="P25" s="1"/>
  <c r="Q25" s="1"/>
  <c r="P24" i="135"/>
  <c r="Q24" s="1"/>
  <c r="R24" s="1"/>
  <c r="S24" s="1"/>
  <c r="P25"/>
  <c r="Q25" s="1"/>
  <c r="R25" s="1"/>
  <c r="S25" s="1"/>
  <c r="AC27"/>
  <c r="S28"/>
  <c r="I32" s="1"/>
  <c r="AI27"/>
  <c r="V27"/>
  <c r="W27"/>
  <c r="CQ27" s="1"/>
  <c r="AA27"/>
  <c r="R23"/>
  <c r="S23" s="1"/>
  <c r="P26"/>
  <c r="Q26" s="1"/>
  <c r="R26" s="1"/>
  <c r="S26" s="1"/>
  <c r="O26" i="134"/>
  <c r="O27"/>
  <c r="P23"/>
  <c r="Q23" s="1"/>
  <c r="R23" s="1"/>
  <c r="S23" s="1"/>
  <c r="R25"/>
  <c r="S25" s="1"/>
  <c r="R24"/>
  <c r="S24" s="1"/>
  <c r="O23" i="133"/>
  <c r="R25"/>
  <c r="S25" s="1"/>
  <c r="O24"/>
  <c r="P24" s="1"/>
  <c r="Q24" s="1"/>
  <c r="O27"/>
  <c r="P27" s="1"/>
  <c r="Q27" s="1"/>
  <c r="R26"/>
  <c r="S26" s="1"/>
  <c r="AO23" i="114"/>
  <c r="AO23" i="121"/>
  <c r="AJ24" i="116"/>
  <c r="W24" i="131"/>
  <c r="CQ24" s="1"/>
  <c r="V24"/>
  <c r="CP24" s="1"/>
  <c r="AJ24" i="118"/>
  <c r="AJ28" i="132"/>
  <c r="AO27"/>
  <c r="AJ28" i="127"/>
  <c r="O26" i="132"/>
  <c r="P26" s="1"/>
  <c r="Q26" s="1"/>
  <c r="R23"/>
  <c r="S23" s="1"/>
  <c r="X23" s="1"/>
  <c r="R27"/>
  <c r="O24"/>
  <c r="P24" s="1"/>
  <c r="Q24" s="1"/>
  <c r="P25"/>
  <c r="Q25" s="1"/>
  <c r="R25" s="1"/>
  <c r="S25" s="1"/>
  <c r="X25" s="1"/>
  <c r="CR25" s="1"/>
  <c r="R28" i="131"/>
  <c r="I31" s="1"/>
  <c r="S27"/>
  <c r="AA24"/>
  <c r="CT24" s="1"/>
  <c r="AC24"/>
  <c r="CC24"/>
  <c r="AX28"/>
  <c r="AI24"/>
  <c r="AN24" s="1"/>
  <c r="AR24" s="1"/>
  <c r="AX24" s="1"/>
  <c r="AZ24" s="1"/>
  <c r="BO24" s="1"/>
  <c r="X24"/>
  <c r="R25"/>
  <c r="S25" s="1"/>
  <c r="P26"/>
  <c r="Q26" s="1"/>
  <c r="R26" s="1"/>
  <c r="S26" s="1"/>
  <c r="P23"/>
  <c r="Q23" s="1"/>
  <c r="R23" s="1"/>
  <c r="S23" s="1"/>
  <c r="AJ28" i="126"/>
  <c r="AA23" i="128"/>
  <c r="CT23" s="1"/>
  <c r="AR25"/>
  <c r="AX25" s="1"/>
  <c r="AZ25" s="1"/>
  <c r="BO25" s="1"/>
  <c r="AI23"/>
  <c r="AN23" s="1"/>
  <c r="AR23" s="1"/>
  <c r="AX23" s="1"/>
  <c r="AZ23" s="1"/>
  <c r="BO23" s="1"/>
  <c r="AK24" i="113"/>
  <c r="AO27" i="105"/>
  <c r="CR26" i="125"/>
  <c r="R24" i="128"/>
  <c r="S24" s="1"/>
  <c r="AJ24" i="106"/>
  <c r="AJ28" i="130"/>
  <c r="AJ28" i="129"/>
  <c r="AO27"/>
  <c r="AX28" i="125"/>
  <c r="CC24"/>
  <c r="V24"/>
  <c r="W24"/>
  <c r="CQ24" s="1"/>
  <c r="AA24"/>
  <c r="CT24" s="1"/>
  <c r="AI24"/>
  <c r="AN24" s="1"/>
  <c r="AR24" s="1"/>
  <c r="AX24" s="1"/>
  <c r="AZ24" s="1"/>
  <c r="BO24" s="1"/>
  <c r="V26"/>
  <c r="W26"/>
  <c r="CQ26" s="1"/>
  <c r="AI26"/>
  <c r="AN26" s="1"/>
  <c r="AR26" s="1"/>
  <c r="AX26" s="1"/>
  <c r="AZ26" s="1"/>
  <c r="BO26" s="1"/>
  <c r="AA26"/>
  <c r="CT26" s="1"/>
  <c r="O23"/>
  <c r="P23" s="1"/>
  <c r="Q23" s="1"/>
  <c r="R27"/>
  <c r="P25"/>
  <c r="Q25" s="1"/>
  <c r="R25" s="1"/>
  <c r="S25" s="1"/>
  <c r="X25" s="1"/>
  <c r="CR25" s="1"/>
  <c r="P25" i="124"/>
  <c r="Q25" s="1"/>
  <c r="R25" s="1"/>
  <c r="S25" s="1"/>
  <c r="P27"/>
  <c r="Q27" s="1"/>
  <c r="R27" s="1"/>
  <c r="R26"/>
  <c r="S26" s="1"/>
  <c r="R23"/>
  <c r="S23" s="1"/>
  <c r="R24"/>
  <c r="S24" s="1"/>
  <c r="P24" i="126"/>
  <c r="Q24" s="1"/>
  <c r="R24" s="1"/>
  <c r="S24" s="1"/>
  <c r="R27"/>
  <c r="P26"/>
  <c r="Q26" s="1"/>
  <c r="R26" s="1"/>
  <c r="S26" s="1"/>
  <c r="R23"/>
  <c r="S23" s="1"/>
  <c r="R25"/>
  <c r="S25" s="1"/>
  <c r="R28" i="128"/>
  <c r="I31" s="1"/>
  <c r="S27"/>
  <c r="AB25"/>
  <c r="AC25" s="1"/>
  <c r="CR25"/>
  <c r="O26"/>
  <c r="CR23"/>
  <c r="P26" i="130"/>
  <c r="Q26" s="1"/>
  <c r="R26" s="1"/>
  <c r="S26" s="1"/>
  <c r="X26" s="1"/>
  <c r="CR26" s="1"/>
  <c r="P23"/>
  <c r="Q23" s="1"/>
  <c r="R23" s="1"/>
  <c r="S23" s="1"/>
  <c r="X23" s="1"/>
  <c r="P27"/>
  <c r="Q27" s="1"/>
  <c r="R27" s="1"/>
  <c r="P24"/>
  <c r="Q24" s="1"/>
  <c r="R24" s="1"/>
  <c r="S24" s="1"/>
  <c r="X24" s="1"/>
  <c r="CR24" s="1"/>
  <c r="P25"/>
  <c r="Q25" s="1"/>
  <c r="R25" s="1"/>
  <c r="S25" s="1"/>
  <c r="X25" s="1"/>
  <c r="CR25" s="1"/>
  <c r="CC24" i="129"/>
  <c r="AI24"/>
  <c r="AN24" s="1"/>
  <c r="AR24" s="1"/>
  <c r="AX24" s="1"/>
  <c r="AZ24" s="1"/>
  <c r="BO24" s="1"/>
  <c r="X24"/>
  <c r="AX28"/>
  <c r="AA24"/>
  <c r="P27"/>
  <c r="Q27" s="1"/>
  <c r="R27" s="1"/>
  <c r="P26"/>
  <c r="Q26" s="1"/>
  <c r="R26" s="1"/>
  <c r="S26" s="1"/>
  <c r="R25"/>
  <c r="S25" s="1"/>
  <c r="P23"/>
  <c r="Q23" s="1"/>
  <c r="R23" s="1"/>
  <c r="S23" s="1"/>
  <c r="R26" i="127"/>
  <c r="S26" s="1"/>
  <c r="X26" s="1"/>
  <c r="R24"/>
  <c r="S24" s="1"/>
  <c r="X24" s="1"/>
  <c r="R23"/>
  <c r="S23" s="1"/>
  <c r="X23" s="1"/>
  <c r="P27"/>
  <c r="Q27" s="1"/>
  <c r="R27" s="1"/>
  <c r="R25"/>
  <c r="S25" s="1"/>
  <c r="X25" s="1"/>
  <c r="AO23" i="120"/>
  <c r="AJ24"/>
  <c r="AO23" i="123"/>
  <c r="AO23" i="119"/>
  <c r="AJ24" i="111"/>
  <c r="R26" i="108"/>
  <c r="S26" s="1"/>
  <c r="X26" s="1"/>
  <c r="S23" i="115"/>
  <c r="V23" s="1"/>
  <c r="AP23" i="110"/>
  <c r="AK24"/>
  <c r="O23" i="123"/>
  <c r="P23" s="1"/>
  <c r="Q23" s="1"/>
  <c r="AO23" i="122"/>
  <c r="AJ24"/>
  <c r="R23"/>
  <c r="P23" i="121"/>
  <c r="Q23" s="1"/>
  <c r="R23" s="1"/>
  <c r="P23" i="120"/>
  <c r="Q23" s="1"/>
  <c r="R23" s="1"/>
  <c r="O23" i="119"/>
  <c r="P23" s="1"/>
  <c r="Q23" s="1"/>
  <c r="P23" i="118"/>
  <c r="Q23" s="1"/>
  <c r="R23" s="1"/>
  <c r="AO23" i="117"/>
  <c r="AJ24"/>
  <c r="O23"/>
  <c r="P23" i="116"/>
  <c r="Q23" s="1"/>
  <c r="R23" s="1"/>
  <c r="AO23" i="115"/>
  <c r="AJ24"/>
  <c r="P23" i="114"/>
  <c r="Q23" s="1"/>
  <c r="R23" s="1"/>
  <c r="P23" i="113"/>
  <c r="Q23" s="1"/>
  <c r="R23" s="1"/>
  <c r="P23" i="112"/>
  <c r="Q23" s="1"/>
  <c r="R23" s="1"/>
  <c r="R23" i="111"/>
  <c r="S23" s="1"/>
  <c r="AJ24" i="110"/>
  <c r="AO23"/>
  <c r="P23"/>
  <c r="Q23" s="1"/>
  <c r="R23" s="1"/>
  <c r="P23" i="109"/>
  <c r="Q23" s="1"/>
  <c r="R23" s="1"/>
  <c r="AI23" i="108"/>
  <c r="AN23" s="1"/>
  <c r="AR23" s="1"/>
  <c r="AX23" s="1"/>
  <c r="AZ23" s="1"/>
  <c r="BO23" s="1"/>
  <c r="AC23"/>
  <c r="AA23"/>
  <c r="W23"/>
  <c r="V23"/>
  <c r="V26"/>
  <c r="W26"/>
  <c r="O27"/>
  <c r="P27" s="1"/>
  <c r="Q27" s="1"/>
  <c r="R25"/>
  <c r="S25" s="1"/>
  <c r="X25" s="1"/>
  <c r="W24"/>
  <c r="AI24"/>
  <c r="AN24" s="1"/>
  <c r="AR24" s="1"/>
  <c r="AX24" s="1"/>
  <c r="AZ24" s="1"/>
  <c r="BO24" s="1"/>
  <c r="AC24"/>
  <c r="AA24"/>
  <c r="V24"/>
  <c r="P23" i="107"/>
  <c r="Q23" s="1"/>
  <c r="R23" s="1"/>
  <c r="P23" i="106"/>
  <c r="Q23" s="1"/>
  <c r="R23" s="1"/>
  <c r="AI24" i="105"/>
  <c r="AN24" s="1"/>
  <c r="AR24" s="1"/>
  <c r="AX24" s="1"/>
  <c r="AZ24" s="1"/>
  <c r="BO24" s="1"/>
  <c r="AC24"/>
  <c r="AA24"/>
  <c r="V24"/>
  <c r="W24"/>
  <c r="R23"/>
  <c r="S23" s="1"/>
  <c r="R26"/>
  <c r="S26" s="1"/>
  <c r="P27"/>
  <c r="Q27" s="1"/>
  <c r="R27" s="1"/>
  <c r="R25"/>
  <c r="S25" s="1"/>
  <c r="P23" i="104"/>
  <c r="Q23" s="1"/>
  <c r="R23" s="1"/>
  <c r="P23" i="103"/>
  <c r="Q23" s="1"/>
  <c r="R23" s="1"/>
  <c r="CX23" i="97" l="1"/>
  <c r="W23" i="115"/>
  <c r="W24" s="1"/>
  <c r="V24" i="85"/>
  <c r="CP24" s="1"/>
  <c r="W24"/>
  <c r="CQ24" s="1"/>
  <c r="CD26" i="82"/>
  <c r="CU23" s="1"/>
  <c r="CZ23" s="1"/>
  <c r="CD26" i="83"/>
  <c r="CU23"/>
  <c r="S23" i="85"/>
  <c r="AA23" s="1"/>
  <c r="R25"/>
  <c r="AA24" i="83"/>
  <c r="CT23"/>
  <c r="CQ23"/>
  <c r="W24"/>
  <c r="CC25" s="1"/>
  <c r="AI24"/>
  <c r="AN23"/>
  <c r="AR23" s="1"/>
  <c r="AX23" s="1"/>
  <c r="AZ23" s="1"/>
  <c r="BO23" s="1"/>
  <c r="CP23"/>
  <c r="AB23"/>
  <c r="V24"/>
  <c r="W24" i="82"/>
  <c r="CC25" s="1"/>
  <c r="CQ23"/>
  <c r="AI24"/>
  <c r="AN23"/>
  <c r="AR23" s="1"/>
  <c r="AX23" s="1"/>
  <c r="AZ23" s="1"/>
  <c r="BO23" s="1"/>
  <c r="CT23"/>
  <c r="AA24"/>
  <c r="V24"/>
  <c r="CC24" s="1"/>
  <c r="CP23"/>
  <c r="AB23"/>
  <c r="R24" i="81"/>
  <c r="I27" s="1"/>
  <c r="S23"/>
  <c r="R24" i="88"/>
  <c r="I27" s="1"/>
  <c r="S23"/>
  <c r="R24" i="87"/>
  <c r="I27" s="1"/>
  <c r="S23"/>
  <c r="S23" i="86"/>
  <c r="AI23" i="85"/>
  <c r="AI24"/>
  <c r="AN24" s="1"/>
  <c r="AR24" s="1"/>
  <c r="AX24" s="1"/>
  <c r="AZ24" s="1"/>
  <c r="BO24" s="1"/>
  <c r="AA24"/>
  <c r="AX25"/>
  <c r="CC24"/>
  <c r="W23" i="137"/>
  <c r="V23"/>
  <c r="R28" i="138"/>
  <c r="I31" s="1"/>
  <c r="S27"/>
  <c r="P25"/>
  <c r="Q25" s="1"/>
  <c r="R25" s="1"/>
  <c r="S25" s="1"/>
  <c r="AA26"/>
  <c r="CT26" s="1"/>
  <c r="V26"/>
  <c r="AC26"/>
  <c r="W26"/>
  <c r="CQ26" s="1"/>
  <c r="AI26"/>
  <c r="AN26" s="1"/>
  <c r="AR26" s="1"/>
  <c r="AX26" s="1"/>
  <c r="AZ26" s="1"/>
  <c r="BO26" s="1"/>
  <c r="W24"/>
  <c r="CQ24" s="1"/>
  <c r="AI24"/>
  <c r="AN24" s="1"/>
  <c r="AR24" s="1"/>
  <c r="AX24" s="1"/>
  <c r="AZ24" s="1"/>
  <c r="BO24" s="1"/>
  <c r="AC24"/>
  <c r="V24"/>
  <c r="AA24"/>
  <c r="CT24" s="1"/>
  <c r="AX28"/>
  <c r="CC24"/>
  <c r="R23"/>
  <c r="S23" s="1"/>
  <c r="R26" i="137"/>
  <c r="S26" s="1"/>
  <c r="AI23"/>
  <c r="AN23" s="1"/>
  <c r="AR23" s="1"/>
  <c r="AX23" s="1"/>
  <c r="AZ23" s="1"/>
  <c r="BO23" s="1"/>
  <c r="AA23"/>
  <c r="AC23"/>
  <c r="P25"/>
  <c r="Q25" s="1"/>
  <c r="R25" s="1"/>
  <c r="S25" s="1"/>
  <c r="R27"/>
  <c r="AI24" i="136"/>
  <c r="AN24" s="1"/>
  <c r="AR24" s="1"/>
  <c r="AX24" s="1"/>
  <c r="AZ24" s="1"/>
  <c r="BO24" s="1"/>
  <c r="AC24"/>
  <c r="AA24"/>
  <c r="AX28"/>
  <c r="CC24"/>
  <c r="R28"/>
  <c r="I31" s="1"/>
  <c r="S27"/>
  <c r="AI23"/>
  <c r="AN23" s="1"/>
  <c r="AR23" s="1"/>
  <c r="AX23" s="1"/>
  <c r="AZ23" s="1"/>
  <c r="BO23" s="1"/>
  <c r="AA23"/>
  <c r="AC23"/>
  <c r="AA26"/>
  <c r="AC26"/>
  <c r="AI26"/>
  <c r="AN26" s="1"/>
  <c r="AR26" s="1"/>
  <c r="AX26" s="1"/>
  <c r="AZ26" s="1"/>
  <c r="BO26" s="1"/>
  <c r="R25"/>
  <c r="S25" s="1"/>
  <c r="W24" i="135"/>
  <c r="CQ24" s="1"/>
  <c r="AI24"/>
  <c r="AN24" s="1"/>
  <c r="AR24" s="1"/>
  <c r="AX24" s="1"/>
  <c r="AZ24" s="1"/>
  <c r="BO24" s="1"/>
  <c r="AA24"/>
  <c r="CT24" s="1"/>
  <c r="AX28"/>
  <c r="CC24"/>
  <c r="V24"/>
  <c r="AC24"/>
  <c r="AA26"/>
  <c r="CT26" s="1"/>
  <c r="AC26"/>
  <c r="V26"/>
  <c r="W26"/>
  <c r="CQ26" s="1"/>
  <c r="AI26"/>
  <c r="AN26" s="1"/>
  <c r="AR26" s="1"/>
  <c r="AX26" s="1"/>
  <c r="AZ26" s="1"/>
  <c r="BO26" s="1"/>
  <c r="AN27"/>
  <c r="AR27" s="1"/>
  <c r="AX27" s="1"/>
  <c r="AZ27" s="1"/>
  <c r="BO27" s="1"/>
  <c r="AI28"/>
  <c r="AI25"/>
  <c r="AN25" s="1"/>
  <c r="AR25" s="1"/>
  <c r="AX25" s="1"/>
  <c r="AZ25" s="1"/>
  <c r="BO25" s="1"/>
  <c r="AC25"/>
  <c r="AA25"/>
  <c r="CT25" s="1"/>
  <c r="V25"/>
  <c r="W25"/>
  <c r="CQ25" s="1"/>
  <c r="AA28"/>
  <c r="CT27"/>
  <c r="AB27"/>
  <c r="CP27"/>
  <c r="CC23"/>
  <c r="W23"/>
  <c r="AI23"/>
  <c r="AN23" s="1"/>
  <c r="AR23" s="1"/>
  <c r="AX23" s="1"/>
  <c r="AZ23" s="1"/>
  <c r="BO23" s="1"/>
  <c r="AA23"/>
  <c r="CT23" s="1"/>
  <c r="AW28"/>
  <c r="AC23"/>
  <c r="V23"/>
  <c r="P26" i="134"/>
  <c r="Q26" s="1"/>
  <c r="R26" s="1"/>
  <c r="S26" s="1"/>
  <c r="P27"/>
  <c r="Q27" s="1"/>
  <c r="R27" s="1"/>
  <c r="AI23"/>
  <c r="AN23" s="1"/>
  <c r="AR23" s="1"/>
  <c r="AX23" s="1"/>
  <c r="AZ23" s="1"/>
  <c r="BO23" s="1"/>
  <c r="AA23"/>
  <c r="CT23" s="1"/>
  <c r="V23"/>
  <c r="W23"/>
  <c r="AA25"/>
  <c r="CT25" s="1"/>
  <c r="V25"/>
  <c r="AI25"/>
  <c r="AN25" s="1"/>
  <c r="AR25" s="1"/>
  <c r="AX25" s="1"/>
  <c r="AZ25" s="1"/>
  <c r="BO25" s="1"/>
  <c r="W25"/>
  <c r="CQ25" s="1"/>
  <c r="AA24"/>
  <c r="CT24" s="1"/>
  <c r="CC24"/>
  <c r="AX28"/>
  <c r="W24"/>
  <c r="CQ24" s="1"/>
  <c r="AI24"/>
  <c r="AN24" s="1"/>
  <c r="AR24" s="1"/>
  <c r="AX24" s="1"/>
  <c r="AZ24" s="1"/>
  <c r="BO24" s="1"/>
  <c r="V24"/>
  <c r="P23" i="133"/>
  <c r="Q23" s="1"/>
  <c r="R23" s="1"/>
  <c r="S23" s="1"/>
  <c r="AA25"/>
  <c r="CT25" s="1"/>
  <c r="AC25"/>
  <c r="AI25"/>
  <c r="AN25" s="1"/>
  <c r="AR25" s="1"/>
  <c r="AX25" s="1"/>
  <c r="AZ25" s="1"/>
  <c r="BO25" s="1"/>
  <c r="X25"/>
  <c r="R24"/>
  <c r="S24" s="1"/>
  <c r="AC26"/>
  <c r="AA26"/>
  <c r="CT26" s="1"/>
  <c r="AI26"/>
  <c r="AN26" s="1"/>
  <c r="AR26" s="1"/>
  <c r="AX26" s="1"/>
  <c r="AZ26" s="1"/>
  <c r="BO26" s="1"/>
  <c r="X26"/>
  <c r="R27"/>
  <c r="W23" i="131"/>
  <c r="V23"/>
  <c r="W27"/>
  <c r="CQ27" s="1"/>
  <c r="V27"/>
  <c r="CP27" s="1"/>
  <c r="V25"/>
  <c r="CP25" s="1"/>
  <c r="W25"/>
  <c r="CQ25" s="1"/>
  <c r="V26"/>
  <c r="CP26" s="1"/>
  <c r="W26"/>
  <c r="CQ26" s="1"/>
  <c r="CR23" i="132"/>
  <c r="AC25"/>
  <c r="V25"/>
  <c r="AI25"/>
  <c r="AN25" s="1"/>
  <c r="AR25" s="1"/>
  <c r="AX25" s="1"/>
  <c r="AZ25" s="1"/>
  <c r="BO25" s="1"/>
  <c r="W25"/>
  <c r="CQ25" s="1"/>
  <c r="AA25"/>
  <c r="CT25" s="1"/>
  <c r="R28"/>
  <c r="I31" s="1"/>
  <c r="S27"/>
  <c r="X27" s="1"/>
  <c r="CR27" s="1"/>
  <c r="V23"/>
  <c r="W23"/>
  <c r="AI23"/>
  <c r="AN23" s="1"/>
  <c r="AR23" s="1"/>
  <c r="AX23" s="1"/>
  <c r="AZ23" s="1"/>
  <c r="BO23" s="1"/>
  <c r="AA23"/>
  <c r="CT23" s="1"/>
  <c r="AC23"/>
  <c r="R26"/>
  <c r="S26" s="1"/>
  <c r="X26" s="1"/>
  <c r="CR26" s="1"/>
  <c r="R24"/>
  <c r="S24" s="1"/>
  <c r="X24" s="1"/>
  <c r="CR24" s="1"/>
  <c r="AB24" i="131"/>
  <c r="CR24"/>
  <c r="AC27"/>
  <c r="S28"/>
  <c r="I32" s="1"/>
  <c r="AI27"/>
  <c r="X27"/>
  <c r="AA27"/>
  <c r="AC25"/>
  <c r="AI25"/>
  <c r="AN25" s="1"/>
  <c r="AR25" s="1"/>
  <c r="AX25" s="1"/>
  <c r="AZ25" s="1"/>
  <c r="BO25" s="1"/>
  <c r="X25"/>
  <c r="AA25"/>
  <c r="CT25" s="1"/>
  <c r="AC26"/>
  <c r="AI26"/>
  <c r="AN26" s="1"/>
  <c r="AR26" s="1"/>
  <c r="AX26" s="1"/>
  <c r="AZ26" s="1"/>
  <c r="BO26" s="1"/>
  <c r="X26"/>
  <c r="AA26"/>
  <c r="CT26" s="1"/>
  <c r="AA23"/>
  <c r="CT23" s="1"/>
  <c r="AC23"/>
  <c r="AW28"/>
  <c r="CC23"/>
  <c r="CD29" s="1"/>
  <c r="AI23"/>
  <c r="AN23" s="1"/>
  <c r="AR23" s="1"/>
  <c r="AX23" s="1"/>
  <c r="AZ23" s="1"/>
  <c r="BO23" s="1"/>
  <c r="X23"/>
  <c r="AA23" i="115"/>
  <c r="AA24" s="1"/>
  <c r="AB23" i="128"/>
  <c r="AC23" s="1"/>
  <c r="AB24" i="129"/>
  <c r="AC24" s="1"/>
  <c r="V23" i="126"/>
  <c r="W23"/>
  <c r="AX28" i="128"/>
  <c r="AA24"/>
  <c r="CT24" s="1"/>
  <c r="AI24"/>
  <c r="AN24" s="1"/>
  <c r="AR24" s="1"/>
  <c r="AX24" s="1"/>
  <c r="AZ24" s="1"/>
  <c r="BO24" s="1"/>
  <c r="X24"/>
  <c r="CC24"/>
  <c r="AI26" i="108"/>
  <c r="AN26" s="1"/>
  <c r="AR26" s="1"/>
  <c r="AX26" s="1"/>
  <c r="AZ26" s="1"/>
  <c r="BO26" s="1"/>
  <c r="V25" i="126"/>
  <c r="CP25" s="1"/>
  <c r="W25"/>
  <c r="CQ25" s="1"/>
  <c r="AA26" i="108"/>
  <c r="AB26" s="1"/>
  <c r="AC26"/>
  <c r="W24" i="126"/>
  <c r="CQ24" s="1"/>
  <c r="V24"/>
  <c r="CP24" s="1"/>
  <c r="CR23" i="130"/>
  <c r="V26" i="126"/>
  <c r="CP26" s="1"/>
  <c r="W26"/>
  <c r="CQ26" s="1"/>
  <c r="V25" i="125"/>
  <c r="W25"/>
  <c r="CQ25" s="1"/>
  <c r="AI25"/>
  <c r="AN25" s="1"/>
  <c r="AR25" s="1"/>
  <c r="AX25" s="1"/>
  <c r="AZ25" s="1"/>
  <c r="BO25" s="1"/>
  <c r="AA25"/>
  <c r="CT25" s="1"/>
  <c r="S27"/>
  <c r="X27" s="1"/>
  <c r="CR27" s="1"/>
  <c r="R28"/>
  <c r="I31" s="1"/>
  <c r="AB24"/>
  <c r="AC24" s="1"/>
  <c r="CP24"/>
  <c r="R23"/>
  <c r="S23" s="1"/>
  <c r="X23" s="1"/>
  <c r="CP26"/>
  <c r="AB26"/>
  <c r="AC26" s="1"/>
  <c r="R28" i="124"/>
  <c r="I31" s="1"/>
  <c r="S27"/>
  <c r="CC23" s="1"/>
  <c r="AX28"/>
  <c r="CC24"/>
  <c r="V24"/>
  <c r="W24"/>
  <c r="CQ24" s="1"/>
  <c r="AI24"/>
  <c r="AN24" s="1"/>
  <c r="AR24" s="1"/>
  <c r="AX24" s="1"/>
  <c r="AZ24" s="1"/>
  <c r="BO24" s="1"/>
  <c r="AA24"/>
  <c r="CT24" s="1"/>
  <c r="V25"/>
  <c r="W25"/>
  <c r="CQ25" s="1"/>
  <c r="AI25"/>
  <c r="AN25" s="1"/>
  <c r="AR25" s="1"/>
  <c r="AX25" s="1"/>
  <c r="AZ25" s="1"/>
  <c r="BO25" s="1"/>
  <c r="AA25"/>
  <c r="CT25" s="1"/>
  <c r="V26"/>
  <c r="W26"/>
  <c r="CQ26" s="1"/>
  <c r="AI26"/>
  <c r="AN26" s="1"/>
  <c r="AR26" s="1"/>
  <c r="AX26" s="1"/>
  <c r="AZ26" s="1"/>
  <c r="BO26" s="1"/>
  <c r="AA26"/>
  <c r="CT26" s="1"/>
  <c r="AA23"/>
  <c r="CT23" s="1"/>
  <c r="V23"/>
  <c r="W23"/>
  <c r="AI23"/>
  <c r="AN23" s="1"/>
  <c r="AR23" s="1"/>
  <c r="AX23" s="1"/>
  <c r="AZ23" s="1"/>
  <c r="BO23" s="1"/>
  <c r="AI26" i="126"/>
  <c r="AN26" s="1"/>
  <c r="AR26" s="1"/>
  <c r="AX26" s="1"/>
  <c r="AZ26" s="1"/>
  <c r="BO26" s="1"/>
  <c r="X26"/>
  <c r="AA26"/>
  <c r="CT26" s="1"/>
  <c r="R28"/>
  <c r="I31" s="1"/>
  <c r="S27"/>
  <c r="AW28" s="1"/>
  <c r="CC24"/>
  <c r="AA24"/>
  <c r="CT24" s="1"/>
  <c r="AI24"/>
  <c r="AN24" s="1"/>
  <c r="AR24" s="1"/>
  <c r="AX24" s="1"/>
  <c r="AZ24" s="1"/>
  <c r="BO24" s="1"/>
  <c r="AX28"/>
  <c r="X24"/>
  <c r="AI23"/>
  <c r="AN23" s="1"/>
  <c r="AR23" s="1"/>
  <c r="AX23" s="1"/>
  <c r="AZ23" s="1"/>
  <c r="BO23" s="1"/>
  <c r="X23"/>
  <c r="AA23"/>
  <c r="CT23" s="1"/>
  <c r="AA25"/>
  <c r="CT25" s="1"/>
  <c r="AI25"/>
  <c r="AN25" s="1"/>
  <c r="AR25" s="1"/>
  <c r="AX25" s="1"/>
  <c r="AZ25" s="1"/>
  <c r="BO25" s="1"/>
  <c r="X25"/>
  <c r="AA27" i="128"/>
  <c r="S28"/>
  <c r="I32" s="1"/>
  <c r="AI27"/>
  <c r="X27"/>
  <c r="P26"/>
  <c r="Q26" s="1"/>
  <c r="R26" s="1"/>
  <c r="S26" s="1"/>
  <c r="W26" i="130"/>
  <c r="CQ26" s="1"/>
  <c r="AA26"/>
  <c r="CT26" s="1"/>
  <c r="AC26"/>
  <c r="AI26"/>
  <c r="AN26" s="1"/>
  <c r="AR26" s="1"/>
  <c r="AX26" s="1"/>
  <c r="AZ26" s="1"/>
  <c r="BO26" s="1"/>
  <c r="V26"/>
  <c r="V23"/>
  <c r="AI23"/>
  <c r="AN23" s="1"/>
  <c r="AR23" s="1"/>
  <c r="AX23" s="1"/>
  <c r="AZ23" s="1"/>
  <c r="BO23" s="1"/>
  <c r="W23"/>
  <c r="AC23"/>
  <c r="AA23"/>
  <c r="CT23" s="1"/>
  <c r="R28"/>
  <c r="I31" s="1"/>
  <c r="S27"/>
  <c r="X27" s="1"/>
  <c r="CR27" s="1"/>
  <c r="AI25"/>
  <c r="AN25" s="1"/>
  <c r="AR25" s="1"/>
  <c r="AX25" s="1"/>
  <c r="AZ25" s="1"/>
  <c r="BO25" s="1"/>
  <c r="V25"/>
  <c r="W25"/>
  <c r="CQ25" s="1"/>
  <c r="AA25"/>
  <c r="CT25" s="1"/>
  <c r="AC25"/>
  <c r="W24"/>
  <c r="CQ24" s="1"/>
  <c r="AX28"/>
  <c r="AA24"/>
  <c r="CT24" s="1"/>
  <c r="AC24"/>
  <c r="AI24"/>
  <c r="AN24" s="1"/>
  <c r="AR24" s="1"/>
  <c r="AX24" s="1"/>
  <c r="AZ24" s="1"/>
  <c r="BO24" s="1"/>
  <c r="CC24"/>
  <c r="V24"/>
  <c r="AA23" i="129"/>
  <c r="AI23"/>
  <c r="AN23" s="1"/>
  <c r="AR23" s="1"/>
  <c r="AX23" s="1"/>
  <c r="AZ23" s="1"/>
  <c r="BO23" s="1"/>
  <c r="X23"/>
  <c r="R28"/>
  <c r="I31" s="1"/>
  <c r="S27"/>
  <c r="AW28" s="1"/>
  <c r="AA25"/>
  <c r="AI25"/>
  <c r="AN25" s="1"/>
  <c r="AR25" s="1"/>
  <c r="AX25" s="1"/>
  <c r="AZ25" s="1"/>
  <c r="BO25" s="1"/>
  <c r="X25"/>
  <c r="AI26"/>
  <c r="AN26" s="1"/>
  <c r="AR26" s="1"/>
  <c r="AX26" s="1"/>
  <c r="AZ26" s="1"/>
  <c r="BO26" s="1"/>
  <c r="X26"/>
  <c r="AA26"/>
  <c r="W24" i="127"/>
  <c r="CK24" s="1"/>
  <c r="AX28"/>
  <c r="AC24"/>
  <c r="AA24"/>
  <c r="V24"/>
  <c r="AI24"/>
  <c r="AN24" s="1"/>
  <c r="AR24" s="1"/>
  <c r="AX24" s="1"/>
  <c r="AZ24" s="1"/>
  <c r="BO24" s="1"/>
  <c r="CC24"/>
  <c r="R28"/>
  <c r="I31" s="1"/>
  <c r="S27"/>
  <c r="X27" s="1"/>
  <c r="X28" s="1"/>
  <c r="V23"/>
  <c r="W23"/>
  <c r="AI23"/>
  <c r="AN23" s="1"/>
  <c r="AR23" s="1"/>
  <c r="AX23" s="1"/>
  <c r="AZ23" s="1"/>
  <c r="BO23" s="1"/>
  <c r="AA23"/>
  <c r="AC23"/>
  <c r="W26"/>
  <c r="CK26" s="1"/>
  <c r="AI26"/>
  <c r="AN26" s="1"/>
  <c r="AR26" s="1"/>
  <c r="AX26" s="1"/>
  <c r="AZ26" s="1"/>
  <c r="BO26" s="1"/>
  <c r="AA26"/>
  <c r="AC26"/>
  <c r="V26"/>
  <c r="AC25"/>
  <c r="W25"/>
  <c r="CK25" s="1"/>
  <c r="AI25"/>
  <c r="AN25" s="1"/>
  <c r="AR25" s="1"/>
  <c r="AX25" s="1"/>
  <c r="AZ25" s="1"/>
  <c r="BO25" s="1"/>
  <c r="V25"/>
  <c r="AA25"/>
  <c r="S24" i="115"/>
  <c r="I28" s="1"/>
  <c r="AI23"/>
  <c r="AN23" s="1"/>
  <c r="AR23" s="1"/>
  <c r="AX23" s="1"/>
  <c r="AZ23" s="1"/>
  <c r="BO23" s="1"/>
  <c r="R23" i="123"/>
  <c r="R24" i="122"/>
  <c r="I27" s="1"/>
  <c r="S23"/>
  <c r="R24" i="121"/>
  <c r="I27" s="1"/>
  <c r="S23"/>
  <c r="Y23" s="1"/>
  <c r="Y24" s="1"/>
  <c r="R24" i="120"/>
  <c r="I27" s="1"/>
  <c r="S23"/>
  <c r="R23" i="119"/>
  <c r="R24" i="118"/>
  <c r="I27" s="1"/>
  <c r="S23"/>
  <c r="P23" i="117"/>
  <c r="Q23" s="1"/>
  <c r="R23" s="1"/>
  <c r="R24" i="116"/>
  <c r="I27" s="1"/>
  <c r="S23"/>
  <c r="V24" i="115"/>
  <c r="R24" i="114"/>
  <c r="I27" s="1"/>
  <c r="S23"/>
  <c r="R24" i="113"/>
  <c r="I27" s="1"/>
  <c r="S23"/>
  <c r="R24" i="112"/>
  <c r="I27" s="1"/>
  <c r="S23"/>
  <c r="W23" s="1"/>
  <c r="W24" s="1"/>
  <c r="V23" i="111"/>
  <c r="V24" s="1"/>
  <c r="Y23"/>
  <c r="Y24" s="1"/>
  <c r="R24"/>
  <c r="I27" s="1"/>
  <c r="S24"/>
  <c r="I28" s="1"/>
  <c r="AI23"/>
  <c r="AA23"/>
  <c r="R24" i="110"/>
  <c r="I27" s="1"/>
  <c r="S23"/>
  <c r="R24" i="109"/>
  <c r="I27" s="1"/>
  <c r="S23"/>
  <c r="V25" i="108"/>
  <c r="W25"/>
  <c r="AI25"/>
  <c r="AN25" s="1"/>
  <c r="AR25" s="1"/>
  <c r="AX25" s="1"/>
  <c r="AZ25" s="1"/>
  <c r="BO25" s="1"/>
  <c r="AA25"/>
  <c r="AC25"/>
  <c r="AB23"/>
  <c r="AB24"/>
  <c r="R27"/>
  <c r="R24" i="107"/>
  <c r="I27" s="1"/>
  <c r="S23"/>
  <c r="X23" s="1"/>
  <c r="X24" s="1"/>
  <c r="R24" i="106"/>
  <c r="I27" s="1"/>
  <c r="S23"/>
  <c r="V26" i="105"/>
  <c r="W26"/>
  <c r="AI26"/>
  <c r="AN26" s="1"/>
  <c r="AR26" s="1"/>
  <c r="AX26" s="1"/>
  <c r="AZ26" s="1"/>
  <c r="BO26" s="1"/>
  <c r="AA26"/>
  <c r="AC26"/>
  <c r="W25"/>
  <c r="AI25"/>
  <c r="AN25" s="1"/>
  <c r="AR25" s="1"/>
  <c r="AX25" s="1"/>
  <c r="AZ25" s="1"/>
  <c r="BO25" s="1"/>
  <c r="AA25"/>
  <c r="V25"/>
  <c r="AC25"/>
  <c r="R28"/>
  <c r="I31" s="1"/>
  <c r="S27"/>
  <c r="AC23"/>
  <c r="V23"/>
  <c r="AA23"/>
  <c r="W23"/>
  <c r="AI23"/>
  <c r="AN23" s="1"/>
  <c r="AR23" s="1"/>
  <c r="AX23" s="1"/>
  <c r="AZ23" s="1"/>
  <c r="BO23" s="1"/>
  <c r="AB24"/>
  <c r="R24" i="104"/>
  <c r="S23"/>
  <c r="R24" i="103"/>
  <c r="S23"/>
  <c r="AW28" i="136" l="1"/>
  <c r="CD25" i="135"/>
  <c r="CD27" i="82"/>
  <c r="CX23" s="1"/>
  <c r="AN23" i="85"/>
  <c r="AI25"/>
  <c r="AA25"/>
  <c r="CX23" i="83"/>
  <c r="V23" i="85"/>
  <c r="W23"/>
  <c r="AB23" s="1"/>
  <c r="AC23" s="1"/>
  <c r="S25"/>
  <c r="AB24" i="83"/>
  <c r="I29" s="1"/>
  <c r="I30" s="1"/>
  <c r="AC23"/>
  <c r="AC24" s="1"/>
  <c r="AT24" s="1"/>
  <c r="AU24" s="1"/>
  <c r="CZ23"/>
  <c r="AB24" i="82"/>
  <c r="I29" s="1"/>
  <c r="I30" s="1"/>
  <c r="AC23"/>
  <c r="AC24" s="1"/>
  <c r="W23" i="81"/>
  <c r="AI23"/>
  <c r="AA23"/>
  <c r="S24"/>
  <c r="I28" s="1"/>
  <c r="CC23"/>
  <c r="V23"/>
  <c r="W23" i="88"/>
  <c r="AI23"/>
  <c r="AA23"/>
  <c r="S24"/>
  <c r="I28" s="1"/>
  <c r="CC23"/>
  <c r="V23"/>
  <c r="W23" i="87"/>
  <c r="AI23"/>
  <c r="AA23"/>
  <c r="S24"/>
  <c r="I28" s="1"/>
  <c r="CC23"/>
  <c r="V23"/>
  <c r="R24" i="86"/>
  <c r="I27" s="1"/>
  <c r="CC23"/>
  <c r="V23"/>
  <c r="AA23"/>
  <c r="W23"/>
  <c r="AI23"/>
  <c r="S24"/>
  <c r="I28" s="1"/>
  <c r="I28" i="85"/>
  <c r="CT23"/>
  <c r="CT24"/>
  <c r="AB24"/>
  <c r="AC24" s="1"/>
  <c r="W25" i="137"/>
  <c r="CQ25" s="1"/>
  <c r="V25"/>
  <c r="CP25" s="1"/>
  <c r="CQ23"/>
  <c r="CP23"/>
  <c r="V26"/>
  <c r="CP26" s="1"/>
  <c r="W26"/>
  <c r="CQ26" s="1"/>
  <c r="AI25" i="138"/>
  <c r="AN25" s="1"/>
  <c r="AR25" s="1"/>
  <c r="AX25" s="1"/>
  <c r="AZ25" s="1"/>
  <c r="BO25" s="1"/>
  <c r="AC25"/>
  <c r="AA25"/>
  <c r="CT25" s="1"/>
  <c r="V25"/>
  <c r="W25"/>
  <c r="CQ25" s="1"/>
  <c r="CC23"/>
  <c r="CD25" s="1"/>
  <c r="W23"/>
  <c r="AA23"/>
  <c r="CT23" s="1"/>
  <c r="AC23"/>
  <c r="AI23"/>
  <c r="AN23" s="1"/>
  <c r="AR23" s="1"/>
  <c r="AX23" s="1"/>
  <c r="AZ23" s="1"/>
  <c r="BO23" s="1"/>
  <c r="V23"/>
  <c r="AW28"/>
  <c r="AC27"/>
  <c r="AI27"/>
  <c r="S28"/>
  <c r="I32" s="1"/>
  <c r="V27"/>
  <c r="W27"/>
  <c r="CQ27" s="1"/>
  <c r="AA27"/>
  <c r="CP24"/>
  <c r="AB24"/>
  <c r="CP26"/>
  <c r="AB26"/>
  <c r="AA26" i="137"/>
  <c r="AC26"/>
  <c r="AI26"/>
  <c r="AN26" s="1"/>
  <c r="AR26" s="1"/>
  <c r="AX26" s="1"/>
  <c r="AZ26" s="1"/>
  <c r="BO26" s="1"/>
  <c r="AA25"/>
  <c r="AC25"/>
  <c r="AI25"/>
  <c r="AN25" s="1"/>
  <c r="AR25" s="1"/>
  <c r="AX25" s="1"/>
  <c r="AZ25" s="1"/>
  <c r="BO25" s="1"/>
  <c r="R28"/>
  <c r="I31" s="1"/>
  <c r="S27"/>
  <c r="CC23" s="1"/>
  <c r="CD25" s="1"/>
  <c r="CT23"/>
  <c r="AB23"/>
  <c r="CT23" i="136"/>
  <c r="AB23"/>
  <c r="CT26"/>
  <c r="AB26"/>
  <c r="CT24"/>
  <c r="AB24"/>
  <c r="AC27"/>
  <c r="S28"/>
  <c r="I32" s="1"/>
  <c r="AI27"/>
  <c r="AA27"/>
  <c r="AI25"/>
  <c r="AN25" s="1"/>
  <c r="AR25" s="1"/>
  <c r="AX25" s="1"/>
  <c r="AZ25" s="1"/>
  <c r="BO25" s="1"/>
  <c r="AA25"/>
  <c r="AC25"/>
  <c r="CC23"/>
  <c r="CD25" s="1"/>
  <c r="W28" i="135"/>
  <c r="CQ23"/>
  <c r="AB25"/>
  <c r="CP25"/>
  <c r="AB26"/>
  <c r="CP26"/>
  <c r="AC28"/>
  <c r="AT28" s="1"/>
  <c r="AU28" s="1"/>
  <c r="CP23"/>
  <c r="AB23"/>
  <c r="V28"/>
  <c r="CP24"/>
  <c r="AB24"/>
  <c r="R28" i="134"/>
  <c r="I31" s="1"/>
  <c r="S27"/>
  <c r="CC23" s="1"/>
  <c r="CD25" s="1"/>
  <c r="AB24"/>
  <c r="AC24" s="1"/>
  <c r="CP24"/>
  <c r="V26"/>
  <c r="W26"/>
  <c r="CQ26" s="1"/>
  <c r="AA26"/>
  <c r="CT26" s="1"/>
  <c r="AI26"/>
  <c r="AN26" s="1"/>
  <c r="AR26" s="1"/>
  <c r="AX26" s="1"/>
  <c r="AZ26" s="1"/>
  <c r="BO26" s="1"/>
  <c r="CQ23"/>
  <c r="CP25"/>
  <c r="AB25"/>
  <c r="AC25" s="1"/>
  <c r="AB23"/>
  <c r="CP23"/>
  <c r="CR26" i="133"/>
  <c r="AB26"/>
  <c r="AI23"/>
  <c r="AN23" s="1"/>
  <c r="AR23" s="1"/>
  <c r="AX23" s="1"/>
  <c r="AZ23" s="1"/>
  <c r="BO23" s="1"/>
  <c r="X23"/>
  <c r="AA23"/>
  <c r="CT23" s="1"/>
  <c r="AC23"/>
  <c r="R28"/>
  <c r="I31" s="1"/>
  <c r="S27"/>
  <c r="CC23" s="1"/>
  <c r="CR25"/>
  <c r="AB25"/>
  <c r="AA24"/>
  <c r="CT24" s="1"/>
  <c r="X24"/>
  <c r="AC24"/>
  <c r="AX28"/>
  <c r="CC24"/>
  <c r="AI24"/>
  <c r="AN24" s="1"/>
  <c r="AR24" s="1"/>
  <c r="AX24" s="1"/>
  <c r="AZ24" s="1"/>
  <c r="BO24" s="1"/>
  <c r="CC23" i="126"/>
  <c r="CD29" s="1"/>
  <c r="W28" i="131"/>
  <c r="CC26" s="1"/>
  <c r="CD28" s="1"/>
  <c r="CQ23"/>
  <c r="X28" i="132"/>
  <c r="CC25" s="1"/>
  <c r="CD26" s="1"/>
  <c r="CP23" i="131"/>
  <c r="V28"/>
  <c r="CC25" s="1"/>
  <c r="CD27" s="1"/>
  <c r="V26" i="132"/>
  <c r="W26"/>
  <c r="CQ26" s="1"/>
  <c r="AA26"/>
  <c r="CT26" s="1"/>
  <c r="AI26"/>
  <c r="AN26" s="1"/>
  <c r="AR26" s="1"/>
  <c r="AX26" s="1"/>
  <c r="AZ26" s="1"/>
  <c r="BO26" s="1"/>
  <c r="AC26"/>
  <c r="AB23"/>
  <c r="CP23"/>
  <c r="CP25"/>
  <c r="AB25"/>
  <c r="CC23"/>
  <c r="S28"/>
  <c r="I32" s="1"/>
  <c r="V27"/>
  <c r="W27"/>
  <c r="CQ27" s="1"/>
  <c r="AI27"/>
  <c r="AA27"/>
  <c r="AC27"/>
  <c r="AC24"/>
  <c r="AX28"/>
  <c r="W24"/>
  <c r="CQ24" s="1"/>
  <c r="AI24"/>
  <c r="AN24" s="1"/>
  <c r="AR24" s="1"/>
  <c r="AX24" s="1"/>
  <c r="AZ24" s="1"/>
  <c r="BO24" s="1"/>
  <c r="CC24"/>
  <c r="AA24"/>
  <c r="CT24" s="1"/>
  <c r="V24"/>
  <c r="CQ23"/>
  <c r="AW28"/>
  <c r="AA28" i="131"/>
  <c r="CT27"/>
  <c r="CR25"/>
  <c r="AB25"/>
  <c r="AC28"/>
  <c r="AT28" s="1"/>
  <c r="AU28" s="1"/>
  <c r="CR23"/>
  <c r="X28"/>
  <c r="AB23"/>
  <c r="AN27"/>
  <c r="AR27" s="1"/>
  <c r="AX27" s="1"/>
  <c r="AZ27" s="1"/>
  <c r="BO27" s="1"/>
  <c r="AI28"/>
  <c r="CR26"/>
  <c r="AB26"/>
  <c r="CR27"/>
  <c r="AB27"/>
  <c r="AI24" i="115"/>
  <c r="AB23"/>
  <c r="AC23" s="1"/>
  <c r="AC24" s="1"/>
  <c r="AT24" s="1"/>
  <c r="AW28" i="127"/>
  <c r="CP23" i="126"/>
  <c r="AB25" i="129"/>
  <c r="AC25" s="1"/>
  <c r="AW28" i="124"/>
  <c r="CR23" i="125"/>
  <c r="X28"/>
  <c r="CC25" s="1"/>
  <c r="CQ23" i="126"/>
  <c r="V27"/>
  <c r="CP27" s="1"/>
  <c r="W27"/>
  <c r="CQ27" s="1"/>
  <c r="CC23" i="127"/>
  <c r="CD29" s="1"/>
  <c r="CR24" i="128"/>
  <c r="AB24"/>
  <c r="AC24" s="1"/>
  <c r="CC23" i="130"/>
  <c r="CD27" s="1"/>
  <c r="X28"/>
  <c r="CC25" s="1"/>
  <c r="CD26" s="1"/>
  <c r="AA23" i="125"/>
  <c r="CT23" s="1"/>
  <c r="AW28"/>
  <c r="CC23"/>
  <c r="V23"/>
  <c r="W23"/>
  <c r="AI23"/>
  <c r="AN23" s="1"/>
  <c r="AR23" s="1"/>
  <c r="AX23" s="1"/>
  <c r="AZ23" s="1"/>
  <c r="BO23" s="1"/>
  <c r="CP25"/>
  <c r="AB25"/>
  <c r="AC25" s="1"/>
  <c r="S28"/>
  <c r="I32" s="1"/>
  <c r="V27"/>
  <c r="W27"/>
  <c r="CQ27" s="1"/>
  <c r="AI27"/>
  <c r="AA27"/>
  <c r="AB23" i="124"/>
  <c r="AC23" s="1"/>
  <c r="CP23"/>
  <c r="CQ23"/>
  <c r="S28"/>
  <c r="I32" s="1"/>
  <c r="V27"/>
  <c r="V28" s="1"/>
  <c r="CC25" s="1"/>
  <c r="W27"/>
  <c r="CQ27" s="1"/>
  <c r="AI27"/>
  <c r="AA27"/>
  <c r="CP25"/>
  <c r="AB25"/>
  <c r="AC25" s="1"/>
  <c r="AB24"/>
  <c r="AC24" s="1"/>
  <c r="CP24"/>
  <c r="CP26"/>
  <c r="AB26"/>
  <c r="AC26" s="1"/>
  <c r="CR26" i="126"/>
  <c r="AB26"/>
  <c r="AC26" s="1"/>
  <c r="CR24"/>
  <c r="AB24"/>
  <c r="AC24" s="1"/>
  <c r="CR25"/>
  <c r="AB25"/>
  <c r="AC25" s="1"/>
  <c r="CR23"/>
  <c r="AB23"/>
  <c r="S28"/>
  <c r="I32" s="1"/>
  <c r="AI27"/>
  <c r="X27"/>
  <c r="X28" s="1"/>
  <c r="AA27"/>
  <c r="AA26" i="128"/>
  <c r="CT26" s="1"/>
  <c r="AI26"/>
  <c r="AN26" s="1"/>
  <c r="AR26" s="1"/>
  <c r="AX26" s="1"/>
  <c r="AZ26" s="1"/>
  <c r="BO26" s="1"/>
  <c r="X26"/>
  <c r="AW28"/>
  <c r="CC23"/>
  <c r="AA28"/>
  <c r="CT27"/>
  <c r="AN27"/>
  <c r="AR27" s="1"/>
  <c r="AX27" s="1"/>
  <c r="AZ27" s="1"/>
  <c r="BO27" s="1"/>
  <c r="AI28"/>
  <c r="CR27"/>
  <c r="AB27"/>
  <c r="AC27" s="1"/>
  <c r="AB23" i="130"/>
  <c r="CP23"/>
  <c r="AB25"/>
  <c r="CP25"/>
  <c r="CP24"/>
  <c r="AB24"/>
  <c r="CQ23"/>
  <c r="CP26"/>
  <c r="AB26"/>
  <c r="S28"/>
  <c r="I32" s="1"/>
  <c r="AC27"/>
  <c r="AC28" s="1"/>
  <c r="AT28" s="1"/>
  <c r="AU28" s="1"/>
  <c r="V27"/>
  <c r="V28" s="1"/>
  <c r="W27"/>
  <c r="CQ27" s="1"/>
  <c r="AI27"/>
  <c r="AA27"/>
  <c r="AW28"/>
  <c r="CC23" i="129"/>
  <c r="AB23"/>
  <c r="AB26"/>
  <c r="AC26" s="1"/>
  <c r="S28"/>
  <c r="I32" s="1"/>
  <c r="AI27"/>
  <c r="X27"/>
  <c r="AA27"/>
  <c r="AA28" s="1"/>
  <c r="AB25" i="127"/>
  <c r="CJ25"/>
  <c r="S28"/>
  <c r="I32" s="1"/>
  <c r="AC27"/>
  <c r="AC28" s="1"/>
  <c r="AT28" s="1"/>
  <c r="AU28" s="1"/>
  <c r="W27"/>
  <c r="CK27" s="1"/>
  <c r="AI27"/>
  <c r="V27"/>
  <c r="V28" s="1"/>
  <c r="CC25" s="1"/>
  <c r="CD27" s="1"/>
  <c r="AA27"/>
  <c r="AA28" s="1"/>
  <c r="AB23"/>
  <c r="CJ23"/>
  <c r="CK23"/>
  <c r="CJ26"/>
  <c r="AB26"/>
  <c r="CJ24"/>
  <c r="AB24"/>
  <c r="V23" i="118"/>
  <c r="V24" s="1"/>
  <c r="Y23"/>
  <c r="Y24" s="1"/>
  <c r="AB25" i="108"/>
  <c r="R24" i="123"/>
  <c r="I27" s="1"/>
  <c r="S23"/>
  <c r="V23" i="122"/>
  <c r="S24"/>
  <c r="I28" s="1"/>
  <c r="AI23"/>
  <c r="AA23"/>
  <c r="AA24" s="1"/>
  <c r="Y23"/>
  <c r="Y24" s="1"/>
  <c r="V23" i="121"/>
  <c r="W23"/>
  <c r="W24" s="1"/>
  <c r="S24"/>
  <c r="I28" s="1"/>
  <c r="AI23"/>
  <c r="AA23"/>
  <c r="AA24" s="1"/>
  <c r="V23" i="120"/>
  <c r="W23"/>
  <c r="W24" s="1"/>
  <c r="S24"/>
  <c r="I28" s="1"/>
  <c r="AI23"/>
  <c r="AA23"/>
  <c r="AA24" s="1"/>
  <c r="R24" i="119"/>
  <c r="I27" s="1"/>
  <c r="S23"/>
  <c r="W23" s="1"/>
  <c r="W24" s="1"/>
  <c r="S24" i="118"/>
  <c r="I28" s="1"/>
  <c r="AI23"/>
  <c r="X23"/>
  <c r="AA23"/>
  <c r="AA24" s="1"/>
  <c r="R24" i="117"/>
  <c r="I27" s="1"/>
  <c r="S23"/>
  <c r="X23" s="1"/>
  <c r="X24" s="1"/>
  <c r="W23" i="116"/>
  <c r="W24" s="1"/>
  <c r="V23"/>
  <c r="S24"/>
  <c r="I28" s="1"/>
  <c r="AI23"/>
  <c r="AA23"/>
  <c r="AA24" s="1"/>
  <c r="S24" i="114"/>
  <c r="I28" s="1"/>
  <c r="AI23"/>
  <c r="Y23"/>
  <c r="Y24" s="1"/>
  <c r="V23"/>
  <c r="AA23"/>
  <c r="AA24" s="1"/>
  <c r="AC23" i="113"/>
  <c r="AC24" s="1"/>
  <c r="AT24" s="1"/>
  <c r="V23"/>
  <c r="W23"/>
  <c r="W24" s="1"/>
  <c r="S24"/>
  <c r="I28" s="1"/>
  <c r="AI23"/>
  <c r="AA23"/>
  <c r="AA24" s="1"/>
  <c r="V23" i="112"/>
  <c r="S24"/>
  <c r="I28" s="1"/>
  <c r="AI23"/>
  <c r="Y23"/>
  <c r="Y24" s="1"/>
  <c r="AA23"/>
  <c r="AA24" s="1"/>
  <c r="AN23" i="111"/>
  <c r="AR23" s="1"/>
  <c r="AX23" s="1"/>
  <c r="AZ23" s="1"/>
  <c r="BO23" s="1"/>
  <c r="AI24"/>
  <c r="AA24"/>
  <c r="AB23"/>
  <c r="V23" i="110"/>
  <c r="W23"/>
  <c r="W24" s="1"/>
  <c r="S24"/>
  <c r="I28" s="1"/>
  <c r="AI23"/>
  <c r="AA23"/>
  <c r="AA24" s="1"/>
  <c r="V23" i="109"/>
  <c r="W23"/>
  <c r="W24" s="1"/>
  <c r="S24"/>
  <c r="I28" s="1"/>
  <c r="AI23"/>
  <c r="AA23"/>
  <c r="AA24" s="1"/>
  <c r="R28" i="108"/>
  <c r="I31" s="1"/>
  <c r="S27"/>
  <c r="X27" s="1"/>
  <c r="X28" s="1"/>
  <c r="V23" i="107"/>
  <c r="W23"/>
  <c r="W24" s="1"/>
  <c r="AC23"/>
  <c r="AC24" s="1"/>
  <c r="AT24" s="1"/>
  <c r="S24"/>
  <c r="I28" s="1"/>
  <c r="AI23"/>
  <c r="AA23"/>
  <c r="AA24" s="1"/>
  <c r="AB26" i="105"/>
  <c r="V23" i="106"/>
  <c r="W23"/>
  <c r="W24" s="1"/>
  <c r="S24"/>
  <c r="I28" s="1"/>
  <c r="AI23"/>
  <c r="AA23"/>
  <c r="AA24" s="1"/>
  <c r="AC23"/>
  <c r="AC24" s="1"/>
  <c r="AT24" s="1"/>
  <c r="AB25" i="105"/>
  <c r="V27"/>
  <c r="W27"/>
  <c r="W28" s="1"/>
  <c r="S28"/>
  <c r="I32" s="1"/>
  <c r="AI27"/>
  <c r="AA27"/>
  <c r="AA28" s="1"/>
  <c r="AC27"/>
  <c r="AC28" s="1"/>
  <c r="AT28" s="1"/>
  <c r="AU28" s="1"/>
  <c r="AB23"/>
  <c r="S24" i="104"/>
  <c r="AE23" s="1"/>
  <c r="AE24" s="1"/>
  <c r="AI23"/>
  <c r="X23"/>
  <c r="AA23"/>
  <c r="V23" i="103"/>
  <c r="W23"/>
  <c r="W24" s="1"/>
  <c r="S24"/>
  <c r="AH23" s="1"/>
  <c r="AH24" s="1"/>
  <c r="AI23"/>
  <c r="AA23"/>
  <c r="AW28" i="137" l="1"/>
  <c r="AC28" i="138"/>
  <c r="AT28" s="1"/>
  <c r="AU28" s="1"/>
  <c r="CD27" i="133"/>
  <c r="CP23" i="85"/>
  <c r="V25"/>
  <c r="CC25" s="1"/>
  <c r="CQ23"/>
  <c r="W25"/>
  <c r="CC26" s="1"/>
  <c r="AR23"/>
  <c r="AX23" s="1"/>
  <c r="AZ23" s="1"/>
  <c r="BO23" s="1"/>
  <c r="AT24" i="82"/>
  <c r="AU24" s="1"/>
  <c r="W24" i="81"/>
  <c r="CC25" s="1"/>
  <c r="CQ23"/>
  <c r="AI24"/>
  <c r="AN23"/>
  <c r="AR23" s="1"/>
  <c r="AX23" s="1"/>
  <c r="AZ23" s="1"/>
  <c r="BO23" s="1"/>
  <c r="CT23"/>
  <c r="AA24"/>
  <c r="V24"/>
  <c r="CC24" s="1"/>
  <c r="CP23"/>
  <c r="AB23"/>
  <c r="V24" i="88"/>
  <c r="CC24" s="1"/>
  <c r="CP23"/>
  <c r="AB23"/>
  <c r="W24"/>
  <c r="CC25" s="1"/>
  <c r="CQ23"/>
  <c r="AI24"/>
  <c r="AN23"/>
  <c r="AR23" s="1"/>
  <c r="AX23" s="1"/>
  <c r="AZ23" s="1"/>
  <c r="BO23" s="1"/>
  <c r="CT23"/>
  <c r="AA24"/>
  <c r="V24" i="87"/>
  <c r="CC24" s="1"/>
  <c r="CP23"/>
  <c r="AB23"/>
  <c r="W24"/>
  <c r="CC25" s="1"/>
  <c r="CQ23"/>
  <c r="AI24"/>
  <c r="AN23"/>
  <c r="AR23" s="1"/>
  <c r="AX23" s="1"/>
  <c r="AZ23" s="1"/>
  <c r="BO23" s="1"/>
  <c r="CT23"/>
  <c r="AA24"/>
  <c r="W24" i="86"/>
  <c r="CC25" s="1"/>
  <c r="CQ23"/>
  <c r="AI24"/>
  <c r="AN23"/>
  <c r="AR23" s="1"/>
  <c r="AX23" s="1"/>
  <c r="AZ23" s="1"/>
  <c r="BO23" s="1"/>
  <c r="AA24"/>
  <c r="CT23"/>
  <c r="CP23"/>
  <c r="AB23"/>
  <c r="AC25" i="85"/>
  <c r="I29"/>
  <c r="AW25"/>
  <c r="CC23"/>
  <c r="AW28" i="133"/>
  <c r="AC28" i="136"/>
  <c r="AT28" s="1"/>
  <c r="AU28" s="1"/>
  <c r="V27" i="137"/>
  <c r="CP27" s="1"/>
  <c r="W27"/>
  <c r="CQ27" s="1"/>
  <c r="CP23" i="138"/>
  <c r="AB23"/>
  <c r="V28"/>
  <c r="AB25"/>
  <c r="CP25"/>
  <c r="AN27"/>
  <c r="AR27" s="1"/>
  <c r="AX27" s="1"/>
  <c r="AZ27" s="1"/>
  <c r="BO27" s="1"/>
  <c r="AI28"/>
  <c r="AA28"/>
  <c r="CT27"/>
  <c r="CQ23"/>
  <c r="W28"/>
  <c r="AB27"/>
  <c r="CP27"/>
  <c r="CT26" i="137"/>
  <c r="AB26"/>
  <c r="AC27"/>
  <c r="AC28" s="1"/>
  <c r="AT28" s="1"/>
  <c r="AU28" s="1"/>
  <c r="S28"/>
  <c r="I32" s="1"/>
  <c r="AI27"/>
  <c r="AA27"/>
  <c r="CT25"/>
  <c r="AB25"/>
  <c r="AA28" i="136"/>
  <c r="CT27"/>
  <c r="AB27"/>
  <c r="CT25"/>
  <c r="AB25"/>
  <c r="AN27"/>
  <c r="AR27" s="1"/>
  <c r="AX27" s="1"/>
  <c r="AZ27" s="1"/>
  <c r="BO27" s="1"/>
  <c r="AI28"/>
  <c r="AB28" i="135"/>
  <c r="I33" s="1"/>
  <c r="I34" s="1"/>
  <c r="AC23" i="134"/>
  <c r="S28"/>
  <c r="I32" s="1"/>
  <c r="V27"/>
  <c r="W27"/>
  <c r="CQ27" s="1"/>
  <c r="AI27"/>
  <c r="AA27"/>
  <c r="AW28"/>
  <c r="W28"/>
  <c r="AB26"/>
  <c r="AC26" s="1"/>
  <c r="CP26"/>
  <c r="AC27" i="133"/>
  <c r="AC28" s="1"/>
  <c r="AT28" s="1"/>
  <c r="AU28" s="1"/>
  <c r="S28"/>
  <c r="I32" s="1"/>
  <c r="AI27"/>
  <c r="X27"/>
  <c r="X28" s="1"/>
  <c r="CC25" s="1"/>
  <c r="CD26" s="1"/>
  <c r="AA27"/>
  <c r="CR23"/>
  <c r="AB23"/>
  <c r="CR24"/>
  <c r="AB24"/>
  <c r="AC28" i="132"/>
  <c r="AT28" s="1"/>
  <c r="AU28" s="1"/>
  <c r="W28"/>
  <c r="CD27"/>
  <c r="AI28"/>
  <c r="AN27"/>
  <c r="AR27" s="1"/>
  <c r="AX27" s="1"/>
  <c r="AZ27" s="1"/>
  <c r="BO27" s="1"/>
  <c r="AB24"/>
  <c r="CP24"/>
  <c r="CT27"/>
  <c r="AA28"/>
  <c r="CP26"/>
  <c r="AB26"/>
  <c r="CP27"/>
  <c r="AB27"/>
  <c r="V28"/>
  <c r="AB28" i="131"/>
  <c r="I33" s="1"/>
  <c r="I34" s="1"/>
  <c r="AB24" i="115"/>
  <c r="I29" s="1"/>
  <c r="I30" s="1"/>
  <c r="W28" i="127"/>
  <c r="CC26" s="1"/>
  <c r="CD28" s="1"/>
  <c r="W28" i="124"/>
  <c r="CC26" s="1"/>
  <c r="CD27" s="1"/>
  <c r="W28" i="126"/>
  <c r="CC26" s="1"/>
  <c r="CD28" s="1"/>
  <c r="V28"/>
  <c r="CC25" s="1"/>
  <c r="CD27" s="1"/>
  <c r="AB27" i="129"/>
  <c r="AC27" s="1"/>
  <c r="AA28" i="130"/>
  <c r="CT27"/>
  <c r="CP27" i="125"/>
  <c r="AB27"/>
  <c r="AC27" s="1"/>
  <c r="AI28"/>
  <c r="AN27"/>
  <c r="AR27" s="1"/>
  <c r="AX27" s="1"/>
  <c r="AZ27" s="1"/>
  <c r="BO27" s="1"/>
  <c r="V28"/>
  <c r="AB23"/>
  <c r="AC23" s="1"/>
  <c r="CP23"/>
  <c r="CT27"/>
  <c r="AA28"/>
  <c r="W28"/>
  <c r="CQ23"/>
  <c r="CT27" i="124"/>
  <c r="AA28"/>
  <c r="AI28"/>
  <c r="AN27"/>
  <c r="AR27" s="1"/>
  <c r="AX27" s="1"/>
  <c r="AZ27" s="1"/>
  <c r="BO27" s="1"/>
  <c r="CP27"/>
  <c r="AB27"/>
  <c r="AC27" s="1"/>
  <c r="AC28" s="1"/>
  <c r="AT28" s="1"/>
  <c r="AU28" s="1"/>
  <c r="AA28" i="126"/>
  <c r="CT27"/>
  <c r="AC23"/>
  <c r="CR27"/>
  <c r="AB27"/>
  <c r="AC27" s="1"/>
  <c r="AN27"/>
  <c r="AR27" s="1"/>
  <c r="AX27" s="1"/>
  <c r="AZ27" s="1"/>
  <c r="BO27" s="1"/>
  <c r="AI28"/>
  <c r="AB26" i="128"/>
  <c r="CR26"/>
  <c r="X28"/>
  <c r="CC25" s="1"/>
  <c r="CD26" s="1"/>
  <c r="AB27" i="130"/>
  <c r="AB28" s="1"/>
  <c r="I33" s="1"/>
  <c r="I34" s="1"/>
  <c r="CP27"/>
  <c r="W28"/>
  <c r="CC26" s="1"/>
  <c r="AN27"/>
  <c r="AR27" s="1"/>
  <c r="AX27" s="1"/>
  <c r="AZ27" s="1"/>
  <c r="BO27" s="1"/>
  <c r="AI28"/>
  <c r="X28" i="129"/>
  <c r="CC25" s="1"/>
  <c r="CD26" s="1"/>
  <c r="AC23"/>
  <c r="AN27"/>
  <c r="AR27" s="1"/>
  <c r="AX27" s="1"/>
  <c r="AZ27" s="1"/>
  <c r="BO27" s="1"/>
  <c r="AI28"/>
  <c r="AN27" i="127"/>
  <c r="AR27" s="1"/>
  <c r="AX27" s="1"/>
  <c r="AZ27" s="1"/>
  <c r="BO27" s="1"/>
  <c r="AI28"/>
  <c r="AB27"/>
  <c r="AB28" s="1"/>
  <c r="I33" s="1"/>
  <c r="I34" s="1"/>
  <c r="CJ27"/>
  <c r="V23" i="123"/>
  <c r="W23"/>
  <c r="W24" s="1"/>
  <c r="S24"/>
  <c r="I28" s="1"/>
  <c r="AI23"/>
  <c r="AA23"/>
  <c r="AA24" s="1"/>
  <c r="AB23" i="122"/>
  <c r="V24"/>
  <c r="AN23"/>
  <c r="AR23" s="1"/>
  <c r="AX23" s="1"/>
  <c r="AZ23" s="1"/>
  <c r="BO23" s="1"/>
  <c r="AI24"/>
  <c r="AN23" i="121"/>
  <c r="AR23" s="1"/>
  <c r="AX23" s="1"/>
  <c r="AZ23" s="1"/>
  <c r="BO23" s="1"/>
  <c r="AI24"/>
  <c r="AB23"/>
  <c r="V24"/>
  <c r="AB23" i="120"/>
  <c r="V24"/>
  <c r="AN23"/>
  <c r="AR23" s="1"/>
  <c r="AX23" s="1"/>
  <c r="AZ23" s="1"/>
  <c r="BO23" s="1"/>
  <c r="AI24"/>
  <c r="V23" i="119"/>
  <c r="S24"/>
  <c r="I28" s="1"/>
  <c r="AI23"/>
  <c r="Y23"/>
  <c r="Y24" s="1"/>
  <c r="AA23"/>
  <c r="AA24" s="1"/>
  <c r="AN23" i="118"/>
  <c r="AR23" s="1"/>
  <c r="AX23" s="1"/>
  <c r="AZ23" s="1"/>
  <c r="BO23" s="1"/>
  <c r="AI24"/>
  <c r="X24"/>
  <c r="AB23"/>
  <c r="V23" i="117"/>
  <c r="W23"/>
  <c r="W24" s="1"/>
  <c r="S24"/>
  <c r="I28" s="1"/>
  <c r="AI23"/>
  <c r="AA23"/>
  <c r="AA24" s="1"/>
  <c r="AB23" i="116"/>
  <c r="V24"/>
  <c r="AN23"/>
  <c r="AR23" s="1"/>
  <c r="AX23" s="1"/>
  <c r="AZ23" s="1"/>
  <c r="BO23" s="1"/>
  <c r="AI24"/>
  <c r="AN23" i="114"/>
  <c r="AR23" s="1"/>
  <c r="AX23" s="1"/>
  <c r="AZ23" s="1"/>
  <c r="BO23" s="1"/>
  <c r="AI24"/>
  <c r="AB23"/>
  <c r="V24"/>
  <c r="AB23" i="113"/>
  <c r="AB24" s="1"/>
  <c r="I29" s="1"/>
  <c r="I30" s="1"/>
  <c r="V24"/>
  <c r="AN23"/>
  <c r="AR23" s="1"/>
  <c r="AX23" s="1"/>
  <c r="AZ23" s="1"/>
  <c r="BO23" s="1"/>
  <c r="AI24"/>
  <c r="AB23" i="112"/>
  <c r="V24"/>
  <c r="AN23"/>
  <c r="AR23" s="1"/>
  <c r="AX23" s="1"/>
  <c r="AZ23" s="1"/>
  <c r="BO23" s="1"/>
  <c r="AI24"/>
  <c r="AB24" i="111"/>
  <c r="I29" s="1"/>
  <c r="I30" s="1"/>
  <c r="AC23"/>
  <c r="AC24" s="1"/>
  <c r="AT24" s="1"/>
  <c r="AN23" i="110"/>
  <c r="AR23" s="1"/>
  <c r="AX23" s="1"/>
  <c r="AZ23" s="1"/>
  <c r="BO23" s="1"/>
  <c r="AI24"/>
  <c r="AB23"/>
  <c r="V24"/>
  <c r="AN23" i="109"/>
  <c r="AR23" s="1"/>
  <c r="AX23" s="1"/>
  <c r="AZ23" s="1"/>
  <c r="BO23" s="1"/>
  <c r="AI24"/>
  <c r="AB23"/>
  <c r="V24"/>
  <c r="AC27" i="108"/>
  <c r="AC28" s="1"/>
  <c r="AT28" s="1"/>
  <c r="AU28" s="1"/>
  <c r="V27"/>
  <c r="W27"/>
  <c r="W28" s="1"/>
  <c r="S28"/>
  <c r="I32" s="1"/>
  <c r="AI27"/>
  <c r="AA27"/>
  <c r="AA28" s="1"/>
  <c r="AB23" i="107"/>
  <c r="AB24" s="1"/>
  <c r="I29" s="1"/>
  <c r="I30" s="1"/>
  <c r="V24"/>
  <c r="AN23"/>
  <c r="AR23" s="1"/>
  <c r="AX23" s="1"/>
  <c r="AZ23" s="1"/>
  <c r="BO23" s="1"/>
  <c r="AI24"/>
  <c r="AH23" i="104"/>
  <c r="AH24" s="1"/>
  <c r="AG23"/>
  <c r="AG23" i="103"/>
  <c r="AJ23" s="1"/>
  <c r="V24" i="106"/>
  <c r="AB23"/>
  <c r="AB24" s="1"/>
  <c r="I29" s="1"/>
  <c r="I30" s="1"/>
  <c r="AI24"/>
  <c r="AN23"/>
  <c r="AR23" s="1"/>
  <c r="AX23" s="1"/>
  <c r="AZ23" s="1"/>
  <c r="BO23" s="1"/>
  <c r="AI28" i="105"/>
  <c r="AN27"/>
  <c r="AR27" s="1"/>
  <c r="AX27" s="1"/>
  <c r="AZ27" s="1"/>
  <c r="BO27" s="1"/>
  <c r="V28"/>
  <c r="AB27"/>
  <c r="AB28" s="1"/>
  <c r="I33" s="1"/>
  <c r="I34" s="1"/>
  <c r="AI24" i="104"/>
  <c r="AN23"/>
  <c r="X24"/>
  <c r="AB23"/>
  <c r="AI24" i="103"/>
  <c r="AN23"/>
  <c r="AE23"/>
  <c r="AE24" s="1"/>
  <c r="V24"/>
  <c r="AB23"/>
  <c r="W28" i="137" l="1"/>
  <c r="AT25" i="85"/>
  <c r="AU25" s="1"/>
  <c r="CD27"/>
  <c r="CX23" s="1"/>
  <c r="AB24" i="81"/>
  <c r="I29" s="1"/>
  <c r="I30" s="1"/>
  <c r="AC23"/>
  <c r="AC24" s="1"/>
  <c r="AB24" i="88"/>
  <c r="I29" s="1"/>
  <c r="I30" s="1"/>
  <c r="AC23"/>
  <c r="AC24" s="1"/>
  <c r="AB24" i="87"/>
  <c r="I29" s="1"/>
  <c r="I30" s="1"/>
  <c r="AC23"/>
  <c r="AC24" s="1"/>
  <c r="AC23" i="86"/>
  <c r="V24"/>
  <c r="CC24" s="1"/>
  <c r="AB25" i="85"/>
  <c r="I30" s="1"/>
  <c r="I31" s="1"/>
  <c r="V28" i="137"/>
  <c r="AB28" i="136"/>
  <c r="I33" s="1"/>
  <c r="I34" s="1"/>
  <c r="AB28" i="138"/>
  <c r="I33" s="1"/>
  <c r="I34" s="1"/>
  <c r="AB27" i="137"/>
  <c r="AB28" s="1"/>
  <c r="I33" s="1"/>
  <c r="I34" s="1"/>
  <c r="AA28"/>
  <c r="CT27"/>
  <c r="AN27"/>
  <c r="AR27" s="1"/>
  <c r="AX27" s="1"/>
  <c r="AZ27" s="1"/>
  <c r="BO27" s="1"/>
  <c r="AI28"/>
  <c r="CP27" i="134"/>
  <c r="AB27"/>
  <c r="V28"/>
  <c r="AN27"/>
  <c r="AR27" s="1"/>
  <c r="AX27" s="1"/>
  <c r="AZ27" s="1"/>
  <c r="BO27" s="1"/>
  <c r="AI28"/>
  <c r="AA28"/>
  <c r="CT27"/>
  <c r="AN27" i="133"/>
  <c r="AR27" s="1"/>
  <c r="AX27" s="1"/>
  <c r="AZ27" s="1"/>
  <c r="BO27" s="1"/>
  <c r="AI28"/>
  <c r="AB27"/>
  <c r="AB28" s="1"/>
  <c r="I33" s="1"/>
  <c r="I34" s="1"/>
  <c r="CR27"/>
  <c r="AA28"/>
  <c r="CT27"/>
  <c r="AC28" i="126"/>
  <c r="AT28" s="1"/>
  <c r="AU28" s="1"/>
  <c r="AB28" i="132"/>
  <c r="I33" s="1"/>
  <c r="I34" s="1"/>
  <c r="AB28" i="126"/>
  <c r="I33" s="1"/>
  <c r="I34" s="1"/>
  <c r="AC28" i="125"/>
  <c r="AT28" s="1"/>
  <c r="AB28" i="124"/>
  <c r="I33" s="1"/>
  <c r="I34" s="1"/>
  <c r="AB28" i="129"/>
  <c r="I33" s="1"/>
  <c r="I34" s="1"/>
  <c r="AB28" i="128"/>
  <c r="I33" s="1"/>
  <c r="I34" s="1"/>
  <c r="AC26"/>
  <c r="AC28" s="1"/>
  <c r="AT28" s="1"/>
  <c r="AU28" s="1"/>
  <c r="AC28" i="129"/>
  <c r="AT28" s="1"/>
  <c r="AU28" s="1"/>
  <c r="AB28" i="125"/>
  <c r="I33" s="1"/>
  <c r="I34" s="1"/>
  <c r="AB24" i="109"/>
  <c r="I29" s="1"/>
  <c r="I30" s="1"/>
  <c r="AC23"/>
  <c r="AC24" s="1"/>
  <c r="AT24" s="1"/>
  <c r="AB23" i="123"/>
  <c r="V24"/>
  <c r="AN23"/>
  <c r="AR23" s="1"/>
  <c r="AX23" s="1"/>
  <c r="AZ23" s="1"/>
  <c r="BO23" s="1"/>
  <c r="AI24"/>
  <c r="AB24" i="122"/>
  <c r="I29" s="1"/>
  <c r="I30" s="1"/>
  <c r="AC23"/>
  <c r="AC24" s="1"/>
  <c r="AT24" s="1"/>
  <c r="AB24" i="121"/>
  <c r="I29" s="1"/>
  <c r="I30" s="1"/>
  <c r="AC23"/>
  <c r="AC24" s="1"/>
  <c r="AT24" s="1"/>
  <c r="AB24" i="120"/>
  <c r="I29" s="1"/>
  <c r="I30" s="1"/>
  <c r="AC23"/>
  <c r="AC24" s="1"/>
  <c r="AT24" s="1"/>
  <c r="AN23" i="119"/>
  <c r="AR23" s="1"/>
  <c r="AX23" s="1"/>
  <c r="AZ23" s="1"/>
  <c r="BO23" s="1"/>
  <c r="AI24"/>
  <c r="AB23"/>
  <c r="V24"/>
  <c r="AB24" i="118"/>
  <c r="I29" s="1"/>
  <c r="I30" s="1"/>
  <c r="AC23"/>
  <c r="AC24" s="1"/>
  <c r="AT24" s="1"/>
  <c r="V24" i="117"/>
  <c r="AB23"/>
  <c r="AN23"/>
  <c r="AR23" s="1"/>
  <c r="AX23" s="1"/>
  <c r="AZ23" s="1"/>
  <c r="BO23" s="1"/>
  <c r="AI24"/>
  <c r="AB24" i="116"/>
  <c r="I29" s="1"/>
  <c r="I30" s="1"/>
  <c r="AC23"/>
  <c r="AC24" s="1"/>
  <c r="AT24" s="1"/>
  <c r="AB24" i="114"/>
  <c r="I29" s="1"/>
  <c r="I30" s="1"/>
  <c r="AC23"/>
  <c r="AC24" s="1"/>
  <c r="AT24" s="1"/>
  <c r="AB24" i="112"/>
  <c r="I29" s="1"/>
  <c r="I30" s="1"/>
  <c r="AC23"/>
  <c r="AC24" s="1"/>
  <c r="AT24" s="1"/>
  <c r="AB24" i="110"/>
  <c r="I29" s="1"/>
  <c r="I30" s="1"/>
  <c r="AC23"/>
  <c r="AC24" s="1"/>
  <c r="AT24" s="1"/>
  <c r="V28" i="108"/>
  <c r="AB27"/>
  <c r="AB28" s="1"/>
  <c r="I33" s="1"/>
  <c r="I34" s="1"/>
  <c r="AN27"/>
  <c r="AR27" s="1"/>
  <c r="AX27" s="1"/>
  <c r="AZ27" s="1"/>
  <c r="BO27" s="1"/>
  <c r="AI28"/>
  <c r="AJ23" i="104"/>
  <c r="AJ24" s="1"/>
  <c r="AG24"/>
  <c r="AG24" i="103"/>
  <c r="AB24" i="104"/>
  <c r="AC23"/>
  <c r="AC24" s="1"/>
  <c r="AB24" i="103"/>
  <c r="AC23"/>
  <c r="AC24" s="1"/>
  <c r="AO23"/>
  <c r="AR23" s="1"/>
  <c r="AX23" s="1"/>
  <c r="AZ23" s="1"/>
  <c r="BO23" s="1"/>
  <c r="AJ24"/>
  <c r="AU28" i="125" l="1"/>
  <c r="CC26" s="1"/>
  <c r="CD27"/>
  <c r="CU23" s="1"/>
  <c r="CD26" i="81"/>
  <c r="CU23" s="1"/>
  <c r="AT24"/>
  <c r="AU24" s="1"/>
  <c r="CD26" i="88"/>
  <c r="CU23" s="1"/>
  <c r="AT24"/>
  <c r="AU24" s="1"/>
  <c r="CD26" i="87"/>
  <c r="CU23" s="1"/>
  <c r="AT24"/>
  <c r="AU24" s="1"/>
  <c r="AB24" i="86"/>
  <c r="I29" s="1"/>
  <c r="I30" s="1"/>
  <c r="AC24"/>
  <c r="AC27" i="134"/>
  <c r="AC28" s="1"/>
  <c r="AT28" s="1"/>
  <c r="AU28" s="1"/>
  <c r="AB28"/>
  <c r="I33" s="1"/>
  <c r="I34" s="1"/>
  <c r="AB24" i="123"/>
  <c r="I29" s="1"/>
  <c r="I30" s="1"/>
  <c r="AC23"/>
  <c r="AC24" s="1"/>
  <c r="AT24" s="1"/>
  <c r="AB24" i="119"/>
  <c r="I29" s="1"/>
  <c r="I30" s="1"/>
  <c r="AC23"/>
  <c r="AC24" s="1"/>
  <c r="AT24" s="1"/>
  <c r="AB24" i="117"/>
  <c r="I29" s="1"/>
  <c r="I30" s="1"/>
  <c r="AC23"/>
  <c r="AC24" s="1"/>
  <c r="AT24" s="1"/>
  <c r="AO23" i="104"/>
  <c r="AR23" s="1"/>
  <c r="AX23" s="1"/>
  <c r="AZ23" s="1"/>
  <c r="BO23" s="1"/>
  <c r="H24" i="102"/>
  <c r="BM37"/>
  <c r="BN36"/>
  <c r="BM36"/>
  <c r="AD28"/>
  <c r="AG27" s="1"/>
  <c r="Z28"/>
  <c r="AM27"/>
  <c r="AW27" s="1"/>
  <c r="AY27" s="1"/>
  <c r="AK27"/>
  <c r="Y27"/>
  <c r="Y28" s="1"/>
  <c r="X27"/>
  <c r="X28" s="1"/>
  <c r="H27"/>
  <c r="H28" s="1"/>
  <c r="I30" s="1"/>
  <c r="AM26"/>
  <c r="AW26" s="1"/>
  <c r="AK26"/>
  <c r="Y26"/>
  <c r="X26"/>
  <c r="H26"/>
  <c r="L26" s="1"/>
  <c r="M26" s="1"/>
  <c r="AM25"/>
  <c r="AK25"/>
  <c r="Y25"/>
  <c r="X25"/>
  <c r="H25"/>
  <c r="L25" s="1"/>
  <c r="M25" s="1"/>
  <c r="AM24"/>
  <c r="AW24" s="1"/>
  <c r="AK24"/>
  <c r="Y24"/>
  <c r="X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101"/>
  <c r="BN32"/>
  <c r="BM32"/>
  <c r="AD24"/>
  <c r="AH24" s="1"/>
  <c r="Z24"/>
  <c r="AM23"/>
  <c r="AW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AD25" i="100"/>
  <c r="AM24"/>
  <c r="AW24" s="1"/>
  <c r="Y24"/>
  <c r="X24"/>
  <c r="H24"/>
  <c r="L24" s="1"/>
  <c r="M24" s="1"/>
  <c r="AM23"/>
  <c r="AW23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3" i="99"/>
  <c r="BN32"/>
  <c r="BM32"/>
  <c r="AD24"/>
  <c r="AH24" s="1"/>
  <c r="Z24"/>
  <c r="AM23"/>
  <c r="AW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BM33" i="98"/>
  <c r="BN32"/>
  <c r="BM32"/>
  <c r="AD24"/>
  <c r="AH24" s="1"/>
  <c r="Z24"/>
  <c r="AM23"/>
  <c r="AW23" s="1"/>
  <c r="AK23"/>
  <c r="AH23"/>
  <c r="AG23"/>
  <c r="AG24" s="1"/>
  <c r="AE23"/>
  <c r="AE24" s="1"/>
  <c r="Y23"/>
  <c r="Y24" s="1"/>
  <c r="X23"/>
  <c r="X24" s="1"/>
  <c r="G23"/>
  <c r="H23" s="1"/>
  <c r="H18"/>
  <c r="H17"/>
  <c r="H16"/>
  <c r="H15"/>
  <c r="H14"/>
  <c r="H13"/>
  <c r="H12"/>
  <c r="H11"/>
  <c r="H10"/>
  <c r="H9"/>
  <c r="H8"/>
  <c r="H7"/>
  <c r="H6"/>
  <c r="H5"/>
  <c r="H4"/>
  <c r="BM33" i="96"/>
  <c r="BN32"/>
  <c r="BM32"/>
  <c r="AD24"/>
  <c r="AG23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3" i="95"/>
  <c r="BN32"/>
  <c r="BM32"/>
  <c r="AD24"/>
  <c r="AH24" s="1"/>
  <c r="Z24"/>
  <c r="AM23"/>
  <c r="AW23" s="1"/>
  <c r="AK23"/>
  <c r="Y23"/>
  <c r="Y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BM37" i="94"/>
  <c r="BN36"/>
  <c r="BM36"/>
  <c r="AD28"/>
  <c r="AH28" s="1"/>
  <c r="Z28"/>
  <c r="AM27"/>
  <c r="AW27" s="1"/>
  <c r="AK27"/>
  <c r="Y27"/>
  <c r="Y28" s="1"/>
  <c r="X27"/>
  <c r="X28" s="1"/>
  <c r="H27"/>
  <c r="L27" s="1"/>
  <c r="M27" s="1"/>
  <c r="AM26"/>
  <c r="AW26" s="1"/>
  <c r="AK26"/>
  <c r="Y26"/>
  <c r="X26"/>
  <c r="H26"/>
  <c r="L26" s="1"/>
  <c r="M26" s="1"/>
  <c r="AM25"/>
  <c r="AW25" s="1"/>
  <c r="AK25"/>
  <c r="Y25"/>
  <c r="X25"/>
  <c r="H25"/>
  <c r="L25" s="1"/>
  <c r="M25" s="1"/>
  <c r="AM24"/>
  <c r="AK24"/>
  <c r="Y24"/>
  <c r="X24"/>
  <c r="H24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7" i="92"/>
  <c r="BN36"/>
  <c r="BM36"/>
  <c r="AD28"/>
  <c r="AE23" s="1"/>
  <c r="Z28"/>
  <c r="AM27"/>
  <c r="AK27"/>
  <c r="AK28" s="1"/>
  <c r="Y27"/>
  <c r="Y28" s="1"/>
  <c r="W27"/>
  <c r="W28" s="1"/>
  <c r="V27"/>
  <c r="V28" s="1"/>
  <c r="H27"/>
  <c r="AM26"/>
  <c r="AW26" s="1"/>
  <c r="BP26" s="1"/>
  <c r="AK26"/>
  <c r="Y26"/>
  <c r="W26"/>
  <c r="V26"/>
  <c r="H26"/>
  <c r="L26" s="1"/>
  <c r="M26" s="1"/>
  <c r="AM25"/>
  <c r="AK25"/>
  <c r="Y25"/>
  <c r="W25"/>
  <c r="V25"/>
  <c r="H25"/>
  <c r="L25" s="1"/>
  <c r="M25" s="1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7" i="91"/>
  <c r="BN36"/>
  <c r="BM36"/>
  <c r="AD28"/>
  <c r="AH28" s="1"/>
  <c r="Z28"/>
  <c r="AM27"/>
  <c r="AW27" s="1"/>
  <c r="AK27"/>
  <c r="Y27"/>
  <c r="Y28" s="1"/>
  <c r="H27"/>
  <c r="L27" s="1"/>
  <c r="M27" s="1"/>
  <c r="AM26"/>
  <c r="AW26" s="1"/>
  <c r="AK26"/>
  <c r="Y26"/>
  <c r="H26"/>
  <c r="L26" s="1"/>
  <c r="M26" s="1"/>
  <c r="AM25"/>
  <c r="AW25" s="1"/>
  <c r="AK25"/>
  <c r="Y25"/>
  <c r="H25"/>
  <c r="L25" s="1"/>
  <c r="M25" s="1"/>
  <c r="AM24"/>
  <c r="AW24" s="1"/>
  <c r="AK24"/>
  <c r="Y24"/>
  <c r="H24"/>
  <c r="AM23"/>
  <c r="AW23" s="1"/>
  <c r="AK23"/>
  <c r="Y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ED33" i="89"/>
  <c r="BM33"/>
  <c r="EE32"/>
  <c r="ED32"/>
  <c r="BN32"/>
  <c r="BM32"/>
  <c r="CU24"/>
  <c r="CQ24"/>
  <c r="AD24"/>
  <c r="CV23" s="1"/>
  <c r="CV24" s="1"/>
  <c r="Z24"/>
  <c r="DD23"/>
  <c r="DN23" s="1"/>
  <c r="DB23"/>
  <c r="CP23"/>
  <c r="CP24" s="1"/>
  <c r="CO23"/>
  <c r="CO24" s="1"/>
  <c r="BX23"/>
  <c r="BY23" s="1"/>
  <c r="AM23"/>
  <c r="AW23" s="1"/>
  <c r="AY23" s="1"/>
  <c r="AK23"/>
  <c r="AK24" s="1"/>
  <c r="Y23"/>
  <c r="Y24" s="1"/>
  <c r="X23"/>
  <c r="X24" s="1"/>
  <c r="H23"/>
  <c r="H24" s="1"/>
  <c r="I26" s="1"/>
  <c r="BY18"/>
  <c r="H18"/>
  <c r="BY17"/>
  <c r="H17"/>
  <c r="BY16"/>
  <c r="H16"/>
  <c r="BY15"/>
  <c r="H15"/>
  <c r="BY14"/>
  <c r="H14"/>
  <c r="BY13"/>
  <c r="H13"/>
  <c r="BY12"/>
  <c r="H12"/>
  <c r="BY11"/>
  <c r="H11"/>
  <c r="BY10"/>
  <c r="H10"/>
  <c r="BY9"/>
  <c r="H9"/>
  <c r="BY8"/>
  <c r="H8"/>
  <c r="BY7"/>
  <c r="H7"/>
  <c r="BY6"/>
  <c r="H6"/>
  <c r="BY5"/>
  <c r="H5"/>
  <c r="BY4"/>
  <c r="H4"/>
  <c r="CX23" i="125" l="1"/>
  <c r="CZ23"/>
  <c r="CX23" i="81"/>
  <c r="CZ23"/>
  <c r="CX23" i="88"/>
  <c r="CZ23"/>
  <c r="CX23" i="87"/>
  <c r="CZ23"/>
  <c r="CD26" i="86"/>
  <c r="CU23" s="1"/>
  <c r="AT24"/>
  <c r="AU24" s="1"/>
  <c r="AG23" i="102"/>
  <c r="AE23"/>
  <c r="AH27"/>
  <c r="AJ27" s="1"/>
  <c r="AE26"/>
  <c r="AH24"/>
  <c r="AE24"/>
  <c r="AH25"/>
  <c r="AG25"/>
  <c r="AG26"/>
  <c r="AE27"/>
  <c r="AE28" s="1"/>
  <c r="AH28"/>
  <c r="AP25"/>
  <c r="BP27"/>
  <c r="BP24" i="100"/>
  <c r="AY24"/>
  <c r="AP23" i="99"/>
  <c r="AP24" i="102"/>
  <c r="AP23" i="101"/>
  <c r="AP27" i="102"/>
  <c r="AH23" i="101"/>
  <c r="AK28" i="102"/>
  <c r="BM36" i="99"/>
  <c r="BN36" s="1"/>
  <c r="AG23" i="101"/>
  <c r="AG24" s="1"/>
  <c r="AE23"/>
  <c r="AE24" s="1"/>
  <c r="BM36"/>
  <c r="BN36" s="1"/>
  <c r="AP23" i="102"/>
  <c r="H19" i="100"/>
  <c r="BM40" i="102"/>
  <c r="BN40" s="1"/>
  <c r="H19" i="101"/>
  <c r="H19" i="99"/>
  <c r="H19" i="102"/>
  <c r="N26"/>
  <c r="BP26"/>
  <c r="AY26"/>
  <c r="AY23"/>
  <c r="BP23"/>
  <c r="BP24"/>
  <c r="AY24"/>
  <c r="AG28"/>
  <c r="AP26"/>
  <c r="AH23"/>
  <c r="L24"/>
  <c r="M24" s="1"/>
  <c r="N24" s="1"/>
  <c r="AG24"/>
  <c r="AE25"/>
  <c r="N25"/>
  <c r="AW25"/>
  <c r="AH26"/>
  <c r="L27"/>
  <c r="M27" s="1"/>
  <c r="N27" s="1"/>
  <c r="L23"/>
  <c r="M23" s="1"/>
  <c r="N23" s="1"/>
  <c r="BP23" i="101"/>
  <c r="AY23"/>
  <c r="AK24"/>
  <c r="L23"/>
  <c r="M23" s="1"/>
  <c r="N24" i="100"/>
  <c r="BP23"/>
  <c r="AY23"/>
  <c r="N23"/>
  <c r="H25"/>
  <c r="AY23" i="99"/>
  <c r="BP23"/>
  <c r="AH23"/>
  <c r="AK24"/>
  <c r="L23"/>
  <c r="M23" s="1"/>
  <c r="AG23"/>
  <c r="H24"/>
  <c r="I26" s="1"/>
  <c r="AE23"/>
  <c r="AE24" s="1"/>
  <c r="AH24" i="96"/>
  <c r="AE27" i="92"/>
  <c r="AE28" s="1"/>
  <c r="AH25" i="91"/>
  <c r="AG23" i="95"/>
  <c r="AG24" s="1"/>
  <c r="AH24" i="92"/>
  <c r="AG25"/>
  <c r="AE25"/>
  <c r="AH26"/>
  <c r="AH28"/>
  <c r="AP23" i="98"/>
  <c r="AG23" i="91"/>
  <c r="BM36" i="89"/>
  <c r="BN36" s="1"/>
  <c r="AP23" i="96"/>
  <c r="AE23"/>
  <c r="AE24" s="1"/>
  <c r="AH23" i="95"/>
  <c r="AE23"/>
  <c r="AE24" s="1"/>
  <c r="AP25" i="91"/>
  <c r="AP23" i="94"/>
  <c r="AE23"/>
  <c r="AH24" i="91"/>
  <c r="AG25"/>
  <c r="AH26"/>
  <c r="AH25" i="92"/>
  <c r="AH27"/>
  <c r="BM36" i="95"/>
  <c r="BN36" s="1"/>
  <c r="AH23" i="91"/>
  <c r="AG24"/>
  <c r="AE25"/>
  <c r="AG27" i="92"/>
  <c r="AG28" s="1"/>
  <c r="AE24" i="91"/>
  <c r="AG25" i="94"/>
  <c r="BM40"/>
  <c r="BN40" s="1"/>
  <c r="AP23" i="89"/>
  <c r="AE23" i="91"/>
  <c r="AH23" i="89"/>
  <c r="BM40" i="91"/>
  <c r="BN40" s="1"/>
  <c r="BM36" i="98"/>
  <c r="BN36" s="1"/>
  <c r="AG23" i="89"/>
  <c r="AG24" s="1"/>
  <c r="AP25" i="92"/>
  <c r="AP27"/>
  <c r="AP24" i="94"/>
  <c r="AP24" i="92"/>
  <c r="CY24" i="89"/>
  <c r="AP27" i="91"/>
  <c r="AP26" i="92"/>
  <c r="AW24" i="94"/>
  <c r="AY24" s="1"/>
  <c r="AW25" i="92"/>
  <c r="AH25" i="94"/>
  <c r="AE25"/>
  <c r="AH23" i="96"/>
  <c r="AJ23" s="1"/>
  <c r="H19" i="91"/>
  <c r="H19" i="92"/>
  <c r="AE23" i="89"/>
  <c r="AE24" s="1"/>
  <c r="AP24" i="91"/>
  <c r="BM36" i="96"/>
  <c r="BN36" s="1"/>
  <c r="H19" i="89"/>
  <c r="AP23" i="91"/>
  <c r="AP23" i="92"/>
  <c r="AG24"/>
  <c r="AG26"/>
  <c r="H19" i="94"/>
  <c r="AH24"/>
  <c r="AK24" i="96"/>
  <c r="BY19" i="89"/>
  <c r="DG23"/>
  <c r="AH23" i="92"/>
  <c r="AE24"/>
  <c r="AE26"/>
  <c r="N23" i="94"/>
  <c r="O23" s="1"/>
  <c r="AG24"/>
  <c r="H19" i="95"/>
  <c r="H19" i="98"/>
  <c r="CY23" i="89"/>
  <c r="AG23" i="92"/>
  <c r="AH23" i="94"/>
  <c r="AE24"/>
  <c r="AP25"/>
  <c r="AP26"/>
  <c r="CX23" i="89"/>
  <c r="CX24" s="1"/>
  <c r="AH24"/>
  <c r="ED36"/>
  <c r="EE36" s="1"/>
  <c r="BM40" i="92"/>
  <c r="BN40" s="1"/>
  <c r="AG23" i="94"/>
  <c r="AH26"/>
  <c r="AP27"/>
  <c r="AP23" i="95"/>
  <c r="H19" i="96"/>
  <c r="AP26" i="91"/>
  <c r="L24" i="94"/>
  <c r="M24" s="1"/>
  <c r="N24" s="1"/>
  <c r="O24" s="1"/>
  <c r="P24" s="1"/>
  <c r="Q24" s="1"/>
  <c r="R24" s="1"/>
  <c r="S24" s="1"/>
  <c r="N23" i="91"/>
  <c r="O23" s="1"/>
  <c r="P23" s="1"/>
  <c r="Q23" s="1"/>
  <c r="AY23" i="98"/>
  <c r="BP23"/>
  <c r="H24"/>
  <c r="I26" s="1"/>
  <c r="L23"/>
  <c r="M23" s="1"/>
  <c r="AJ23"/>
  <c r="AK24"/>
  <c r="BP23" i="96"/>
  <c r="AY23"/>
  <c r="AG24"/>
  <c r="L23"/>
  <c r="M23" s="1"/>
  <c r="H24"/>
  <c r="I26" s="1"/>
  <c r="AY23" i="95"/>
  <c r="BP23"/>
  <c r="AK24"/>
  <c r="L23"/>
  <c r="M23" s="1"/>
  <c r="N23" s="1"/>
  <c r="H24"/>
  <c r="I26" s="1"/>
  <c r="N26" i="94"/>
  <c r="AY23"/>
  <c r="BP23"/>
  <c r="BP27"/>
  <c r="AY27"/>
  <c r="AY25"/>
  <c r="BP25"/>
  <c r="BP26"/>
  <c r="AY26"/>
  <c r="N27"/>
  <c r="AH27"/>
  <c r="AK28"/>
  <c r="N25"/>
  <c r="AG27"/>
  <c r="H28"/>
  <c r="I30" s="1"/>
  <c r="AG26"/>
  <c r="AE27"/>
  <c r="AE28" s="1"/>
  <c r="AE26"/>
  <c r="N24" i="92"/>
  <c r="N26"/>
  <c r="AY23"/>
  <c r="BP23"/>
  <c r="L23"/>
  <c r="M23" s="1"/>
  <c r="BP24"/>
  <c r="AY26"/>
  <c r="AW27"/>
  <c r="N25"/>
  <c r="L27"/>
  <c r="M27" s="1"/>
  <c r="N27" s="1"/>
  <c r="H28"/>
  <c r="I30" s="1"/>
  <c r="BP27" i="91"/>
  <c r="AY27"/>
  <c r="AY24"/>
  <c r="BP24"/>
  <c r="AY25"/>
  <c r="BP25"/>
  <c r="AY23"/>
  <c r="BP23"/>
  <c r="BP26"/>
  <c r="AY26"/>
  <c r="L24"/>
  <c r="M24" s="1"/>
  <c r="N24" s="1"/>
  <c r="N27"/>
  <c r="N26"/>
  <c r="AH27"/>
  <c r="AK28"/>
  <c r="N25"/>
  <c r="AG27"/>
  <c r="H28"/>
  <c r="I30" s="1"/>
  <c r="AG26"/>
  <c r="AE27"/>
  <c r="AE28" s="1"/>
  <c r="AE26"/>
  <c r="DP23" i="89"/>
  <c r="EG23"/>
  <c r="CC23"/>
  <c r="CD23" s="1"/>
  <c r="BY24"/>
  <c r="BZ26" s="1"/>
  <c r="L23"/>
  <c r="M23" s="1"/>
  <c r="N23" s="1"/>
  <c r="BP23"/>
  <c r="DB24"/>
  <c r="CX23" i="86" l="1"/>
  <c r="CZ23"/>
  <c r="AJ25" i="91"/>
  <c r="AO25" s="1"/>
  <c r="AJ23" i="102"/>
  <c r="AO23" s="1"/>
  <c r="AJ26"/>
  <c r="AO26" s="1"/>
  <c r="AJ25"/>
  <c r="AO25" s="1"/>
  <c r="AJ24"/>
  <c r="AO24" s="1"/>
  <c r="AJ23" i="101"/>
  <c r="AO23" s="1"/>
  <c r="AJ23" i="95"/>
  <c r="AJ24" s="1"/>
  <c r="O27" i="102"/>
  <c r="P27" s="1"/>
  <c r="Q27" s="1"/>
  <c r="R27" s="1"/>
  <c r="O24"/>
  <c r="P24" s="1"/>
  <c r="Q24" s="1"/>
  <c r="R24" s="1"/>
  <c r="S24" s="1"/>
  <c r="O26"/>
  <c r="O25"/>
  <c r="O23"/>
  <c r="AY25"/>
  <c r="BP25"/>
  <c r="AJ28"/>
  <c r="AO27"/>
  <c r="N23" i="101"/>
  <c r="O24" i="100"/>
  <c r="P24" s="1"/>
  <c r="Q24" s="1"/>
  <c r="O23"/>
  <c r="AG24" i="99"/>
  <c r="AJ23"/>
  <c r="N23"/>
  <c r="AJ26" i="92"/>
  <c r="AO26" s="1"/>
  <c r="AJ25"/>
  <c r="AO25" s="1"/>
  <c r="AJ25" i="94"/>
  <c r="AO25" s="1"/>
  <c r="AJ24" i="92"/>
  <c r="AO24" s="1"/>
  <c r="AJ27"/>
  <c r="AO27" s="1"/>
  <c r="AJ23" i="91"/>
  <c r="AO23" s="1"/>
  <c r="AJ26"/>
  <c r="AO26" s="1"/>
  <c r="AJ24"/>
  <c r="AO24" s="1"/>
  <c r="BP24" i="94"/>
  <c r="AJ23" i="89"/>
  <c r="AJ24" i="94"/>
  <c r="AO24" s="1"/>
  <c r="AY25" i="92"/>
  <c r="BP25"/>
  <c r="DA23" i="89"/>
  <c r="AJ26" i="94"/>
  <c r="AO26" s="1"/>
  <c r="AJ23"/>
  <c r="AO23" s="1"/>
  <c r="AJ23" i="92"/>
  <c r="AO23" s="1"/>
  <c r="AO23" i="98"/>
  <c r="AJ24"/>
  <c r="N23"/>
  <c r="AO23" i="96"/>
  <c r="AJ24"/>
  <c r="N23"/>
  <c r="O23" i="95"/>
  <c r="P23" s="1"/>
  <c r="Q23" s="1"/>
  <c r="W24" i="94"/>
  <c r="AI24"/>
  <c r="AN24" s="1"/>
  <c r="AA24"/>
  <c r="V24"/>
  <c r="O25"/>
  <c r="P25" s="1"/>
  <c r="Q25" s="1"/>
  <c r="P23"/>
  <c r="Q23" s="1"/>
  <c r="R23" s="1"/>
  <c r="S23" s="1"/>
  <c r="AG28"/>
  <c r="AJ27"/>
  <c r="O26"/>
  <c r="P26" s="1"/>
  <c r="Q26" s="1"/>
  <c r="O27"/>
  <c r="P27" s="1"/>
  <c r="Q27" s="1"/>
  <c r="O27" i="92"/>
  <c r="P27" s="1"/>
  <c r="Q27" s="1"/>
  <c r="R27" s="1"/>
  <c r="N23"/>
  <c r="O25"/>
  <c r="BP27"/>
  <c r="AY27"/>
  <c r="O24"/>
  <c r="O26"/>
  <c r="O27" i="91"/>
  <c r="P27" s="1"/>
  <c r="Q27" s="1"/>
  <c r="O24"/>
  <c r="P24" s="1"/>
  <c r="Q24" s="1"/>
  <c r="O26"/>
  <c r="R23"/>
  <c r="S23" s="1"/>
  <c r="O25"/>
  <c r="AJ27"/>
  <c r="AG28"/>
  <c r="O23" i="89"/>
  <c r="CE23"/>
  <c r="AJ24" i="101" l="1"/>
  <c r="AJ28" i="92"/>
  <c r="AO23" i="95"/>
  <c r="W24" i="102"/>
  <c r="AA24"/>
  <c r="V24"/>
  <c r="AI24"/>
  <c r="AN24" s="1"/>
  <c r="AR24" s="1"/>
  <c r="AX24" s="1"/>
  <c r="AZ24" s="1"/>
  <c r="BO24" s="1"/>
  <c r="R28"/>
  <c r="I31" s="1"/>
  <c r="S27"/>
  <c r="P25"/>
  <c r="Q25" s="1"/>
  <c r="R25" s="1"/>
  <c r="S25" s="1"/>
  <c r="P23"/>
  <c r="Q23" s="1"/>
  <c r="R23" s="1"/>
  <c r="S23" s="1"/>
  <c r="P26"/>
  <c r="Q26" s="1"/>
  <c r="R26" s="1"/>
  <c r="S26" s="1"/>
  <c r="O23" i="101"/>
  <c r="P23" i="100"/>
  <c r="Q23" s="1"/>
  <c r="R23" s="1"/>
  <c r="R24"/>
  <c r="S24" s="1"/>
  <c r="O23" i="99"/>
  <c r="AO23"/>
  <c r="AJ24"/>
  <c r="V23" i="91"/>
  <c r="W23"/>
  <c r="AJ24" i="89"/>
  <c r="AO23"/>
  <c r="DF23"/>
  <c r="DA24"/>
  <c r="AR24" i="94"/>
  <c r="AX24" s="1"/>
  <c r="AZ24" s="1"/>
  <c r="BO24" s="1"/>
  <c r="O23" i="98"/>
  <c r="P23" s="1"/>
  <c r="Q23" s="1"/>
  <c r="O23" i="96"/>
  <c r="R23" i="95"/>
  <c r="AI23" i="94"/>
  <c r="AN23" s="1"/>
  <c r="AR23" s="1"/>
  <c r="AX23" s="1"/>
  <c r="AZ23" s="1"/>
  <c r="BO23" s="1"/>
  <c r="AA23"/>
  <c r="V23"/>
  <c r="W23"/>
  <c r="R26"/>
  <c r="S26" s="1"/>
  <c r="AB24"/>
  <c r="AC24" s="1"/>
  <c r="AO27"/>
  <c r="AJ28"/>
  <c r="R27"/>
  <c r="R25"/>
  <c r="S25" s="1"/>
  <c r="R28" i="92"/>
  <c r="I31" s="1"/>
  <c r="S27"/>
  <c r="O23"/>
  <c r="P23" s="1"/>
  <c r="Q23" s="1"/>
  <c r="P24"/>
  <c r="Q24" s="1"/>
  <c r="R24" s="1"/>
  <c r="S24" s="1"/>
  <c r="P26"/>
  <c r="Q26" s="1"/>
  <c r="R26" s="1"/>
  <c r="S26" s="1"/>
  <c r="P25"/>
  <c r="Q25" s="1"/>
  <c r="R25" s="1"/>
  <c r="S25" s="1"/>
  <c r="P25" i="91"/>
  <c r="Q25" s="1"/>
  <c r="R25" s="1"/>
  <c r="S25" s="1"/>
  <c r="R24"/>
  <c r="S24" s="1"/>
  <c r="R27"/>
  <c r="AI23"/>
  <c r="AN23" s="1"/>
  <c r="AR23" s="1"/>
  <c r="AX23" s="1"/>
  <c r="AZ23" s="1"/>
  <c r="BO23" s="1"/>
  <c r="X23"/>
  <c r="AA23"/>
  <c r="AO27"/>
  <c r="AJ28"/>
  <c r="P26"/>
  <c r="Q26" s="1"/>
  <c r="R26" s="1"/>
  <c r="S26" s="1"/>
  <c r="P23" i="89"/>
  <c r="Q23" s="1"/>
  <c r="R23" s="1"/>
  <c r="CF23"/>
  <c r="AB24" i="102" l="1"/>
  <c r="AC24" s="1"/>
  <c r="AI23"/>
  <c r="AN23" s="1"/>
  <c r="AR23" s="1"/>
  <c r="AX23" s="1"/>
  <c r="AZ23" s="1"/>
  <c r="BO23" s="1"/>
  <c r="V23"/>
  <c r="AA23"/>
  <c r="W23"/>
  <c r="W26"/>
  <c r="AI26"/>
  <c r="AN26" s="1"/>
  <c r="AR26" s="1"/>
  <c r="AX26" s="1"/>
  <c r="AZ26" s="1"/>
  <c r="BO26" s="1"/>
  <c r="AA26"/>
  <c r="V26"/>
  <c r="V27"/>
  <c r="W27"/>
  <c r="W28" s="1"/>
  <c r="S28"/>
  <c r="I32" s="1"/>
  <c r="AI27"/>
  <c r="AA27"/>
  <c r="AA28" s="1"/>
  <c r="V25"/>
  <c r="W25"/>
  <c r="AI25"/>
  <c r="AN25" s="1"/>
  <c r="AR25" s="1"/>
  <c r="AX25" s="1"/>
  <c r="AZ25" s="1"/>
  <c r="BO25" s="1"/>
  <c r="AA25"/>
  <c r="P23" i="101"/>
  <c r="Q23" s="1"/>
  <c r="R23" s="1"/>
  <c r="R25" i="100"/>
  <c r="S23"/>
  <c r="V24"/>
  <c r="W24"/>
  <c r="AI24"/>
  <c r="AN24" s="1"/>
  <c r="AA24"/>
  <c r="AC24"/>
  <c r="P23" i="99"/>
  <c r="Q23" s="1"/>
  <c r="R23" s="1"/>
  <c r="V26" i="91"/>
  <c r="W26"/>
  <c r="W25"/>
  <c r="V25"/>
  <c r="V24"/>
  <c r="W24"/>
  <c r="AB23"/>
  <c r="AC23" s="1"/>
  <c r="R23" i="98"/>
  <c r="P23" i="96"/>
  <c r="Q23" s="1"/>
  <c r="R23" s="1"/>
  <c r="R24" i="95"/>
  <c r="I27" s="1"/>
  <c r="S23"/>
  <c r="R28" i="94"/>
  <c r="I31" s="1"/>
  <c r="S27"/>
  <c r="V25"/>
  <c r="W25"/>
  <c r="AI25"/>
  <c r="AN25" s="1"/>
  <c r="AR25" s="1"/>
  <c r="AX25" s="1"/>
  <c r="AZ25" s="1"/>
  <c r="BO25" s="1"/>
  <c r="AA25"/>
  <c r="AB23"/>
  <c r="V26"/>
  <c r="W26"/>
  <c r="AI26"/>
  <c r="AN26" s="1"/>
  <c r="AR26" s="1"/>
  <c r="AX26" s="1"/>
  <c r="AZ26" s="1"/>
  <c r="BO26" s="1"/>
  <c r="AA26"/>
  <c r="AI24" i="92"/>
  <c r="AN24" s="1"/>
  <c r="AR24" s="1"/>
  <c r="AX24" s="1"/>
  <c r="AZ24" s="1"/>
  <c r="BO24" s="1"/>
  <c r="X24"/>
  <c r="AA24"/>
  <c r="AC24"/>
  <c r="AC26"/>
  <c r="AI26"/>
  <c r="AN26" s="1"/>
  <c r="AR26" s="1"/>
  <c r="AX26" s="1"/>
  <c r="AZ26" s="1"/>
  <c r="BO26" s="1"/>
  <c r="X26"/>
  <c r="AA26"/>
  <c r="AI25"/>
  <c r="AN25" s="1"/>
  <c r="AR25" s="1"/>
  <c r="AX25" s="1"/>
  <c r="AZ25" s="1"/>
  <c r="BO25" s="1"/>
  <c r="X25"/>
  <c r="AA25"/>
  <c r="AC25"/>
  <c r="AC27"/>
  <c r="S28"/>
  <c r="I32" s="1"/>
  <c r="AI27"/>
  <c r="AN27" s="1"/>
  <c r="AR27" s="1"/>
  <c r="AX27" s="1"/>
  <c r="AZ27" s="1"/>
  <c r="BO27" s="1"/>
  <c r="X27"/>
  <c r="AA27"/>
  <c r="AA28" s="1"/>
  <c r="R23"/>
  <c r="S23" s="1"/>
  <c r="AI25" i="91"/>
  <c r="AN25" s="1"/>
  <c r="AR25" s="1"/>
  <c r="AX25" s="1"/>
  <c r="AZ25" s="1"/>
  <c r="BO25" s="1"/>
  <c r="X25"/>
  <c r="AA25"/>
  <c r="AI24"/>
  <c r="AN24" s="1"/>
  <c r="AR24" s="1"/>
  <c r="AX24" s="1"/>
  <c r="AZ24" s="1"/>
  <c r="BO24" s="1"/>
  <c r="X24"/>
  <c r="AA24"/>
  <c r="R28"/>
  <c r="I31" s="1"/>
  <c r="S27"/>
  <c r="AI26"/>
  <c r="AN26" s="1"/>
  <c r="AR26" s="1"/>
  <c r="AX26" s="1"/>
  <c r="AZ26" s="1"/>
  <c r="BO26" s="1"/>
  <c r="X26"/>
  <c r="AA26"/>
  <c r="R24" i="89"/>
  <c r="I27" s="1"/>
  <c r="S23"/>
  <c r="CG23"/>
  <c r="CH23" s="1"/>
  <c r="CI23" s="1"/>
  <c r="AB25" i="102" l="1"/>
  <c r="AC25" s="1"/>
  <c r="AB26"/>
  <c r="AC26" s="1"/>
  <c r="AB23"/>
  <c r="AN27"/>
  <c r="AR27" s="1"/>
  <c r="AX27" s="1"/>
  <c r="AZ27" s="1"/>
  <c r="BO27" s="1"/>
  <c r="AI28"/>
  <c r="V28"/>
  <c r="AB27"/>
  <c r="AC27" s="1"/>
  <c r="R24" i="101"/>
  <c r="I27" s="1"/>
  <c r="S23"/>
  <c r="V23" i="100"/>
  <c r="W23"/>
  <c r="W25" s="1"/>
  <c r="AI23"/>
  <c r="S25"/>
  <c r="AH23" s="1"/>
  <c r="AH25" s="1"/>
  <c r="AA23"/>
  <c r="AB24"/>
  <c r="R24" i="99"/>
  <c r="I27" s="1"/>
  <c r="S23"/>
  <c r="S28" i="91"/>
  <c r="I32" s="1"/>
  <c r="V27"/>
  <c r="V28" s="1"/>
  <c r="W27"/>
  <c r="W28" s="1"/>
  <c r="AB25" i="94"/>
  <c r="AC25" s="1"/>
  <c r="AB26" i="91"/>
  <c r="AC26" s="1"/>
  <c r="AB25"/>
  <c r="AC25" s="1"/>
  <c r="AB26" i="94"/>
  <c r="AC26" s="1"/>
  <c r="AB26" i="92"/>
  <c r="AB24" i="91"/>
  <c r="AC24" s="1"/>
  <c r="R24" i="98"/>
  <c r="I27" s="1"/>
  <c r="S23"/>
  <c r="R24" i="96"/>
  <c r="I27" s="1"/>
  <c r="S23"/>
  <c r="AA23" i="95"/>
  <c r="AA24" s="1"/>
  <c r="S24"/>
  <c r="I28" s="1"/>
  <c r="AI23"/>
  <c r="X23"/>
  <c r="V27" i="94"/>
  <c r="W27"/>
  <c r="W28" s="1"/>
  <c r="S28"/>
  <c r="I32" s="1"/>
  <c r="AI27"/>
  <c r="AA27"/>
  <c r="AA28" s="1"/>
  <c r="AC23"/>
  <c r="AI23" i="92"/>
  <c r="X23"/>
  <c r="AA23"/>
  <c r="AC23"/>
  <c r="AC28" s="1"/>
  <c r="AT28" s="1"/>
  <c r="AU28" s="1"/>
  <c r="AB25"/>
  <c r="AB24"/>
  <c r="X28"/>
  <c r="AB27"/>
  <c r="AI27" i="91"/>
  <c r="X27"/>
  <c r="AA27"/>
  <c r="AA28" s="1"/>
  <c r="AI23" i="89"/>
  <c r="S24"/>
  <c r="I28" s="1"/>
  <c r="AA23"/>
  <c r="AA24" s="1"/>
  <c r="AC23"/>
  <c r="AC24" s="1"/>
  <c r="V23"/>
  <c r="W23"/>
  <c r="W24" s="1"/>
  <c r="CI24"/>
  <c r="BZ27" s="1"/>
  <c r="CJ23"/>
  <c r="AB28" i="102" l="1"/>
  <c r="I33" s="1"/>
  <c r="I34" s="1"/>
  <c r="AC23"/>
  <c r="AC28" s="1"/>
  <c r="AT28" s="1"/>
  <c r="AU28" s="1"/>
  <c r="V23" i="101"/>
  <c r="W23"/>
  <c r="W24" s="1"/>
  <c r="S24"/>
  <c r="I28" s="1"/>
  <c r="AI23"/>
  <c r="AA23"/>
  <c r="AA24" s="1"/>
  <c r="V25" i="100"/>
  <c r="AB23"/>
  <c r="AG23"/>
  <c r="AH24"/>
  <c r="AG24"/>
  <c r="AE24"/>
  <c r="AI25"/>
  <c r="AN23"/>
  <c r="AE23"/>
  <c r="AC23" i="99"/>
  <c r="AC24" s="1"/>
  <c r="AT24" s="1"/>
  <c r="V23"/>
  <c r="W23"/>
  <c r="W24" s="1"/>
  <c r="AA23"/>
  <c r="AA24" s="1"/>
  <c r="S24"/>
  <c r="I28" s="1"/>
  <c r="AI23"/>
  <c r="AB23" i="92"/>
  <c r="AB28" s="1"/>
  <c r="I33" s="1"/>
  <c r="I34" s="1"/>
  <c r="AA23" i="98"/>
  <c r="AA24" s="1"/>
  <c r="AC23"/>
  <c r="AC24" s="1"/>
  <c r="V23"/>
  <c r="W23"/>
  <c r="W24" s="1"/>
  <c r="S24"/>
  <c r="I28" s="1"/>
  <c r="AI23"/>
  <c r="AC23" i="96"/>
  <c r="AC24" s="1"/>
  <c r="AT24" s="1"/>
  <c r="AU24" s="1"/>
  <c r="S24"/>
  <c r="I28" s="1"/>
  <c r="AI23"/>
  <c r="X23"/>
  <c r="AA23"/>
  <c r="AA24" s="1"/>
  <c r="AN23" i="95"/>
  <c r="AR23" s="1"/>
  <c r="AX23" s="1"/>
  <c r="AZ23" s="1"/>
  <c r="BO23" s="1"/>
  <c r="AI24"/>
  <c r="X24"/>
  <c r="AB23"/>
  <c r="AB27" i="94"/>
  <c r="V28"/>
  <c r="AN27"/>
  <c r="AR27" s="1"/>
  <c r="AX27" s="1"/>
  <c r="AZ27" s="1"/>
  <c r="BO27" s="1"/>
  <c r="AI28"/>
  <c r="AI28" i="92"/>
  <c r="AN23"/>
  <c r="AR23" s="1"/>
  <c r="AX23" s="1"/>
  <c r="AZ23" s="1"/>
  <c r="BO23" s="1"/>
  <c r="AN27" i="91"/>
  <c r="AR27" s="1"/>
  <c r="AX27" s="1"/>
  <c r="AZ27" s="1"/>
  <c r="BO27" s="1"/>
  <c r="AI28"/>
  <c r="X28"/>
  <c r="AB27"/>
  <c r="AN23" i="89"/>
  <c r="AR23" s="1"/>
  <c r="AX23" s="1"/>
  <c r="AZ23" s="1"/>
  <c r="BO23" s="1"/>
  <c r="AI24"/>
  <c r="V24"/>
  <c r="AB23"/>
  <c r="AB24" s="1"/>
  <c r="I29" s="1"/>
  <c r="I30" s="1"/>
  <c r="CM23"/>
  <c r="CN23"/>
  <c r="CN24" s="1"/>
  <c r="CZ23"/>
  <c r="CJ24"/>
  <c r="BZ28" s="1"/>
  <c r="CR23"/>
  <c r="CR24" s="1"/>
  <c r="CT23"/>
  <c r="CT24" s="1"/>
  <c r="AK24" i="100" l="1"/>
  <c r="AP24" s="1"/>
  <c r="AE25"/>
  <c r="AK23"/>
  <c r="AN23" i="101"/>
  <c r="AR23" s="1"/>
  <c r="AX23" s="1"/>
  <c r="AZ23" s="1"/>
  <c r="BO23" s="1"/>
  <c r="AI24"/>
  <c r="AB23"/>
  <c r="V24"/>
  <c r="AB25" i="100"/>
  <c r="AC23"/>
  <c r="AC25" s="1"/>
  <c r="AG25"/>
  <c r="AJ23"/>
  <c r="AJ24"/>
  <c r="AO24" s="1"/>
  <c r="AB23" i="99"/>
  <c r="AB24" s="1"/>
  <c r="I29" s="1"/>
  <c r="I30" s="1"/>
  <c r="V24"/>
  <c r="AN23"/>
  <c r="AR23" s="1"/>
  <c r="AX23" s="1"/>
  <c r="AZ23" s="1"/>
  <c r="BO23" s="1"/>
  <c r="AI24"/>
  <c r="AB23" i="98"/>
  <c r="AB24" s="1"/>
  <c r="I29" s="1"/>
  <c r="I30" s="1"/>
  <c r="V24"/>
  <c r="AN23"/>
  <c r="AR23" s="1"/>
  <c r="AX23" s="1"/>
  <c r="AZ23" s="1"/>
  <c r="BO23" s="1"/>
  <c r="AI24"/>
  <c r="AN23" i="96"/>
  <c r="AR23" s="1"/>
  <c r="AX23" s="1"/>
  <c r="AZ23" s="1"/>
  <c r="BO23" s="1"/>
  <c r="AI24"/>
  <c r="AB23"/>
  <c r="AB24" s="1"/>
  <c r="I29" s="1"/>
  <c r="I30" s="1"/>
  <c r="X24"/>
  <c r="AB24" i="95"/>
  <c r="I29" s="1"/>
  <c r="I30" s="1"/>
  <c r="AC23"/>
  <c r="AC24" s="1"/>
  <c r="AB28" i="94"/>
  <c r="I33" s="1"/>
  <c r="I34" s="1"/>
  <c r="AC27"/>
  <c r="AC28" s="1"/>
  <c r="AT28" s="1"/>
  <c r="AU28" s="1"/>
  <c r="AB28" i="91"/>
  <c r="I33" s="1"/>
  <c r="I34" s="1"/>
  <c r="AC27"/>
  <c r="AC28" s="1"/>
  <c r="CM24" i="89"/>
  <c r="CS23"/>
  <c r="CS24" s="1"/>
  <c r="BZ29" s="1"/>
  <c r="BZ30" s="1"/>
  <c r="CZ24"/>
  <c r="DE23"/>
  <c r="DI23" s="1"/>
  <c r="DO23" s="1"/>
  <c r="DQ23" s="1"/>
  <c r="EF23" s="1"/>
  <c r="AP23" i="100" l="1"/>
  <c r="AK25"/>
  <c r="AR24"/>
  <c r="AX24" s="1"/>
  <c r="AZ24" s="1"/>
  <c r="BO24" s="1"/>
  <c r="AB24" i="101"/>
  <c r="I29" s="1"/>
  <c r="I30" s="1"/>
  <c r="AC23"/>
  <c r="AC24" s="1"/>
  <c r="AT24" s="1"/>
  <c r="AO23" i="100"/>
  <c r="AJ25"/>
  <c r="AT28" i="91"/>
  <c r="AU28" s="1"/>
  <c r="AR23" i="100" l="1"/>
  <c r="AX23" s="1"/>
  <c r="AZ23" s="1"/>
  <c r="BO23" s="1"/>
  <c r="AD24" i="75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8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4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3"/>
  <c r="AM23"/>
  <c r="AW23" s="1"/>
  <c r="AY23" s="1"/>
  <c r="AJ23"/>
  <c r="AJ24" s="1"/>
  <c r="AA23"/>
  <c r="Y23"/>
  <c r="X23"/>
  <c r="X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4" i="77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72"/>
  <c r="AM23"/>
  <c r="AW23" s="1"/>
  <c r="AJ23"/>
  <c r="AJ24" s="1"/>
  <c r="AA23"/>
  <c r="AA24" s="1"/>
  <c r="Y23"/>
  <c r="Y24" s="1"/>
  <c r="X23"/>
  <c r="X24" s="1"/>
  <c r="W23"/>
  <c r="W24" s="1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1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80"/>
  <c r="AM23"/>
  <c r="AW23" s="1"/>
  <c r="AY23" s="1"/>
  <c r="AJ23"/>
  <c r="AJ24" s="1"/>
  <c r="AA23"/>
  <c r="AA24" s="1"/>
  <c r="Y23"/>
  <c r="Y24" s="1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70"/>
  <c r="AM23"/>
  <c r="AW23" s="1"/>
  <c r="AJ23"/>
  <c r="AJ24" s="1"/>
  <c r="AA23"/>
  <c r="AA24" s="1"/>
  <c r="Y23"/>
  <c r="Y24" s="1"/>
  <c r="X23"/>
  <c r="X24" s="1"/>
  <c r="W23"/>
  <c r="W24" s="1"/>
  <c r="V23"/>
  <c r="V24" s="1"/>
  <c r="H23"/>
  <c r="H18"/>
  <c r="H17"/>
  <c r="H16"/>
  <c r="H15"/>
  <c r="H14"/>
  <c r="H13"/>
  <c r="H12"/>
  <c r="H11"/>
  <c r="H10"/>
  <c r="H9"/>
  <c r="H8"/>
  <c r="H7"/>
  <c r="H6"/>
  <c r="H5"/>
  <c r="H4"/>
  <c r="AD24" i="65"/>
  <c r="AM23"/>
  <c r="AW23" s="1"/>
  <c r="AK23"/>
  <c r="AK24" s="1"/>
  <c r="AA23"/>
  <c r="Y23"/>
  <c r="W23"/>
  <c r="W24" s="1"/>
  <c r="V23"/>
  <c r="V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6"/>
  <c r="AM23"/>
  <c r="AW23" s="1"/>
  <c r="AY23" s="1"/>
  <c r="AK23"/>
  <c r="Y23"/>
  <c r="X23"/>
  <c r="X24" s="1"/>
  <c r="O23"/>
  <c r="P23" s="1"/>
  <c r="Q23" s="1"/>
  <c r="M23"/>
  <c r="H23"/>
  <c r="H24" s="1"/>
  <c r="H18"/>
  <c r="H17"/>
  <c r="H16"/>
  <c r="H15"/>
  <c r="H14"/>
  <c r="H13"/>
  <c r="H12"/>
  <c r="H11"/>
  <c r="H10"/>
  <c r="H9"/>
  <c r="H8"/>
  <c r="H7"/>
  <c r="H6"/>
  <c r="H5"/>
  <c r="H4"/>
  <c r="AD24" i="64"/>
  <c r="AM23"/>
  <c r="AW23" s="1"/>
  <c r="AJ23"/>
  <c r="AJ24" s="1"/>
  <c r="AA23"/>
  <c r="Y23"/>
  <c r="X23"/>
  <c r="X24" s="1"/>
  <c r="W23"/>
  <c r="W24" s="1"/>
  <c r="V23"/>
  <c r="V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63"/>
  <c r="AM23"/>
  <c r="AW23" s="1"/>
  <c r="AK23"/>
  <c r="AK24" s="1"/>
  <c r="AA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61"/>
  <c r="AM23"/>
  <c r="AW23" s="1"/>
  <c r="AK23"/>
  <c r="AK24" s="1"/>
  <c r="Y23"/>
  <c r="X23"/>
  <c r="X24" s="1"/>
  <c r="W23"/>
  <c r="W24" s="1"/>
  <c r="V23"/>
  <c r="V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60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4" i="58"/>
  <c r="AJ23"/>
  <c r="AT23" s="1"/>
  <c r="AW23" s="1"/>
  <c r="BL23" s="1"/>
  <c r="AH23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6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55"/>
  <c r="AM24"/>
  <c r="AW24" s="1"/>
  <c r="BP24" s="1"/>
  <c r="AK24"/>
  <c r="Y24"/>
  <c r="W24"/>
  <c r="V24"/>
  <c r="H24"/>
  <c r="AM23"/>
  <c r="AW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A25" i="26"/>
  <c r="AJ24"/>
  <c r="AT24" s="1"/>
  <c r="AH24"/>
  <c r="X24"/>
  <c r="H24"/>
  <c r="AJ23"/>
  <c r="AT23" s="1"/>
  <c r="BM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AA25" i="24"/>
  <c r="AJ24"/>
  <c r="AT24" s="1"/>
  <c r="AH24"/>
  <c r="X24"/>
  <c r="H24"/>
  <c r="AJ23"/>
  <c r="AT23" s="1"/>
  <c r="AV23" s="1"/>
  <c r="AH23"/>
  <c r="X23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BJ34" i="22"/>
  <c r="BK33"/>
  <c r="BJ33"/>
  <c r="AA25"/>
  <c r="AE25" s="1"/>
  <c r="AJ24"/>
  <c r="AT24" s="1"/>
  <c r="AH24"/>
  <c r="X24"/>
  <c r="H24"/>
  <c r="L24" s="1"/>
  <c r="M24" s="1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20"/>
  <c r="BK33"/>
  <c r="BJ33"/>
  <c r="AA25"/>
  <c r="AE24" s="1"/>
  <c r="AJ24"/>
  <c r="AT24" s="1"/>
  <c r="BM24" s="1"/>
  <c r="AH24"/>
  <c r="X24"/>
  <c r="H24"/>
  <c r="AJ23"/>
  <c r="AT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J34" i="19"/>
  <c r="BK33"/>
  <c r="BJ33"/>
  <c r="AA25"/>
  <c r="AB24" s="1"/>
  <c r="AJ24"/>
  <c r="AT24" s="1"/>
  <c r="AV24" s="1"/>
  <c r="AH24"/>
  <c r="X24"/>
  <c r="H24"/>
  <c r="L24" s="1"/>
  <c r="M24" s="1"/>
  <c r="AJ23"/>
  <c r="AT23" s="1"/>
  <c r="AV23" s="1"/>
  <c r="AH23"/>
  <c r="X23"/>
  <c r="H23"/>
  <c r="H18"/>
  <c r="H17"/>
  <c r="H16"/>
  <c r="H15"/>
  <c r="H14"/>
  <c r="H13"/>
  <c r="H12"/>
  <c r="H11"/>
  <c r="H10"/>
  <c r="H9"/>
  <c r="H8"/>
  <c r="H7"/>
  <c r="H6"/>
  <c r="H5"/>
  <c r="H4"/>
  <c r="BM34" i="67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9"/>
  <c r="BN33"/>
  <c r="BM33"/>
  <c r="AD25"/>
  <c r="AH25" s="1"/>
  <c r="Z25"/>
  <c r="AM24"/>
  <c r="AW24" s="1"/>
  <c r="AY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3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8"/>
  <c r="BN33"/>
  <c r="BM33"/>
  <c r="AD25"/>
  <c r="AH25" s="1"/>
  <c r="Z25"/>
  <c r="AM24"/>
  <c r="AW24" s="1"/>
  <c r="AK24"/>
  <c r="Y24"/>
  <c r="W24"/>
  <c r="V24"/>
  <c r="H24"/>
  <c r="L24" s="1"/>
  <c r="M24" s="1"/>
  <c r="AM23"/>
  <c r="AW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69"/>
  <c r="BN33"/>
  <c r="BM33"/>
  <c r="AD25"/>
  <c r="AE24" s="1"/>
  <c r="Z2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BM34" i="21"/>
  <c r="BN33"/>
  <c r="BM33"/>
  <c r="AD25"/>
  <c r="AH25" s="1"/>
  <c r="Z25"/>
  <c r="AM24"/>
  <c r="AW24" s="1"/>
  <c r="AY24" s="1"/>
  <c r="AK24"/>
  <c r="Y24"/>
  <c r="X24"/>
  <c r="H24"/>
  <c r="L24" s="1"/>
  <c r="M24" s="1"/>
  <c r="N24" s="1"/>
  <c r="AM23"/>
  <c r="AW23" s="1"/>
  <c r="AY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0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32"/>
  <c r="BN33"/>
  <c r="BM33"/>
  <c r="AD25"/>
  <c r="AH25" s="1"/>
  <c r="Z25"/>
  <c r="AM24"/>
  <c r="AW24" s="1"/>
  <c r="AK24"/>
  <c r="Y24"/>
  <c r="X24"/>
  <c r="H24"/>
  <c r="L24" s="1"/>
  <c r="M24" s="1"/>
  <c r="AM23"/>
  <c r="AW23" s="1"/>
  <c r="AK23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31"/>
  <c r="BN33"/>
  <c r="BM33"/>
  <c r="AD25"/>
  <c r="AE24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2"/>
  <c r="BN33"/>
  <c r="BM33"/>
  <c r="AD25"/>
  <c r="Z25"/>
  <c r="AM24"/>
  <c r="AK24"/>
  <c r="Y24"/>
  <c r="W24"/>
  <c r="V24"/>
  <c r="H24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50"/>
  <c r="BN33"/>
  <c r="BM33"/>
  <c r="AD25"/>
  <c r="AH25" s="1"/>
  <c r="Z25"/>
  <c r="AM24"/>
  <c r="AW24" s="1"/>
  <c r="AK24"/>
  <c r="Y24"/>
  <c r="X24"/>
  <c r="H24"/>
  <c r="AM23"/>
  <c r="AW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4" i="51"/>
  <c r="BN33"/>
  <c r="BM33"/>
  <c r="AD25"/>
  <c r="AH25" s="1"/>
  <c r="Z25"/>
  <c r="AM24"/>
  <c r="AW24" s="1"/>
  <c r="BP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BM34" i="49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BM33" i="48"/>
  <c r="BN32"/>
  <c r="BM32"/>
  <c r="AD24"/>
  <c r="Z24"/>
  <c r="AM23"/>
  <c r="AW23" s="1"/>
  <c r="AY23" s="1"/>
  <c r="AK23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3" i="47"/>
  <c r="BN32"/>
  <c r="BM32"/>
  <c r="AD24"/>
  <c r="AE23" s="1"/>
  <c r="AE24" s="1"/>
  <c r="Z24"/>
  <c r="AM23"/>
  <c r="AW23" s="1"/>
  <c r="AK23"/>
  <c r="AK24" s="1"/>
  <c r="Y23"/>
  <c r="Y24" s="1"/>
  <c r="X23"/>
  <c r="X24" s="1"/>
  <c r="H23"/>
  <c r="H24" s="1"/>
  <c r="I26" s="1"/>
  <c r="H18"/>
  <c r="H17"/>
  <c r="H16"/>
  <c r="H15"/>
  <c r="H14"/>
  <c r="H13"/>
  <c r="H12"/>
  <c r="H11"/>
  <c r="H10"/>
  <c r="H9"/>
  <c r="H8"/>
  <c r="H7"/>
  <c r="H6"/>
  <c r="H5"/>
  <c r="H4"/>
  <c r="BM34" i="18"/>
  <c r="BN33"/>
  <c r="BM33"/>
  <c r="AD25"/>
  <c r="AE24" s="1"/>
  <c r="Z25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59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54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6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15"/>
  <c r="AM23"/>
  <c r="AW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39"/>
  <c r="AM24"/>
  <c r="AW24" s="1"/>
  <c r="AK24"/>
  <c r="Y24"/>
  <c r="W24"/>
  <c r="V24"/>
  <c r="H24"/>
  <c r="L24" s="1"/>
  <c r="M24" s="1"/>
  <c r="N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5"/>
  <c r="AM24"/>
  <c r="AW24" s="1"/>
  <c r="AK24"/>
  <c r="Y24"/>
  <c r="W24"/>
  <c r="V24"/>
  <c r="H24"/>
  <c r="AM23"/>
  <c r="AW23" s="1"/>
  <c r="BP23" s="1"/>
  <c r="AK23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4" i="57"/>
  <c r="AM23"/>
  <c r="AW23" s="1"/>
  <c r="AK23"/>
  <c r="AK24" s="1"/>
  <c r="Y23"/>
  <c r="Y24" s="1"/>
  <c r="W23"/>
  <c r="W24" s="1"/>
  <c r="V23"/>
  <c r="H23"/>
  <c r="H24" s="1"/>
  <c r="H18"/>
  <c r="H17"/>
  <c r="H16"/>
  <c r="H15"/>
  <c r="H14"/>
  <c r="H13"/>
  <c r="H12"/>
  <c r="H11"/>
  <c r="H10"/>
  <c r="H9"/>
  <c r="H8"/>
  <c r="H7"/>
  <c r="H6"/>
  <c r="H5"/>
  <c r="H4"/>
  <c r="AD25" i="38"/>
  <c r="AM24"/>
  <c r="AW24" s="1"/>
  <c r="AK24"/>
  <c r="Y24"/>
  <c r="W24"/>
  <c r="V24"/>
  <c r="H24"/>
  <c r="L24" s="1"/>
  <c r="M24" s="1"/>
  <c r="AM23"/>
  <c r="AW23" s="1"/>
  <c r="AY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36"/>
  <c r="AM24"/>
  <c r="AW24" s="1"/>
  <c r="AK24"/>
  <c r="Y24"/>
  <c r="X24"/>
  <c r="H24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34"/>
  <c r="AM24"/>
  <c r="AW24" s="1"/>
  <c r="AK24"/>
  <c r="Y24"/>
  <c r="W24"/>
  <c r="V24"/>
  <c r="H24"/>
  <c r="L24" s="1"/>
  <c r="M24" s="1"/>
  <c r="AM23"/>
  <c r="AW23" s="1"/>
  <c r="AK23"/>
  <c r="AK25" s="1"/>
  <c r="Y23"/>
  <c r="W23"/>
  <c r="V23"/>
  <c r="H23"/>
  <c r="H18"/>
  <c r="H17"/>
  <c r="H16"/>
  <c r="H15"/>
  <c r="H14"/>
  <c r="H13"/>
  <c r="H12"/>
  <c r="H11"/>
  <c r="H10"/>
  <c r="H9"/>
  <c r="H8"/>
  <c r="H7"/>
  <c r="H6"/>
  <c r="H5"/>
  <c r="H4"/>
  <c r="AD25" i="12"/>
  <c r="AM24"/>
  <c r="AW24" s="1"/>
  <c r="AY24" s="1"/>
  <c r="AK24"/>
  <c r="Y24"/>
  <c r="X24"/>
  <c r="H24"/>
  <c r="L24" s="1"/>
  <c r="M24" s="1"/>
  <c r="AM23"/>
  <c r="AW23" s="1"/>
  <c r="BP23" s="1"/>
  <c r="AK23"/>
  <c r="Y23"/>
  <c r="X23"/>
  <c r="H23"/>
  <c r="H18"/>
  <c r="H17"/>
  <c r="H16"/>
  <c r="H15"/>
  <c r="H14"/>
  <c r="H13"/>
  <c r="H12"/>
  <c r="H11"/>
  <c r="H10"/>
  <c r="H9"/>
  <c r="H8"/>
  <c r="H7"/>
  <c r="H6"/>
  <c r="H5"/>
  <c r="H4"/>
  <c r="AD24" i="11"/>
  <c r="AM23"/>
  <c r="AW23" s="1"/>
  <c r="BP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6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45"/>
  <c r="AM23"/>
  <c r="AW23" s="1"/>
  <c r="AK23"/>
  <c r="Y23"/>
  <c r="Y24" s="1"/>
  <c r="X23"/>
  <c r="X24" s="1"/>
  <c r="H23"/>
  <c r="L23" s="1"/>
  <c r="M23" s="1"/>
  <c r="N23" s="1"/>
  <c r="H18"/>
  <c r="H17"/>
  <c r="H16"/>
  <c r="H15"/>
  <c r="H14"/>
  <c r="H13"/>
  <c r="H12"/>
  <c r="H11"/>
  <c r="H10"/>
  <c r="H9"/>
  <c r="H8"/>
  <c r="H7"/>
  <c r="H6"/>
  <c r="H5"/>
  <c r="H4"/>
  <c r="AD24" i="43"/>
  <c r="AM23"/>
  <c r="AW23" s="1"/>
  <c r="AK23"/>
  <c r="Y23"/>
  <c r="Y24" s="1"/>
  <c r="X23"/>
  <c r="X24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42"/>
  <c r="AM23"/>
  <c r="AW23" s="1"/>
  <c r="BP23" s="1"/>
  <c r="AK23"/>
  <c r="Y23"/>
  <c r="Y24" s="1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37"/>
  <c r="AM23"/>
  <c r="AW23" s="1"/>
  <c r="AK23"/>
  <c r="AK24" s="1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4"/>
  <c r="AM24"/>
  <c r="AW24" s="1"/>
  <c r="AY24" s="1"/>
  <c r="AK24"/>
  <c r="Y24"/>
  <c r="W24"/>
  <c r="V24"/>
  <c r="H24"/>
  <c r="L24" s="1"/>
  <c r="M24" s="1"/>
  <c r="AM23"/>
  <c r="AW23" s="1"/>
  <c r="AK23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13"/>
  <c r="AM24"/>
  <c r="AW24" s="1"/>
  <c r="AY24" s="1"/>
  <c r="AK24"/>
  <c r="Y24"/>
  <c r="W24"/>
  <c r="V24"/>
  <c r="H24"/>
  <c r="AM23"/>
  <c r="AW23" s="1"/>
  <c r="AY23" s="1"/>
  <c r="AK23"/>
  <c r="AK25" s="1"/>
  <c r="Y23"/>
  <c r="W23"/>
  <c r="V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4" i="62"/>
  <c r="AM23"/>
  <c r="AJ23"/>
  <c r="AJ24" s="1"/>
  <c r="AA23"/>
  <c r="AA24" s="1"/>
  <c r="Y23"/>
  <c r="Y24" s="1"/>
  <c r="X23"/>
  <c r="X24" s="1"/>
  <c r="W23"/>
  <c r="W24" s="1"/>
  <c r="V23"/>
  <c r="V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10"/>
  <c r="AM24"/>
  <c r="AW24" s="1"/>
  <c r="AY24" s="1"/>
  <c r="AK24"/>
  <c r="Y24"/>
  <c r="X24"/>
  <c r="H24"/>
  <c r="L24" s="1"/>
  <c r="M24" s="1"/>
  <c r="AM23"/>
  <c r="AW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V33" i="9"/>
  <c r="AU28"/>
  <c r="AA25"/>
  <c r="AJ24"/>
  <c r="AT24" s="1"/>
  <c r="AH24"/>
  <c r="X24"/>
  <c r="H24"/>
  <c r="L24" s="1"/>
  <c r="M24" s="1"/>
  <c r="AJ23"/>
  <c r="AH23"/>
  <c r="X23"/>
  <c r="H23"/>
  <c r="H18"/>
  <c r="H17"/>
  <c r="H16"/>
  <c r="H15"/>
  <c r="H14"/>
  <c r="H13"/>
  <c r="H12"/>
  <c r="H11"/>
  <c r="H10"/>
  <c r="H9"/>
  <c r="H8"/>
  <c r="H7"/>
  <c r="H6"/>
  <c r="H5"/>
  <c r="H4"/>
  <c r="AD25" i="28"/>
  <c r="AM24"/>
  <c r="AW24" s="1"/>
  <c r="AK24"/>
  <c r="Y24"/>
  <c r="X24"/>
  <c r="H24"/>
  <c r="L24" s="1"/>
  <c r="M24" s="1"/>
  <c r="AM23"/>
  <c r="AW23" s="1"/>
  <c r="AK23"/>
  <c r="AK25" s="1"/>
  <c r="Y23"/>
  <c r="X23"/>
  <c r="H23"/>
  <c r="H18"/>
  <c r="H17"/>
  <c r="H16"/>
  <c r="H15"/>
  <c r="H14"/>
  <c r="H13"/>
  <c r="H12"/>
  <c r="H11"/>
  <c r="H10"/>
  <c r="H9"/>
  <c r="H8"/>
  <c r="H7"/>
  <c r="H6"/>
  <c r="H5"/>
  <c r="H4"/>
  <c r="AD25" i="25"/>
  <c r="AM24"/>
  <c r="AW24" s="1"/>
  <c r="AY24" s="1"/>
  <c r="AK24"/>
  <c r="Y24"/>
  <c r="X24"/>
  <c r="H24"/>
  <c r="L24" s="1"/>
  <c r="M24" s="1"/>
  <c r="AM23"/>
  <c r="AW23" s="1"/>
  <c r="AY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8"/>
  <c r="AM24"/>
  <c r="AW24" s="1"/>
  <c r="AK24"/>
  <c r="Y24"/>
  <c r="X24"/>
  <c r="H24"/>
  <c r="AM23"/>
  <c r="AW23" s="1"/>
  <c r="BP23" s="1"/>
  <c r="AK23"/>
  <c r="AK25" s="1"/>
  <c r="Y23"/>
  <c r="X23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7"/>
  <c r="AM24"/>
  <c r="AW24" s="1"/>
  <c r="AK24"/>
  <c r="Y24"/>
  <c r="X24"/>
  <c r="H24"/>
  <c r="L24" s="1"/>
  <c r="M24" s="1"/>
  <c r="AM23"/>
  <c r="AW23" s="1"/>
  <c r="AK23"/>
  <c r="AK25" s="1"/>
  <c r="Y23"/>
  <c r="X23"/>
  <c r="X25" s="1"/>
  <c r="H23"/>
  <c r="L23" s="1"/>
  <c r="M23" s="1"/>
  <c r="H18"/>
  <c r="H17"/>
  <c r="H16"/>
  <c r="H15"/>
  <c r="H14"/>
  <c r="H13"/>
  <c r="H12"/>
  <c r="H11"/>
  <c r="H10"/>
  <c r="H9"/>
  <c r="H8"/>
  <c r="H7"/>
  <c r="H6"/>
  <c r="H5"/>
  <c r="H4"/>
  <c r="AD25" i="23"/>
  <c r="AM24"/>
  <c r="AW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44"/>
  <c r="AM23"/>
  <c r="AW23" s="1"/>
  <c r="AK23"/>
  <c r="Y23"/>
  <c r="X23"/>
  <c r="X24" s="1"/>
  <c r="H23"/>
  <c r="H18"/>
  <c r="H17"/>
  <c r="H16"/>
  <c r="H15"/>
  <c r="H14"/>
  <c r="H13"/>
  <c r="H12"/>
  <c r="H11"/>
  <c r="H10"/>
  <c r="H9"/>
  <c r="H8"/>
  <c r="H7"/>
  <c r="H6"/>
  <c r="H5"/>
  <c r="H4"/>
  <c r="AD24" i="40"/>
  <c r="AM23"/>
  <c r="AW23" s="1"/>
  <c r="AY23" s="1"/>
  <c r="AK23"/>
  <c r="Y23"/>
  <c r="Y24" s="1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4" i="33"/>
  <c r="AM23"/>
  <c r="AW23" s="1"/>
  <c r="AY23" s="1"/>
  <c r="AK23"/>
  <c r="AK24" s="1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AD25" i="7"/>
  <c r="AM24"/>
  <c r="AW24" s="1"/>
  <c r="AY24" s="1"/>
  <c r="AK24"/>
  <c r="Y24"/>
  <c r="X24"/>
  <c r="H24"/>
  <c r="L24" s="1"/>
  <c r="M24" s="1"/>
  <c r="AM23"/>
  <c r="AW23" s="1"/>
  <c r="AK23"/>
  <c r="Y23"/>
  <c r="X23"/>
  <c r="X25" s="1"/>
  <c r="H23"/>
  <c r="H25" s="1"/>
  <c r="H18"/>
  <c r="H17"/>
  <c r="H16"/>
  <c r="H15"/>
  <c r="H14"/>
  <c r="H13"/>
  <c r="H12"/>
  <c r="H11"/>
  <c r="H10"/>
  <c r="H9"/>
  <c r="H8"/>
  <c r="H7"/>
  <c r="H6"/>
  <c r="H5"/>
  <c r="H4"/>
  <c r="AD24" i="6"/>
  <c r="AM23"/>
  <c r="AW23" s="1"/>
  <c r="AK23"/>
  <c r="Y23"/>
  <c r="X23"/>
  <c r="X24" s="1"/>
  <c r="H23"/>
  <c r="H24" s="1"/>
  <c r="H18"/>
  <c r="H17"/>
  <c r="H16"/>
  <c r="H15"/>
  <c r="H14"/>
  <c r="H13"/>
  <c r="H12"/>
  <c r="H11"/>
  <c r="H10"/>
  <c r="H9"/>
  <c r="H8"/>
  <c r="H7"/>
  <c r="H6"/>
  <c r="H5"/>
  <c r="H4"/>
  <c r="W17" i="5"/>
  <c r="G17"/>
  <c r="W16"/>
  <c r="G16"/>
  <c r="W15"/>
  <c r="G15"/>
  <c r="K15" s="1"/>
  <c r="L15" s="1"/>
  <c r="M15" s="1"/>
  <c r="W14"/>
  <c r="G14"/>
  <c r="K14" s="1"/>
  <c r="L14" s="1"/>
  <c r="W13"/>
  <c r="G13"/>
  <c r="W12"/>
  <c r="G12"/>
  <c r="K12" s="1"/>
  <c r="L12" s="1"/>
  <c r="W11"/>
  <c r="G11"/>
  <c r="K11" s="1"/>
  <c r="L11" s="1"/>
  <c r="W10"/>
  <c r="G10"/>
  <c r="W9"/>
  <c r="G9"/>
  <c r="K9" s="1"/>
  <c r="L9" s="1"/>
  <c r="W8"/>
  <c r="G8"/>
  <c r="K8" s="1"/>
  <c r="L8" s="1"/>
  <c r="W7"/>
  <c r="G7"/>
  <c r="K7" s="1"/>
  <c r="L7" s="1"/>
  <c r="M7" s="1"/>
  <c r="W6"/>
  <c r="G6"/>
  <c r="K6" s="1"/>
  <c r="L6" s="1"/>
  <c r="W5"/>
  <c r="G5"/>
  <c r="W4"/>
  <c r="G4"/>
  <c r="K4" s="1"/>
  <c r="L4" s="1"/>
  <c r="W3"/>
  <c r="G3"/>
  <c r="K3" s="1"/>
  <c r="L3" s="1"/>
  <c r="W20" i="4"/>
  <c r="G20"/>
  <c r="W19"/>
  <c r="G19"/>
  <c r="K19" s="1"/>
  <c r="L19" s="1"/>
  <c r="W18"/>
  <c r="G18"/>
  <c r="K18" s="1"/>
  <c r="L18" s="1"/>
  <c r="W17"/>
  <c r="G17"/>
  <c r="K17" s="1"/>
  <c r="L17" s="1"/>
  <c r="W16"/>
  <c r="G16"/>
  <c r="K16" s="1"/>
  <c r="L16" s="1"/>
  <c r="W15"/>
  <c r="G15"/>
  <c r="K15" s="1"/>
  <c r="L15" s="1"/>
  <c r="W14"/>
  <c r="G14"/>
  <c r="K14" s="1"/>
  <c r="L14" s="1"/>
  <c r="W13"/>
  <c r="G13"/>
  <c r="K13" s="1"/>
  <c r="L13" s="1"/>
  <c r="M13" s="1"/>
  <c r="N13" s="1"/>
  <c r="W12"/>
  <c r="G12"/>
  <c r="W11"/>
  <c r="G11"/>
  <c r="K11" s="1"/>
  <c r="L11" s="1"/>
  <c r="W10"/>
  <c r="G10"/>
  <c r="K10" s="1"/>
  <c r="L10" s="1"/>
  <c r="W9"/>
  <c r="G9"/>
  <c r="K9" s="1"/>
  <c r="L9" s="1"/>
  <c r="M9" s="1"/>
  <c r="W8"/>
  <c r="G8"/>
  <c r="K8" s="1"/>
  <c r="L8" s="1"/>
  <c r="W7"/>
  <c r="G7"/>
  <c r="K7" s="1"/>
  <c r="L7" s="1"/>
  <c r="W6"/>
  <c r="G6"/>
  <c r="W37" i="3"/>
  <c r="H37"/>
  <c r="L37" s="1"/>
  <c r="M37" s="1"/>
  <c r="W36"/>
  <c r="H36"/>
  <c r="W35"/>
  <c r="H35"/>
  <c r="L35" s="1"/>
  <c r="M35" s="1"/>
  <c r="W34"/>
  <c r="H34"/>
  <c r="W33"/>
  <c r="H33"/>
  <c r="L33" s="1"/>
  <c r="M33" s="1"/>
  <c r="W32"/>
  <c r="H32"/>
  <c r="W31"/>
  <c r="H31"/>
  <c r="L31" s="1"/>
  <c r="M31" s="1"/>
  <c r="W30"/>
  <c r="H30"/>
  <c r="W29"/>
  <c r="H29"/>
  <c r="L29" s="1"/>
  <c r="M29" s="1"/>
  <c r="W28"/>
  <c r="H28"/>
  <c r="W27"/>
  <c r="H27"/>
  <c r="L27" s="1"/>
  <c r="M27" s="1"/>
  <c r="W26"/>
  <c r="H26"/>
  <c r="W25"/>
  <c r="AC25" s="1"/>
  <c r="H25"/>
  <c r="W24"/>
  <c r="AC24" s="1"/>
  <c r="H24"/>
  <c r="W23"/>
  <c r="AC23" s="1"/>
  <c r="H23"/>
  <c r="G29" i="2"/>
  <c r="AA26"/>
  <c r="AJ25"/>
  <c r="AT25" s="1"/>
  <c r="AH25"/>
  <c r="X25"/>
  <c r="H25"/>
  <c r="AJ24"/>
  <c r="AT24" s="1"/>
  <c r="AV24" s="1"/>
  <c r="AH24"/>
  <c r="X24"/>
  <c r="H24"/>
  <c r="AJ23"/>
  <c r="AT23" s="1"/>
  <c r="AV23" s="1"/>
  <c r="AH23"/>
  <c r="X23"/>
  <c r="H23"/>
  <c r="H26" s="1"/>
  <c r="H18"/>
  <c r="H17"/>
  <c r="H16"/>
  <c r="H15"/>
  <c r="H14"/>
  <c r="H13"/>
  <c r="H12"/>
  <c r="H11"/>
  <c r="H10"/>
  <c r="H9"/>
  <c r="H8"/>
  <c r="H7"/>
  <c r="H6"/>
  <c r="H5"/>
  <c r="H4"/>
  <c r="F4" i="1"/>
  <c r="E4"/>
  <c r="F3"/>
  <c r="E3"/>
  <c r="F2"/>
  <c r="E2"/>
  <c r="H25" i="56" l="1"/>
  <c r="AB24" i="20"/>
  <c r="X26" i="2"/>
  <c r="AP24" i="51"/>
  <c r="AE25" i="20"/>
  <c r="V25" i="69"/>
  <c r="V25" i="38"/>
  <c r="Y25" i="39"/>
  <c r="H25" i="68"/>
  <c r="I27" s="1"/>
  <c r="AG23"/>
  <c r="AE23"/>
  <c r="AE24"/>
  <c r="AM23" i="22"/>
  <c r="AD24" i="20"/>
  <c r="AG24" s="1"/>
  <c r="AL24" s="1"/>
  <c r="BM37" i="52"/>
  <c r="BN37" s="1"/>
  <c r="W25" i="35"/>
  <c r="AY23" i="8"/>
  <c r="L23" i="37"/>
  <c r="M23" s="1"/>
  <c r="N23" s="1"/>
  <c r="Y25" i="30"/>
  <c r="Y25" i="32"/>
  <c r="Y25" i="49"/>
  <c r="AK25" i="50"/>
  <c r="Y25" i="21"/>
  <c r="V25" i="53"/>
  <c r="X25" i="29"/>
  <c r="AP23" i="51"/>
  <c r="AM23" i="19"/>
  <c r="Y25" i="69"/>
  <c r="H25" i="53"/>
  <c r="I27" s="1"/>
  <c r="AM24" i="22"/>
  <c r="AP24" i="68"/>
  <c r="W25" i="34"/>
  <c r="H25" i="26"/>
  <c r="AP23" i="67"/>
  <c r="AK25" i="53"/>
  <c r="Y25" i="56"/>
  <c r="AP24" i="34"/>
  <c r="AP23" i="16"/>
  <c r="AH25" i="18"/>
  <c r="AP23" i="52"/>
  <c r="W25" i="69"/>
  <c r="BM37" i="53"/>
  <c r="BN37" s="1"/>
  <c r="AO23" i="75"/>
  <c r="AG23" i="50"/>
  <c r="AP24" i="30"/>
  <c r="AM23" i="60"/>
  <c r="L23" i="11"/>
  <c r="M23" s="1"/>
  <c r="N23" s="1"/>
  <c r="AE23" i="18"/>
  <c r="AP24" i="50"/>
  <c r="BM37" i="29"/>
  <c r="BN37" s="1"/>
  <c r="H25" i="20"/>
  <c r="I27" s="1"/>
  <c r="AM24"/>
  <c r="AB23" i="22"/>
  <c r="V25" i="13"/>
  <c r="Y25" i="28"/>
  <c r="H25" i="34"/>
  <c r="Y25" i="36"/>
  <c r="W25" i="39"/>
  <c r="V25" i="16"/>
  <c r="Y25"/>
  <c r="Y25" i="18"/>
  <c r="AE24" i="50"/>
  <c r="Y25" i="67"/>
  <c r="X25" i="28"/>
  <c r="V25" i="39"/>
  <c r="X25" i="18"/>
  <c r="AE23" i="67"/>
  <c r="AE25" s="1"/>
  <c r="AD24" i="22"/>
  <c r="X25" i="24"/>
  <c r="AP24" i="28"/>
  <c r="AP24" i="39"/>
  <c r="H25" i="27"/>
  <c r="AP23" i="37"/>
  <c r="Y25" i="12"/>
  <c r="AP23" i="59"/>
  <c r="BM37" i="18"/>
  <c r="BN37" s="1"/>
  <c r="AP23" i="49"/>
  <c r="AE23" i="50"/>
  <c r="AE25" s="1"/>
  <c r="BM37"/>
  <c r="BN37" s="1"/>
  <c r="H25" i="32"/>
  <c r="I27" s="1"/>
  <c r="AK25" i="30"/>
  <c r="AG23" i="69"/>
  <c r="AH25" i="67"/>
  <c r="AE25" i="19"/>
  <c r="H25" i="24"/>
  <c r="AM24" i="26"/>
  <c r="AP23" i="65"/>
  <c r="AE23" i="69"/>
  <c r="H25" i="52"/>
  <c r="I27" s="1"/>
  <c r="W25" i="67"/>
  <c r="AP23" i="42"/>
  <c r="H25" i="12"/>
  <c r="AP24" i="36"/>
  <c r="Y25" i="35"/>
  <c r="V25" i="54"/>
  <c r="Y25" i="51"/>
  <c r="Y25" i="31"/>
  <c r="AG23" i="32"/>
  <c r="AP24"/>
  <c r="AG24" i="30"/>
  <c r="AE23" i="19"/>
  <c r="AM23" i="20"/>
  <c r="AM24" i="60"/>
  <c r="AP23" i="63"/>
  <c r="AE23" i="32"/>
  <c r="AH24"/>
  <c r="H25" i="21"/>
  <c r="I27" s="1"/>
  <c r="AH24" i="68"/>
  <c r="AB23" i="19"/>
  <c r="AB25" s="1"/>
  <c r="AP24" i="29"/>
  <c r="AP23" i="40"/>
  <c r="AP24" i="23"/>
  <c r="W25" i="13"/>
  <c r="AP24"/>
  <c r="X25" i="12"/>
  <c r="V25" i="35"/>
  <c r="L23" i="15"/>
  <c r="M23" s="1"/>
  <c r="N23" s="1"/>
  <c r="AP23" i="50"/>
  <c r="AE24" i="32"/>
  <c r="BM37" i="30"/>
  <c r="BN37" s="1"/>
  <c r="AH23" i="68"/>
  <c r="AG24"/>
  <c r="AP23" i="53"/>
  <c r="AG23" i="67"/>
  <c r="AD24" i="19"/>
  <c r="H19" i="20"/>
  <c r="L23"/>
  <c r="M23" s="1"/>
  <c r="N23" s="1"/>
  <c r="W25" i="55"/>
  <c r="AP24"/>
  <c r="BM37" i="21"/>
  <c r="BN37" s="1"/>
  <c r="AP24" i="56"/>
  <c r="X25" i="8"/>
  <c r="Y25" i="14"/>
  <c r="Y25" i="34"/>
  <c r="W25" i="16"/>
  <c r="L23" i="47"/>
  <c r="M23" s="1"/>
  <c r="N23" s="1"/>
  <c r="AH25" i="69"/>
  <c r="AP24" i="53"/>
  <c r="X25" i="22"/>
  <c r="R23" i="65"/>
  <c r="R24" s="1"/>
  <c r="BP24" i="8"/>
  <c r="AY24"/>
  <c r="AP23"/>
  <c r="H25" i="28"/>
  <c r="Y25" i="13"/>
  <c r="AP23" i="46"/>
  <c r="Y25" i="54"/>
  <c r="AP24"/>
  <c r="L23" i="48"/>
  <c r="M23" s="1"/>
  <c r="N23" s="1"/>
  <c r="AH25" i="49"/>
  <c r="AG23" i="51"/>
  <c r="AE24"/>
  <c r="Y25" i="50"/>
  <c r="AH25" i="31"/>
  <c r="AH23" i="32"/>
  <c r="AG24"/>
  <c r="AP23" i="30"/>
  <c r="Y25" i="55"/>
  <c r="L23" i="63"/>
  <c r="M23" s="1"/>
  <c r="N23" s="1"/>
  <c r="H25" i="30"/>
  <c r="I27" s="1"/>
  <c r="H24" i="64"/>
  <c r="H25" i="25"/>
  <c r="L23" i="57"/>
  <c r="M23" s="1"/>
  <c r="N23" s="1"/>
  <c r="AP23" i="47"/>
  <c r="AE23" i="51"/>
  <c r="L24" i="52"/>
  <c r="M24" s="1"/>
  <c r="N24" s="1"/>
  <c r="N24" i="19"/>
  <c r="O24" s="1"/>
  <c r="L23" i="58"/>
  <c r="M23" s="1"/>
  <c r="N23" s="1"/>
  <c r="O23" s="1"/>
  <c r="P23" s="1"/>
  <c r="Q23" s="1"/>
  <c r="H24" i="80"/>
  <c r="BM37" i="49"/>
  <c r="BN37" s="1"/>
  <c r="W25" i="52"/>
  <c r="BM37" i="31"/>
  <c r="BN37" s="1"/>
  <c r="AH25" i="9"/>
  <c r="AP23" i="68"/>
  <c r="BM37" i="67"/>
  <c r="BN37" s="1"/>
  <c r="X25" i="60"/>
  <c r="X25" i="9"/>
  <c r="V25" i="14"/>
  <c r="AP23" i="57"/>
  <c r="AP23" i="15"/>
  <c r="AE23" i="49"/>
  <c r="AE25" s="1"/>
  <c r="X25" i="31"/>
  <c r="BM37" i="69"/>
  <c r="BN37" s="1"/>
  <c r="BM37" i="68"/>
  <c r="BN37" s="1"/>
  <c r="H25" i="29"/>
  <c r="I27" s="1"/>
  <c r="AM23" i="26"/>
  <c r="H24" i="61"/>
  <c r="AB23" i="73"/>
  <c r="AB24" s="1"/>
  <c r="AH24" i="51"/>
  <c r="Y25" i="53"/>
  <c r="H19" i="28"/>
  <c r="AH23" i="51"/>
  <c r="AP24" i="67"/>
  <c r="H38" i="3"/>
  <c r="I40" s="1"/>
  <c r="X25" i="25"/>
  <c r="AP23" i="10"/>
  <c r="X25" i="36"/>
  <c r="L23" i="59"/>
  <c r="M23" s="1"/>
  <c r="N23" s="1"/>
  <c r="AH23" i="47"/>
  <c r="AH25" i="22"/>
  <c r="W25" i="56"/>
  <c r="H19" i="66"/>
  <c r="L23" i="73"/>
  <c r="M23" s="1"/>
  <c r="N23" s="1"/>
  <c r="AO23" i="78"/>
  <c r="H24" i="71"/>
  <c r="AG24" i="51"/>
  <c r="AP23" i="32"/>
  <c r="W25" i="53"/>
  <c r="L23" i="2"/>
  <c r="M23" s="1"/>
  <c r="N23" s="1"/>
  <c r="AM24" i="9"/>
  <c r="Y25" i="38"/>
  <c r="AP24"/>
  <c r="AH24" i="47"/>
  <c r="X25" i="49"/>
  <c r="AH24" i="50"/>
  <c r="Y25" i="68"/>
  <c r="AG24" i="53"/>
  <c r="AE23" i="22"/>
  <c r="V25" i="56"/>
  <c r="AP23" i="61"/>
  <c r="R23" i="66"/>
  <c r="R24" s="1"/>
  <c r="H19" i="37"/>
  <c r="H19" i="53"/>
  <c r="AH25" i="19"/>
  <c r="AB23" i="74"/>
  <c r="AB24" s="1"/>
  <c r="AP23" i="44"/>
  <c r="H19" i="34"/>
  <c r="X25" i="50"/>
  <c r="AE24" i="53"/>
  <c r="H19" i="60"/>
  <c r="AP24" i="7"/>
  <c r="AP23" i="23"/>
  <c r="M19" i="4"/>
  <c r="N19" s="1"/>
  <c r="H19" i="44"/>
  <c r="AP24" i="27"/>
  <c r="AP24" i="25"/>
  <c r="H19" i="9"/>
  <c r="AP24" i="18"/>
  <c r="X25" i="32"/>
  <c r="AH25" i="26"/>
  <c r="H19" i="74"/>
  <c r="AP23" i="35"/>
  <c r="AK24" i="15"/>
  <c r="AP23" i="18"/>
  <c r="H19" i="23"/>
  <c r="AP24" i="10"/>
  <c r="AP24" i="14"/>
  <c r="AM25" i="2"/>
  <c r="H19" i="6"/>
  <c r="L23" i="40"/>
  <c r="M23" s="1"/>
  <c r="N23" s="1"/>
  <c r="AP24" i="8"/>
  <c r="W25" i="14"/>
  <c r="N23" i="43"/>
  <c r="O23" s="1"/>
  <c r="AP23" i="34"/>
  <c r="AP23" i="36"/>
  <c r="AG23" i="47"/>
  <c r="AG24" s="1"/>
  <c r="BM36" i="48"/>
  <c r="BN36" s="1"/>
  <c r="W25" i="51"/>
  <c r="AK25" i="32"/>
  <c r="N24" i="30"/>
  <c r="O24" s="1"/>
  <c r="P24" s="1"/>
  <c r="Q24" s="1"/>
  <c r="R24" s="1"/>
  <c r="S24" s="1"/>
  <c r="H19" i="67"/>
  <c r="V25"/>
  <c r="AP23" i="55"/>
  <c r="H19" i="64"/>
  <c r="H19" i="70"/>
  <c r="H25" i="50"/>
  <c r="I27" s="1"/>
  <c r="L23" i="6"/>
  <c r="M23" s="1"/>
  <c r="N23" s="1"/>
  <c r="L23" i="7"/>
  <c r="M23" s="1"/>
  <c r="N23" s="1"/>
  <c r="O23" s="1"/>
  <c r="P23" s="1"/>
  <c r="Q23" s="1"/>
  <c r="R23" s="1"/>
  <c r="H19" i="33"/>
  <c r="L23"/>
  <c r="M23" s="1"/>
  <c r="N23" s="1"/>
  <c r="AK24" i="44"/>
  <c r="AK25" i="23"/>
  <c r="Y25" i="8"/>
  <c r="N23" i="10"/>
  <c r="O23" s="1"/>
  <c r="P23" s="1"/>
  <c r="Q23" s="1"/>
  <c r="R23" s="1"/>
  <c r="L23" i="46"/>
  <c r="M23" s="1"/>
  <c r="N23" s="1"/>
  <c r="AP23" i="11"/>
  <c r="H19" i="35"/>
  <c r="H19" i="18"/>
  <c r="H19" i="51"/>
  <c r="AK25"/>
  <c r="AH23" i="30"/>
  <c r="W25" i="68"/>
  <c r="AK25"/>
  <c r="AH23" i="53"/>
  <c r="N24"/>
  <c r="O24" s="1"/>
  <c r="P24" s="1"/>
  <c r="Q24" s="1"/>
  <c r="R24" s="1"/>
  <c r="S24" s="1"/>
  <c r="H19" i="22"/>
  <c r="AH25" i="60"/>
  <c r="AO23" i="64"/>
  <c r="N23" i="71"/>
  <c r="O23" s="1"/>
  <c r="P23" s="1"/>
  <c r="Q23" s="1"/>
  <c r="AO23"/>
  <c r="H19" i="72"/>
  <c r="H24"/>
  <c r="AM24" i="2"/>
  <c r="AP23" i="14"/>
  <c r="H19" i="16"/>
  <c r="AM24" i="19"/>
  <c r="H25" i="10"/>
  <c r="H19" i="13"/>
  <c r="BP24" i="14"/>
  <c r="AG23" i="31"/>
  <c r="AG23" i="30"/>
  <c r="H19" i="68"/>
  <c r="AG23" i="53"/>
  <c r="AB23" i="20"/>
  <c r="X25" i="26"/>
  <c r="H19" i="65"/>
  <c r="AO23" i="72"/>
  <c r="V24" i="73"/>
  <c r="H24" i="75"/>
  <c r="H19" i="31"/>
  <c r="AE24" i="30"/>
  <c r="AP24" i="21"/>
  <c r="AP24" i="69"/>
  <c r="H19" i="55"/>
  <c r="AP23" i="28"/>
  <c r="H19" i="49"/>
  <c r="AM23" i="2"/>
  <c r="W18" i="5"/>
  <c r="K17"/>
  <c r="L17" s="1"/>
  <c r="M17" s="1"/>
  <c r="N17" s="1"/>
  <c r="O17" s="1"/>
  <c r="P17" s="1"/>
  <c r="BP24" i="10"/>
  <c r="H25" i="14"/>
  <c r="H19" i="42"/>
  <c r="AK24"/>
  <c r="H19" i="43"/>
  <c r="H19" i="12"/>
  <c r="H19" i="36"/>
  <c r="W25" i="38"/>
  <c r="H19" i="57"/>
  <c r="W25" i="54"/>
  <c r="H19" i="59"/>
  <c r="BM36" i="47"/>
  <c r="BN36" s="1"/>
  <c r="V25" i="52"/>
  <c r="AE23" i="31"/>
  <c r="AE25" s="1"/>
  <c r="AE23" i="30"/>
  <c r="AH24"/>
  <c r="AE23" i="53"/>
  <c r="AH24"/>
  <c r="Y25" i="29"/>
  <c r="X25" i="20"/>
  <c r="N24" i="22"/>
  <c r="O24" s="1"/>
  <c r="P24" s="1"/>
  <c r="Q24" s="1"/>
  <c r="H19" i="63"/>
  <c r="H19" i="77"/>
  <c r="H19" i="75"/>
  <c r="M11" i="5"/>
  <c r="N7"/>
  <c r="O7" s="1"/>
  <c r="P7" s="1"/>
  <c r="Q7" s="1"/>
  <c r="R7" s="1"/>
  <c r="BP23" i="7"/>
  <c r="AY23"/>
  <c r="BP23" i="6"/>
  <c r="AY23"/>
  <c r="AV25" i="2"/>
  <c r="N9" i="4"/>
  <c r="N15" i="5"/>
  <c r="O15" s="1"/>
  <c r="P15" s="1"/>
  <c r="Q15" s="1"/>
  <c r="R15" s="1"/>
  <c r="M3"/>
  <c r="M6"/>
  <c r="N24" i="23"/>
  <c r="M17" i="4"/>
  <c r="G21"/>
  <c r="H24" s="1"/>
  <c r="M24" s="1"/>
  <c r="L23" i="9"/>
  <c r="M23" s="1"/>
  <c r="N23" s="1"/>
  <c r="H25"/>
  <c r="BP23" i="56"/>
  <c r="AY23"/>
  <c r="AK25" i="7"/>
  <c r="AP23"/>
  <c r="N23" i="27"/>
  <c r="AY23" i="28"/>
  <c r="BP23"/>
  <c r="AT23" i="9"/>
  <c r="AM23"/>
  <c r="BP23" i="10"/>
  <c r="AY23"/>
  <c r="N24" i="54"/>
  <c r="M14" i="4"/>
  <c r="AK24" i="40"/>
  <c r="H19" i="27"/>
  <c r="H19" i="62"/>
  <c r="AY23" i="44"/>
  <c r="BP23"/>
  <c r="BP23" i="25"/>
  <c r="AY23" i="37"/>
  <c r="BP23"/>
  <c r="BP23" i="43"/>
  <c r="AY23"/>
  <c r="N24" i="34"/>
  <c r="BP24" i="49"/>
  <c r="AY24"/>
  <c r="AY23" i="50"/>
  <c r="BP23"/>
  <c r="AW24" i="52"/>
  <c r="AP24"/>
  <c r="M11" i="4"/>
  <c r="AP23" i="33"/>
  <c r="H19" i="11"/>
  <c r="BP23" i="33"/>
  <c r="AY23" i="23"/>
  <c r="BP23"/>
  <c r="BP24" i="25"/>
  <c r="AY24" i="28"/>
  <c r="BP24"/>
  <c r="L24" i="13"/>
  <c r="M24" s="1"/>
  <c r="O24" i="39"/>
  <c r="P24" s="1"/>
  <c r="Q24" s="1"/>
  <c r="H19" i="2"/>
  <c r="L25"/>
  <c r="M25" s="1"/>
  <c r="N25" s="1"/>
  <c r="N27" i="3"/>
  <c r="N29"/>
  <c r="N31"/>
  <c r="N33"/>
  <c r="N35"/>
  <c r="N37"/>
  <c r="N24" i="27"/>
  <c r="AP23" i="25"/>
  <c r="K5" i="5"/>
  <c r="L5" s="1"/>
  <c r="M5" s="1"/>
  <c r="N23" i="25"/>
  <c r="AO23" i="62"/>
  <c r="AW23"/>
  <c r="N23" i="14"/>
  <c r="L23" i="42"/>
  <c r="M23" s="1"/>
  <c r="H24"/>
  <c r="O23" i="24"/>
  <c r="P23" s="1"/>
  <c r="Q23" s="1"/>
  <c r="R23" s="1"/>
  <c r="M10" i="4"/>
  <c r="G18" i="5"/>
  <c r="H21" s="1"/>
  <c r="M21" s="1"/>
  <c r="M9"/>
  <c r="H19" i="7"/>
  <c r="BP24" i="27"/>
  <c r="H19" i="25"/>
  <c r="AK24" i="6"/>
  <c r="AP23"/>
  <c r="BP24" i="7"/>
  <c r="AY24" i="23"/>
  <c r="BP24"/>
  <c r="N24" i="28"/>
  <c r="N24" i="10"/>
  <c r="BP24" i="16"/>
  <c r="AY24"/>
  <c r="M8" i="4"/>
  <c r="M18"/>
  <c r="M8" i="5"/>
  <c r="H19" i="40"/>
  <c r="AY24" i="27"/>
  <c r="H19" i="8"/>
  <c r="H25"/>
  <c r="N23"/>
  <c r="L24"/>
  <c r="M24" s="1"/>
  <c r="AV24" i="9"/>
  <c r="BM24"/>
  <c r="O23" i="64"/>
  <c r="P23" s="1"/>
  <c r="Q23" s="1"/>
  <c r="R23" s="1"/>
  <c r="M7" i="4"/>
  <c r="M16"/>
  <c r="AP23" i="27"/>
  <c r="N24" i="9"/>
  <c r="BP23" i="40"/>
  <c r="K13" i="5"/>
  <c r="L13" s="1"/>
  <c r="M13" s="1"/>
  <c r="AY23" i="27"/>
  <c r="BP23"/>
  <c r="BP23" i="14"/>
  <c r="AY23"/>
  <c r="O23" i="45"/>
  <c r="P23" s="1"/>
  <c r="Q23" s="1"/>
  <c r="R23" s="1"/>
  <c r="N24" i="38"/>
  <c r="AH26" i="2"/>
  <c r="L24"/>
  <c r="M24" s="1"/>
  <c r="K6" i="4"/>
  <c r="L6" s="1"/>
  <c r="O13"/>
  <c r="P13" s="1"/>
  <c r="Q13" s="1"/>
  <c r="R13" s="1"/>
  <c r="M15"/>
  <c r="M14" i="5"/>
  <c r="K16"/>
  <c r="L16" s="1"/>
  <c r="Y25" i="25"/>
  <c r="AE25" i="69"/>
  <c r="BP23" i="45"/>
  <c r="BP23" i="39"/>
  <c r="AY24"/>
  <c r="BP24"/>
  <c r="AY24" i="50"/>
  <c r="BP24"/>
  <c r="AH25" i="52"/>
  <c r="AE23"/>
  <c r="AE24"/>
  <c r="AG23"/>
  <c r="AH23"/>
  <c r="AG24"/>
  <c r="AH24"/>
  <c r="AY23" i="68"/>
  <c r="BP23"/>
  <c r="N24" i="29"/>
  <c r="Y25" i="10"/>
  <c r="BP23" i="13"/>
  <c r="H19" i="14"/>
  <c r="AP24" i="16"/>
  <c r="AP24" i="49"/>
  <c r="N23" i="51"/>
  <c r="H25" i="13"/>
  <c r="N23"/>
  <c r="AY23" i="46"/>
  <c r="BP23"/>
  <c r="AY24" i="34"/>
  <c r="BP24"/>
  <c r="N23" i="39"/>
  <c r="AP23"/>
  <c r="AK25"/>
  <c r="AY23" i="15"/>
  <c r="BP23"/>
  <c r="AY24" i="51"/>
  <c r="BP23" i="52"/>
  <c r="AY23"/>
  <c r="N23" i="61"/>
  <c r="BP23" i="65"/>
  <c r="AY23"/>
  <c r="M4" i="5"/>
  <c r="M12"/>
  <c r="N24" i="7"/>
  <c r="L23" i="44"/>
  <c r="M23" s="1"/>
  <c r="H24"/>
  <c r="L23" i="23"/>
  <c r="M23" s="1"/>
  <c r="N24" i="25"/>
  <c r="L23" i="28"/>
  <c r="M23" s="1"/>
  <c r="H19" i="10"/>
  <c r="X25"/>
  <c r="L23" i="62"/>
  <c r="M23" s="1"/>
  <c r="H19" i="39"/>
  <c r="H19" i="15"/>
  <c r="AK24" i="43"/>
  <c r="AP23"/>
  <c r="AK24" i="45"/>
  <c r="AP23"/>
  <c r="AY23" i="34"/>
  <c r="BP23"/>
  <c r="L23" i="36"/>
  <c r="M23" s="1"/>
  <c r="N23" s="1"/>
  <c r="H25"/>
  <c r="AY23"/>
  <c r="AY23" i="35"/>
  <c r="AK25" i="14"/>
  <c r="AY23" i="12"/>
  <c r="H19" i="50"/>
  <c r="BP23" i="38"/>
  <c r="AY24"/>
  <c r="BP24"/>
  <c r="V24" i="57"/>
  <c r="L23" i="35"/>
  <c r="M23" s="1"/>
  <c r="N23" s="1"/>
  <c r="H25"/>
  <c r="BP23" i="54"/>
  <c r="AY24"/>
  <c r="BP24"/>
  <c r="V24" i="59"/>
  <c r="L23" i="18"/>
  <c r="M23" s="1"/>
  <c r="N23" s="1"/>
  <c r="H25"/>
  <c r="I27" s="1"/>
  <c r="AY23"/>
  <c r="BP23" i="48"/>
  <c r="AY23" i="31"/>
  <c r="BP23"/>
  <c r="BP24"/>
  <c r="AY24"/>
  <c r="AY24" i="32"/>
  <c r="BP24"/>
  <c r="BP24" i="69"/>
  <c r="AY24"/>
  <c r="AY23" i="78"/>
  <c r="BP23"/>
  <c r="H19" i="45"/>
  <c r="H19" i="48"/>
  <c r="N24" i="51"/>
  <c r="H19" i="52"/>
  <c r="BP24" i="12"/>
  <c r="N23" i="38"/>
  <c r="AP23"/>
  <c r="AK25"/>
  <c r="BP24" i="35"/>
  <c r="AY24"/>
  <c r="N23" i="54"/>
  <c r="AP23"/>
  <c r="AK25"/>
  <c r="AY23" i="47"/>
  <c r="BP23"/>
  <c r="AP23" i="48"/>
  <c r="AK24"/>
  <c r="AH24"/>
  <c r="AE23"/>
  <c r="AE24" s="1"/>
  <c r="AG23"/>
  <c r="AH23"/>
  <c r="L23" i="49"/>
  <c r="M23" s="1"/>
  <c r="N23" s="1"/>
  <c r="H25"/>
  <c r="I27" s="1"/>
  <c r="AY23"/>
  <c r="O24" i="21"/>
  <c r="P24" s="1"/>
  <c r="Q24" s="1"/>
  <c r="R24" s="1"/>
  <c r="S24" s="1"/>
  <c r="BP23" i="70"/>
  <c r="AY23"/>
  <c r="H19" i="38"/>
  <c r="H19" i="54"/>
  <c r="AY23" i="11"/>
  <c r="AP23" i="12"/>
  <c r="AK25"/>
  <c r="BP24" i="36"/>
  <c r="AY24"/>
  <c r="AY23" i="57"/>
  <c r="BP23"/>
  <c r="AY23" i="16"/>
  <c r="AY23" i="59"/>
  <c r="BP23"/>
  <c r="V25" i="51"/>
  <c r="AY23" i="30"/>
  <c r="BP23"/>
  <c r="AV24" i="22"/>
  <c r="BM24"/>
  <c r="AV23" i="60"/>
  <c r="BM23"/>
  <c r="L23" i="3"/>
  <c r="M23" s="1"/>
  <c r="L24"/>
  <c r="M24" s="1"/>
  <c r="L25"/>
  <c r="M25" s="1"/>
  <c r="L26"/>
  <c r="M26" s="1"/>
  <c r="L28"/>
  <c r="M28" s="1"/>
  <c r="L30"/>
  <c r="M30" s="1"/>
  <c r="L32"/>
  <c r="M32" s="1"/>
  <c r="L34"/>
  <c r="M34" s="1"/>
  <c r="L36"/>
  <c r="M36" s="1"/>
  <c r="K12" i="4"/>
  <c r="L12" s="1"/>
  <c r="K20"/>
  <c r="L20" s="1"/>
  <c r="K10" i="5"/>
  <c r="L10" s="1"/>
  <c r="AP23" i="13"/>
  <c r="BP24"/>
  <c r="N24" i="14"/>
  <c r="AY23" i="42"/>
  <c r="AP24" i="12"/>
  <c r="V25" i="34"/>
  <c r="AP24" i="35"/>
  <c r="AE25" i="18"/>
  <c r="H19" i="47"/>
  <c r="H25" i="51"/>
  <c r="I27" s="1"/>
  <c r="BM37"/>
  <c r="BN37" s="1"/>
  <c r="N24" i="12"/>
  <c r="L23" i="16"/>
  <c r="M23" s="1"/>
  <c r="N23" s="1"/>
  <c r="H25"/>
  <c r="BP24" i="18"/>
  <c r="AY24"/>
  <c r="AY23" i="51"/>
  <c r="BP23"/>
  <c r="AB23" i="62"/>
  <c r="AB24" s="1"/>
  <c r="AY23" i="45"/>
  <c r="H19" i="46"/>
  <c r="AY23" i="39"/>
  <c r="AY23" i="32"/>
  <c r="L23" i="22"/>
  <c r="M23" s="1"/>
  <c r="H25"/>
  <c r="I27" s="1"/>
  <c r="AV23" i="26"/>
  <c r="AV24"/>
  <c r="BM24"/>
  <c r="AM23" i="58"/>
  <c r="AH24"/>
  <c r="O23" i="78"/>
  <c r="V24" i="75"/>
  <c r="AB23"/>
  <c r="AB24" s="1"/>
  <c r="L23" i="34"/>
  <c r="M23" s="1"/>
  <c r="AH23" i="50"/>
  <c r="L24"/>
  <c r="M24" s="1"/>
  <c r="AG24"/>
  <c r="AP23" i="31"/>
  <c r="AP24"/>
  <c r="BM37" i="32"/>
  <c r="BN37" s="1"/>
  <c r="X25" i="21"/>
  <c r="AP23" i="56"/>
  <c r="BP23" i="29"/>
  <c r="AY23"/>
  <c r="BP24" i="67"/>
  <c r="AY24"/>
  <c r="BM24" i="24"/>
  <c r="AV24"/>
  <c r="AK24" i="66"/>
  <c r="AP23"/>
  <c r="AY23" i="71"/>
  <c r="BP23"/>
  <c r="V24" i="72"/>
  <c r="AB23"/>
  <c r="AB24" s="1"/>
  <c r="AY23" i="75"/>
  <c r="BP23"/>
  <c r="H24" i="45"/>
  <c r="H25" i="38"/>
  <c r="H25" i="39"/>
  <c r="H25" i="54"/>
  <c r="L23" i="50"/>
  <c r="M23" s="1"/>
  <c r="N23" i="52"/>
  <c r="Y25"/>
  <c r="X25" i="30"/>
  <c r="H19" i="21"/>
  <c r="L23" i="31"/>
  <c r="M23" s="1"/>
  <c r="N23" s="1"/>
  <c r="H25"/>
  <c r="I27" s="1"/>
  <c r="BP23" i="21"/>
  <c r="AY24" i="68"/>
  <c r="BP24"/>
  <c r="AV24" i="20"/>
  <c r="AV23" i="22"/>
  <c r="BM23"/>
  <c r="AH25" i="24"/>
  <c r="AM23"/>
  <c r="V25" i="55"/>
  <c r="AY23" i="72"/>
  <c r="BP23"/>
  <c r="N23" i="74"/>
  <c r="AP23" i="29"/>
  <c r="X25" i="19"/>
  <c r="AM24" i="24"/>
  <c r="H19" i="26"/>
  <c r="H19" i="78"/>
  <c r="N23" i="75"/>
  <c r="AP23" i="21"/>
  <c r="AK25"/>
  <c r="BP24"/>
  <c r="AY23" i="69"/>
  <c r="AY24" i="53"/>
  <c r="BP24"/>
  <c r="L23" i="67"/>
  <c r="M23" s="1"/>
  <c r="N23" s="1"/>
  <c r="H25"/>
  <c r="I27" s="1"/>
  <c r="AY23"/>
  <c r="BM23" i="20"/>
  <c r="AV23"/>
  <c r="L24" i="55"/>
  <c r="M24" s="1"/>
  <c r="N24" s="1"/>
  <c r="L23" i="60"/>
  <c r="M23" s="1"/>
  <c r="N23" s="1"/>
  <c r="H25"/>
  <c r="AV24"/>
  <c r="BM24"/>
  <c r="H24" i="43"/>
  <c r="L23" i="12"/>
  <c r="M23" s="1"/>
  <c r="AH24" i="18"/>
  <c r="AK25"/>
  <c r="AH24" i="49"/>
  <c r="AK25"/>
  <c r="AK25" i="52"/>
  <c r="H19" i="32"/>
  <c r="N24"/>
  <c r="N24" i="68"/>
  <c r="H19" i="56"/>
  <c r="N24" i="60"/>
  <c r="AB23" i="80"/>
  <c r="AB24" s="1"/>
  <c r="H19" i="71"/>
  <c r="N23" i="72"/>
  <c r="H19" i="73"/>
  <c r="AY24" i="30"/>
  <c r="BP24"/>
  <c r="AY24" i="55"/>
  <c r="N24" i="56"/>
  <c r="AY23" i="61"/>
  <c r="BP23"/>
  <c r="AY23" i="64"/>
  <c r="BP23"/>
  <c r="BP23" i="77"/>
  <c r="AY23"/>
  <c r="L24" i="36"/>
  <c r="M24" s="1"/>
  <c r="AK25"/>
  <c r="L24" i="35"/>
  <c r="M24" s="1"/>
  <c r="AK25"/>
  <c r="L24" i="16"/>
  <c r="M24" s="1"/>
  <c r="AK25"/>
  <c r="AH23" i="18"/>
  <c r="L24"/>
  <c r="M24" s="1"/>
  <c r="AG24"/>
  <c r="AJ24" s="1"/>
  <c r="AO24" s="1"/>
  <c r="AH23" i="49"/>
  <c r="L24"/>
  <c r="M24" s="1"/>
  <c r="AG24"/>
  <c r="N23" i="32"/>
  <c r="BP23"/>
  <c r="H19" i="69"/>
  <c r="AP23"/>
  <c r="H19" i="29"/>
  <c r="H19" i="19"/>
  <c r="H19" i="24"/>
  <c r="H25" i="55"/>
  <c r="H19" i="58"/>
  <c r="L23" i="69"/>
  <c r="M23" s="1"/>
  <c r="N23" s="1"/>
  <c r="H25"/>
  <c r="I27" s="1"/>
  <c r="AY23" i="55"/>
  <c r="BP23"/>
  <c r="AY23" i="63"/>
  <c r="BP23"/>
  <c r="N23" i="80"/>
  <c r="O23" i="77"/>
  <c r="P23" s="1"/>
  <c r="Q23" s="1"/>
  <c r="R23" s="1"/>
  <c r="AG23" i="18"/>
  <c r="AG23" i="49"/>
  <c r="H19" i="30"/>
  <c r="V25" i="68"/>
  <c r="H19" i="61"/>
  <c r="H19" i="80"/>
  <c r="L23" i="68"/>
  <c r="M23" s="1"/>
  <c r="L23" i="19"/>
  <c r="M23" s="1"/>
  <c r="N23" s="1"/>
  <c r="AH25" i="20"/>
  <c r="AD23" i="22"/>
  <c r="AE24"/>
  <c r="AB23" i="70"/>
  <c r="AB24" s="1"/>
  <c r="AB23" i="77"/>
  <c r="AB24" s="1"/>
  <c r="H24" i="78"/>
  <c r="L23" i="30"/>
  <c r="M23" s="1"/>
  <c r="AH24" i="21"/>
  <c r="L23" i="53"/>
  <c r="M23" s="1"/>
  <c r="AH24" i="29"/>
  <c r="AK25"/>
  <c r="AD23" i="19"/>
  <c r="AE24"/>
  <c r="AB24" i="22"/>
  <c r="L24" i="24"/>
  <c r="M24" s="1"/>
  <c r="AH23" i="21"/>
  <c r="AG24"/>
  <c r="BP23" i="53"/>
  <c r="AH23" i="29"/>
  <c r="AG24"/>
  <c r="BM23" i="19"/>
  <c r="H25"/>
  <c r="I27" s="1"/>
  <c r="AK25" i="56"/>
  <c r="V24" i="58"/>
  <c r="H24" i="74"/>
  <c r="AH24" i="31"/>
  <c r="AK25"/>
  <c r="L23" i="21"/>
  <c r="M23" s="1"/>
  <c r="AG23"/>
  <c r="AE24"/>
  <c r="AH24" i="69"/>
  <c r="AK25"/>
  <c r="L23" i="29"/>
  <c r="M23" s="1"/>
  <c r="AG23"/>
  <c r="AE24"/>
  <c r="BP24"/>
  <c r="AH24" i="67"/>
  <c r="AK25"/>
  <c r="BM24" i="19"/>
  <c r="AE23" i="20"/>
  <c r="L24"/>
  <c r="M24" s="1"/>
  <c r="BM23" i="24"/>
  <c r="L23" i="26"/>
  <c r="M23" s="1"/>
  <c r="L23" i="56"/>
  <c r="M23" s="1"/>
  <c r="BP24"/>
  <c r="AB23" i="64"/>
  <c r="AB24" s="1"/>
  <c r="BP23" i="66"/>
  <c r="AO23" i="80"/>
  <c r="BP23"/>
  <c r="AB23" i="71"/>
  <c r="AB24" s="1"/>
  <c r="AO23" i="73"/>
  <c r="BP23"/>
  <c r="AO23" i="74"/>
  <c r="BP23"/>
  <c r="AB23" i="78"/>
  <c r="AB24" s="1"/>
  <c r="AH23" i="31"/>
  <c r="L24"/>
  <c r="M24" s="1"/>
  <c r="AG24"/>
  <c r="AE23" i="21"/>
  <c r="AH23" i="69"/>
  <c r="L24"/>
  <c r="M24" s="1"/>
  <c r="AG24"/>
  <c r="AE23" i="29"/>
  <c r="AH23" i="67"/>
  <c r="L24"/>
  <c r="M24" s="1"/>
  <c r="AG24"/>
  <c r="AD23" i="20"/>
  <c r="L24" i="26"/>
  <c r="M24" s="1"/>
  <c r="N23" i="55"/>
  <c r="L23" i="70"/>
  <c r="M23" s="1"/>
  <c r="H24"/>
  <c r="H24" i="77"/>
  <c r="AO23" i="70"/>
  <c r="AO23" i="77"/>
  <c r="AB25" i="20" l="1"/>
  <c r="AJ23" i="50"/>
  <c r="AO23" s="1"/>
  <c r="AE25" i="53"/>
  <c r="AG25" i="68"/>
  <c r="AE25"/>
  <c r="AG25" i="51"/>
  <c r="AG24" i="22"/>
  <c r="AL24" s="1"/>
  <c r="AJ23" i="68"/>
  <c r="AO23" s="1"/>
  <c r="AE25" i="32"/>
  <c r="AJ23" i="51"/>
  <c r="AJ24" i="50"/>
  <c r="AO24" s="1"/>
  <c r="AJ24" i="53"/>
  <c r="AO24" s="1"/>
  <c r="AJ23" i="32"/>
  <c r="AO23" s="1"/>
  <c r="AJ24" i="68"/>
  <c r="AO24" s="1"/>
  <c r="AJ24" i="30"/>
  <c r="AO24" s="1"/>
  <c r="AJ23" i="69"/>
  <c r="AO23" s="1"/>
  <c r="AJ24" i="52"/>
  <c r="AO24" s="1"/>
  <c r="AJ24" i="32"/>
  <c r="AO24" s="1"/>
  <c r="AB25" i="22"/>
  <c r="AE25" i="29"/>
  <c r="AJ23" i="67"/>
  <c r="AO23" s="1"/>
  <c r="AJ23" i="31"/>
  <c r="S23" i="65"/>
  <c r="S24" s="1"/>
  <c r="AE23" s="1"/>
  <c r="AE24" s="1"/>
  <c r="AG25" i="32"/>
  <c r="AG24" i="19"/>
  <c r="AL24" s="1"/>
  <c r="P23" i="43"/>
  <c r="Q23" s="1"/>
  <c r="R23" s="1"/>
  <c r="S23" s="1"/>
  <c r="R23" i="58"/>
  <c r="R24" s="1"/>
  <c r="O24" i="52"/>
  <c r="P24" s="1"/>
  <c r="Q24" s="1"/>
  <c r="AE25" i="30"/>
  <c r="AJ24" i="51"/>
  <c r="AO24" s="1"/>
  <c r="AE25"/>
  <c r="AE25" i="52"/>
  <c r="AG25" i="53"/>
  <c r="AJ23"/>
  <c r="AJ24" i="21"/>
  <c r="AO24" s="1"/>
  <c r="AJ23" i="47"/>
  <c r="AO23" s="1"/>
  <c r="S23" i="66"/>
  <c r="W23" s="1"/>
  <c r="W24" s="1"/>
  <c r="AE25" i="21"/>
  <c r="P24" i="19"/>
  <c r="Q24" s="1"/>
  <c r="R24" s="1"/>
  <c r="S24" s="1"/>
  <c r="AG25" i="30"/>
  <c r="AJ23"/>
  <c r="AO23" s="1"/>
  <c r="AG25" i="50"/>
  <c r="S23" i="10"/>
  <c r="O23" i="60"/>
  <c r="P23" s="1"/>
  <c r="Q23" s="1"/>
  <c r="R23" s="1"/>
  <c r="N13" i="5"/>
  <c r="O13" s="1"/>
  <c r="P13" s="1"/>
  <c r="R24" i="64"/>
  <c r="S23"/>
  <c r="S23" i="24"/>
  <c r="R24" i="77"/>
  <c r="S23"/>
  <c r="T7" i="5"/>
  <c r="U7" s="1"/>
  <c r="V7" s="1"/>
  <c r="T15"/>
  <c r="U15" s="1"/>
  <c r="V15" s="1"/>
  <c r="R25" i="7"/>
  <c r="S23"/>
  <c r="O23" i="9"/>
  <c r="P23" s="1"/>
  <c r="Q23" s="1"/>
  <c r="R23" s="1"/>
  <c r="O23" i="36"/>
  <c r="P23" s="1"/>
  <c r="Q23" s="1"/>
  <c r="R23" s="1"/>
  <c r="AA24" i="30"/>
  <c r="AC24"/>
  <c r="AI24"/>
  <c r="AN24" s="1"/>
  <c r="V24"/>
  <c r="W24"/>
  <c r="O23" i="19"/>
  <c r="P23" s="1"/>
  <c r="Q23" s="1"/>
  <c r="R23" s="1"/>
  <c r="AC24" i="21"/>
  <c r="V24"/>
  <c r="W24"/>
  <c r="AA24"/>
  <c r="AI24"/>
  <c r="AN24" s="1"/>
  <c r="AA24" i="53"/>
  <c r="AC24"/>
  <c r="X24"/>
  <c r="AI24"/>
  <c r="AN24" s="1"/>
  <c r="O23" i="18"/>
  <c r="P23" s="1"/>
  <c r="Q23" s="1"/>
  <c r="R23" s="1"/>
  <c r="T13" i="4"/>
  <c r="U13" s="1"/>
  <c r="V13" s="1"/>
  <c r="R24" i="45"/>
  <c r="S23"/>
  <c r="AG23" i="22"/>
  <c r="AD25"/>
  <c r="O23" i="67"/>
  <c r="P23" s="1"/>
  <c r="Q23" s="1"/>
  <c r="R23" s="1"/>
  <c r="N23" i="50"/>
  <c r="N12" i="5"/>
  <c r="O12" s="1"/>
  <c r="P12" s="1"/>
  <c r="N5"/>
  <c r="O5" s="1"/>
  <c r="P5" s="1"/>
  <c r="Q5" s="1"/>
  <c r="R5" s="1"/>
  <c r="AJ24" i="67"/>
  <c r="AO24" s="1"/>
  <c r="AG25"/>
  <c r="O23" i="39"/>
  <c r="O24" i="9"/>
  <c r="P24" s="1"/>
  <c r="Q24" s="1"/>
  <c r="O25" i="2"/>
  <c r="P25" s="1"/>
  <c r="Q25" s="1"/>
  <c r="N23" i="70"/>
  <c r="AJ24" i="69"/>
  <c r="AO24" s="1"/>
  <c r="AG25"/>
  <c r="AD25" i="19"/>
  <c r="AG23"/>
  <c r="N24" i="49"/>
  <c r="N24" i="35"/>
  <c r="O23" i="52"/>
  <c r="O24" i="14"/>
  <c r="P24" s="1"/>
  <c r="Q24" s="1"/>
  <c r="N32" i="3"/>
  <c r="O23" i="63"/>
  <c r="O23" i="54"/>
  <c r="O23" i="15"/>
  <c r="P23" s="1"/>
  <c r="Q23" s="1"/>
  <c r="O23" i="33"/>
  <c r="P23" s="1"/>
  <c r="Q23" s="1"/>
  <c r="O23" i="61"/>
  <c r="P23" s="1"/>
  <c r="Q23" s="1"/>
  <c r="O23" i="51"/>
  <c r="O23" i="11"/>
  <c r="P23" s="1"/>
  <c r="Q23" s="1"/>
  <c r="AG25" i="52"/>
  <c r="AJ23"/>
  <c r="O23" i="37"/>
  <c r="P23" s="1"/>
  <c r="Q23" s="1"/>
  <c r="O24" i="28"/>
  <c r="O23" i="25"/>
  <c r="P23" s="1"/>
  <c r="Q23" s="1"/>
  <c r="O33" i="3"/>
  <c r="P33" s="1"/>
  <c r="Q33" s="1"/>
  <c r="R23" i="71"/>
  <c r="P23" i="78"/>
  <c r="Q23" s="1"/>
  <c r="R23" s="1"/>
  <c r="Q17" i="5"/>
  <c r="R17" s="1"/>
  <c r="O9" i="4"/>
  <c r="P9" s="1"/>
  <c r="Q9" s="1"/>
  <c r="R9" s="1"/>
  <c r="N24" i="36"/>
  <c r="O23" i="74"/>
  <c r="P23" s="1"/>
  <c r="Q23" s="1"/>
  <c r="N10" i="4"/>
  <c r="O10" s="1"/>
  <c r="P10" s="1"/>
  <c r="O29" i="3"/>
  <c r="P29" s="1"/>
  <c r="Q29" s="1"/>
  <c r="N14" i="4"/>
  <c r="O23" i="2"/>
  <c r="P23" s="1"/>
  <c r="Q23" s="1"/>
  <c r="N24" i="69"/>
  <c r="O23" i="31"/>
  <c r="P23" s="1"/>
  <c r="Q23" s="1"/>
  <c r="R23" s="1"/>
  <c r="O23" i="73"/>
  <c r="N34" i="3"/>
  <c r="N23" i="62"/>
  <c r="O23" i="40"/>
  <c r="O24" i="29"/>
  <c r="O23" i="8"/>
  <c r="P23" s="1"/>
  <c r="Q23" s="1"/>
  <c r="N8" i="4"/>
  <c r="O8" s="1"/>
  <c r="P8" s="1"/>
  <c r="O24" i="27"/>
  <c r="O35" i="3"/>
  <c r="P35" s="1"/>
  <c r="Q35" s="1"/>
  <c r="AJ24" i="49"/>
  <c r="AO24" s="1"/>
  <c r="N24" i="67"/>
  <c r="O24" i="55"/>
  <c r="P24" s="1"/>
  <c r="Q24" s="1"/>
  <c r="R24" s="1"/>
  <c r="S24" s="1"/>
  <c r="O23" i="75"/>
  <c r="P23" s="1"/>
  <c r="Q23" s="1"/>
  <c r="O23" i="16"/>
  <c r="O23" i="49"/>
  <c r="P23" s="1"/>
  <c r="Q23" s="1"/>
  <c r="O24" i="38"/>
  <c r="P24" s="1"/>
  <c r="Q24" s="1"/>
  <c r="O31" i="3"/>
  <c r="P31" s="1"/>
  <c r="Q31" s="1"/>
  <c r="O23" i="27"/>
  <c r="N23" i="29"/>
  <c r="AD25" i="20"/>
  <c r="AG23"/>
  <c r="AO23" i="31"/>
  <c r="N24" i="20"/>
  <c r="AG25" i="29"/>
  <c r="AJ23"/>
  <c r="N23" i="30"/>
  <c r="AJ23" i="18"/>
  <c r="AG25"/>
  <c r="N24" i="16"/>
  <c r="O24" i="56"/>
  <c r="O24" i="60"/>
  <c r="P24" s="1"/>
  <c r="Q24" s="1"/>
  <c r="O23" i="20"/>
  <c r="P23" s="1"/>
  <c r="Q23" s="1"/>
  <c r="N24" i="50"/>
  <c r="N36" i="3"/>
  <c r="N23"/>
  <c r="O23" i="38"/>
  <c r="P23" s="1"/>
  <c r="Q23" s="1"/>
  <c r="N23" i="44"/>
  <c r="N14" i="5"/>
  <c r="O14" s="1"/>
  <c r="P14" s="1"/>
  <c r="AY23" i="62"/>
  <c r="BP23"/>
  <c r="O37" i="3"/>
  <c r="P37" s="1"/>
  <c r="Q37" s="1"/>
  <c r="N11" i="4"/>
  <c r="O11" s="1"/>
  <c r="P11" s="1"/>
  <c r="O24" i="34"/>
  <c r="R24" i="22"/>
  <c r="S24" s="1"/>
  <c r="N23" i="68"/>
  <c r="N15" i="4"/>
  <c r="O15" s="1"/>
  <c r="P15" s="1"/>
  <c r="N9" i="5"/>
  <c r="O24" i="23"/>
  <c r="P24" s="1"/>
  <c r="Q24" s="1"/>
  <c r="N3" i="5"/>
  <c r="N24" i="31"/>
  <c r="N23" i="21"/>
  <c r="AJ23" i="49"/>
  <c r="AG25"/>
  <c r="O23" i="32"/>
  <c r="O24"/>
  <c r="P24" s="1"/>
  <c r="Q24" s="1"/>
  <c r="N23" i="12"/>
  <c r="N23" i="34"/>
  <c r="O24" i="12"/>
  <c r="M12" i="4"/>
  <c r="N24" i="3"/>
  <c r="AG24" i="48"/>
  <c r="AJ23"/>
  <c r="O24" i="51"/>
  <c r="N18" i="4"/>
  <c r="O18" s="1"/>
  <c r="P18" s="1"/>
  <c r="O24" i="10"/>
  <c r="P24" s="1"/>
  <c r="Q24" s="1"/>
  <c r="BP24" i="52"/>
  <c r="AY24"/>
  <c r="O24" i="54"/>
  <c r="P24" s="1"/>
  <c r="Q24" s="1"/>
  <c r="AJ24" i="29"/>
  <c r="AO24" s="1"/>
  <c r="R24" i="39"/>
  <c r="S24" s="1"/>
  <c r="N24" i="8"/>
  <c r="N24" i="13"/>
  <c r="N16" i="4"/>
  <c r="N24" i="26"/>
  <c r="AJ24" i="31"/>
  <c r="AO24" s="1"/>
  <c r="AG25"/>
  <c r="N23" i="26"/>
  <c r="AG25" i="21"/>
  <c r="AJ23"/>
  <c r="N24" i="24"/>
  <c r="O23" i="57"/>
  <c r="P23" s="1"/>
  <c r="Q23" s="1"/>
  <c r="M20" i="4"/>
  <c r="N25" i="3"/>
  <c r="N23" i="23"/>
  <c r="N7" i="4"/>
  <c r="O7" s="1"/>
  <c r="P7" s="1"/>
  <c r="N8" i="5"/>
  <c r="O8" s="1"/>
  <c r="P8" s="1"/>
  <c r="O23" i="14"/>
  <c r="AV23" i="9"/>
  <c r="BM23"/>
  <c r="N17" i="4"/>
  <c r="N6" i="5"/>
  <c r="N23" i="22"/>
  <c r="N24" i="2"/>
  <c r="O23" i="72"/>
  <c r="P23" s="1"/>
  <c r="Q23" s="1"/>
  <c r="N28" i="3"/>
  <c r="N23" i="28"/>
  <c r="N11" i="5"/>
  <c r="O23" i="80"/>
  <c r="P23" s="1"/>
  <c r="Q23" s="1"/>
  <c r="O23" i="59"/>
  <c r="P23" s="1"/>
  <c r="Q23" s="1"/>
  <c r="N30" i="3"/>
  <c r="O24" i="7"/>
  <c r="P24" s="1"/>
  <c r="Q24" s="1"/>
  <c r="O23" i="55"/>
  <c r="P23" s="1"/>
  <c r="Q23" s="1"/>
  <c r="N23" i="56"/>
  <c r="N23" i="53"/>
  <c r="O23" i="69"/>
  <c r="N24" i="18"/>
  <c r="O24" i="68"/>
  <c r="P24" s="1"/>
  <c r="Q24" s="1"/>
  <c r="M10" i="5"/>
  <c r="N26" i="3"/>
  <c r="O23" i="48"/>
  <c r="P23" s="1"/>
  <c r="Q23" s="1"/>
  <c r="O23" i="35"/>
  <c r="O24" i="25"/>
  <c r="N4" i="5"/>
  <c r="O4" s="1"/>
  <c r="P4" s="1"/>
  <c r="O23" i="13"/>
  <c r="O23" i="6"/>
  <c r="P23" s="1"/>
  <c r="Q23" s="1"/>
  <c r="O23" i="46"/>
  <c r="O23" i="47"/>
  <c r="P23" s="1"/>
  <c r="Q23" s="1"/>
  <c r="O27" i="3"/>
  <c r="P27" s="1"/>
  <c r="Q27" s="1"/>
  <c r="N23" i="42"/>
  <c r="M16" i="5"/>
  <c r="M6" i="4"/>
  <c r="O19"/>
  <c r="P19" s="1"/>
  <c r="Q19" s="1"/>
  <c r="R19" s="1"/>
  <c r="S24" i="66" l="1"/>
  <c r="AH23" s="1"/>
  <c r="AH24" s="1"/>
  <c r="AJ24" i="47"/>
  <c r="AI23" i="66"/>
  <c r="AI24" s="1"/>
  <c r="AA23"/>
  <c r="AJ25" i="51"/>
  <c r="AJ25" i="68"/>
  <c r="X23" i="65"/>
  <c r="X24" s="1"/>
  <c r="AO23" i="51"/>
  <c r="AI23" i="65"/>
  <c r="AN23" s="1"/>
  <c r="AC23"/>
  <c r="AC24" s="1"/>
  <c r="AG23"/>
  <c r="AG24" s="1"/>
  <c r="AJ25" i="50"/>
  <c r="R24" i="43"/>
  <c r="AR24" i="53"/>
  <c r="AX24" s="1"/>
  <c r="AZ24" s="1"/>
  <c r="BO24" s="1"/>
  <c r="AJ25" i="32"/>
  <c r="AC23" i="66"/>
  <c r="AC24" s="1"/>
  <c r="V23"/>
  <c r="AR24" i="21"/>
  <c r="AX24" s="1"/>
  <c r="AZ24" s="1"/>
  <c r="BO24" s="1"/>
  <c r="AH23" i="65"/>
  <c r="AH24" s="1"/>
  <c r="R24" i="52"/>
  <c r="S24" s="1"/>
  <c r="S23" i="58"/>
  <c r="X23" s="1"/>
  <c r="W24" i="19"/>
  <c r="V24"/>
  <c r="AF24"/>
  <c r="AK24" s="1"/>
  <c r="AO24" s="1"/>
  <c r="AU24" s="1"/>
  <c r="AW24" s="1"/>
  <c r="BL24" s="1"/>
  <c r="Y24"/>
  <c r="Z24" s="1"/>
  <c r="P23" i="69"/>
  <c r="Q23" s="1"/>
  <c r="R23" s="1"/>
  <c r="S23" s="1"/>
  <c r="P23" i="16"/>
  <c r="Q23" s="1"/>
  <c r="R23" s="1"/>
  <c r="S23" s="1"/>
  <c r="AJ25" i="53"/>
  <c r="AO23"/>
  <c r="AB24" i="30"/>
  <c r="AJ25" i="67"/>
  <c r="AJ25" i="30"/>
  <c r="T9" i="4"/>
  <c r="U9" s="1"/>
  <c r="V9" s="1"/>
  <c r="R25" i="19"/>
  <c r="I28" s="1"/>
  <c r="S23"/>
  <c r="S23" i="9"/>
  <c r="T5" i="5"/>
  <c r="U5" s="1"/>
  <c r="V5" s="1"/>
  <c r="AI24" i="55"/>
  <c r="AN24" s="1"/>
  <c r="X24"/>
  <c r="AA24"/>
  <c r="AC24"/>
  <c r="S23" i="36"/>
  <c r="R24" i="78"/>
  <c r="S23"/>
  <c r="T19" i="4"/>
  <c r="U19" s="1"/>
  <c r="V19" s="1"/>
  <c r="S23" i="67"/>
  <c r="S23" i="60"/>
  <c r="S23" i="18"/>
  <c r="O24" i="3"/>
  <c r="P24" s="1"/>
  <c r="Q24" s="1"/>
  <c r="AJ25" i="49"/>
  <c r="AO23"/>
  <c r="AO23" i="29"/>
  <c r="AJ25"/>
  <c r="O24" i="35"/>
  <c r="O23" i="70"/>
  <c r="O23" i="42"/>
  <c r="O23" i="56"/>
  <c r="N20" i="4"/>
  <c r="O20" s="1"/>
  <c r="P20" s="1"/>
  <c r="AO23" i="21"/>
  <c r="AJ25"/>
  <c r="AA24" i="39"/>
  <c r="AC24"/>
  <c r="AI24"/>
  <c r="AN24" s="1"/>
  <c r="X24"/>
  <c r="AO23" i="48"/>
  <c r="AJ24"/>
  <c r="O23" i="34"/>
  <c r="P23" s="1"/>
  <c r="Q23" s="1"/>
  <c r="O23" i="68"/>
  <c r="P23" s="1"/>
  <c r="Q23" s="1"/>
  <c r="O23" i="44"/>
  <c r="P23" s="1"/>
  <c r="Q23" s="1"/>
  <c r="O34" i="3"/>
  <c r="O24" i="69"/>
  <c r="R24" i="71"/>
  <c r="S23"/>
  <c r="V23" i="43"/>
  <c r="W23"/>
  <c r="W24" s="1"/>
  <c r="AA23"/>
  <c r="AA24" s="1"/>
  <c r="S24"/>
  <c r="AE23" s="1"/>
  <c r="AE24" s="1"/>
  <c r="AI23"/>
  <c r="R23" i="49"/>
  <c r="P24" i="29"/>
  <c r="Q24" s="1"/>
  <c r="R24" s="1"/>
  <c r="S24" s="1"/>
  <c r="P23" i="35"/>
  <c r="Q23" s="1"/>
  <c r="R23" s="1"/>
  <c r="O17" i="4"/>
  <c r="P17" s="1"/>
  <c r="Q17" s="1"/>
  <c r="R17" s="1"/>
  <c r="R37" i="3"/>
  <c r="S37" s="1"/>
  <c r="R24" i="60"/>
  <c r="S24" s="1"/>
  <c r="Q13" i="5"/>
  <c r="R13" s="1"/>
  <c r="R23" i="8"/>
  <c r="P23" i="63"/>
  <c r="Q23" s="1"/>
  <c r="R23" s="1"/>
  <c r="O23" i="26"/>
  <c r="P23" s="1"/>
  <c r="Q23" s="1"/>
  <c r="O23" i="21"/>
  <c r="P23" s="1"/>
  <c r="Q23" s="1"/>
  <c r="O30" i="3"/>
  <c r="P30" s="1"/>
  <c r="Q30" s="1"/>
  <c r="O23" i="28"/>
  <c r="P23" s="1"/>
  <c r="Q23" s="1"/>
  <c r="O23" i="29"/>
  <c r="P23" s="1"/>
  <c r="Q23" s="1"/>
  <c r="O25" i="3"/>
  <c r="P25" s="1"/>
  <c r="Q25" s="1"/>
  <c r="O24" i="26"/>
  <c r="P24" s="1"/>
  <c r="Q24" s="1"/>
  <c r="O24" i="50"/>
  <c r="P24" s="1"/>
  <c r="Q24" s="1"/>
  <c r="O23" i="30"/>
  <c r="AL23" i="20"/>
  <c r="AG25"/>
  <c r="R24" i="68"/>
  <c r="S24" s="1"/>
  <c r="P24" i="56"/>
  <c r="Q24" s="1"/>
  <c r="R24" s="1"/>
  <c r="S24" s="1"/>
  <c r="R23" i="61"/>
  <c r="R24" i="38"/>
  <c r="S24" s="1"/>
  <c r="Q10" i="4"/>
  <c r="R10" s="1"/>
  <c r="S23" i="31"/>
  <c r="AO23" i="52"/>
  <c r="AJ25"/>
  <c r="V23" i="7"/>
  <c r="S25"/>
  <c r="AG23" s="1"/>
  <c r="W23"/>
  <c r="W25" s="1"/>
  <c r="AA23"/>
  <c r="AI23"/>
  <c r="N10" i="5"/>
  <c r="O10" s="1"/>
  <c r="P10" s="1"/>
  <c r="N16"/>
  <c r="O23" i="53"/>
  <c r="P23" s="1"/>
  <c r="Q23" s="1"/>
  <c r="O24" i="2"/>
  <c r="O24" i="24"/>
  <c r="P24" s="1"/>
  <c r="Q24" s="1"/>
  <c r="O36" i="3"/>
  <c r="P36" s="1"/>
  <c r="Q36" s="1"/>
  <c r="AJ25" i="18"/>
  <c r="AO23"/>
  <c r="O24" i="67"/>
  <c r="T17" i="5"/>
  <c r="U17" s="1"/>
  <c r="V17" s="1"/>
  <c r="O23" i="50"/>
  <c r="P23" s="1"/>
  <c r="Q23" s="1"/>
  <c r="V23" i="45"/>
  <c r="W23"/>
  <c r="W24" s="1"/>
  <c r="S24"/>
  <c r="AH23" s="1"/>
  <c r="AH24" s="1"/>
  <c r="AA23"/>
  <c r="AA24" s="1"/>
  <c r="AI23"/>
  <c r="AC23" i="64"/>
  <c r="AC24" s="1"/>
  <c r="S24"/>
  <c r="AH23" s="1"/>
  <c r="AH24" s="1"/>
  <c r="AI23"/>
  <c r="R23" i="38"/>
  <c r="R23" i="2"/>
  <c r="R23" i="6"/>
  <c r="Q8" i="5"/>
  <c r="R8" s="1"/>
  <c r="O16" i="4"/>
  <c r="P16" s="1"/>
  <c r="Q16" s="1"/>
  <c r="R16" s="1"/>
  <c r="R24" i="23"/>
  <c r="S24" s="1"/>
  <c r="P23" i="46"/>
  <c r="Q23" s="1"/>
  <c r="R23" s="1"/>
  <c r="P24" i="25"/>
  <c r="Q24" s="1"/>
  <c r="R24" s="1"/>
  <c r="S24" s="1"/>
  <c r="R24" i="7"/>
  <c r="S24" s="1"/>
  <c r="O11" i="5"/>
  <c r="P11" s="1"/>
  <c r="Q11" s="1"/>
  <c r="R11" s="1"/>
  <c r="O6"/>
  <c r="P6" s="1"/>
  <c r="Q6" s="1"/>
  <c r="R6" s="1"/>
  <c r="P23" i="14"/>
  <c r="Q23" s="1"/>
  <c r="R23" s="1"/>
  <c r="P24" i="51"/>
  <c r="Q24" s="1"/>
  <c r="R24" s="1"/>
  <c r="S24" s="1"/>
  <c r="P24" i="12"/>
  <c r="Q24" s="1"/>
  <c r="R24" s="1"/>
  <c r="S24" s="1"/>
  <c r="P23" i="32"/>
  <c r="Q23" s="1"/>
  <c r="R23" s="1"/>
  <c r="O3" i="5"/>
  <c r="P3" s="1"/>
  <c r="Q3" s="1"/>
  <c r="Q14"/>
  <c r="R14" s="1"/>
  <c r="AJ25" i="31"/>
  <c r="R31" i="3"/>
  <c r="S31" s="1"/>
  <c r="Q8" i="4"/>
  <c r="R8" s="1"/>
  <c r="R29" i="3"/>
  <c r="S29" s="1"/>
  <c r="P24" i="28"/>
  <c r="Q24" s="1"/>
  <c r="R24" s="1"/>
  <c r="S24" s="1"/>
  <c r="P23" i="51"/>
  <c r="Q23" s="1"/>
  <c r="R23" s="1"/>
  <c r="P23" i="54"/>
  <c r="Q23" s="1"/>
  <c r="R23" s="1"/>
  <c r="P23" i="52"/>
  <c r="Q23" s="1"/>
  <c r="R23" s="1"/>
  <c r="P23" i="39"/>
  <c r="Q23" s="1"/>
  <c r="R23" s="1"/>
  <c r="O23" i="22"/>
  <c r="W24"/>
  <c r="Y24"/>
  <c r="Z24" s="1"/>
  <c r="V24"/>
  <c r="AF24"/>
  <c r="AK24" s="1"/>
  <c r="AO24" s="1"/>
  <c r="AU24" s="1"/>
  <c r="AW24" s="1"/>
  <c r="BL24" s="1"/>
  <c r="S24" i="77"/>
  <c r="AH23" s="1"/>
  <c r="AH24" s="1"/>
  <c r="AI23"/>
  <c r="AC23"/>
  <c r="AC24" s="1"/>
  <c r="N6" i="4"/>
  <c r="O6" s="1"/>
  <c r="P6" s="1"/>
  <c r="O26" i="3"/>
  <c r="P26" s="1"/>
  <c r="Q26" s="1"/>
  <c r="O23" i="23"/>
  <c r="P23" s="1"/>
  <c r="Q23" s="1"/>
  <c r="O24" i="8"/>
  <c r="P24" s="1"/>
  <c r="Q24" s="1"/>
  <c r="O24" i="31"/>
  <c r="P24" s="1"/>
  <c r="Q24" s="1"/>
  <c r="O23" i="62"/>
  <c r="P23" s="1"/>
  <c r="Q23" s="1"/>
  <c r="R35" i="3"/>
  <c r="S35" s="1"/>
  <c r="R27"/>
  <c r="S27" s="1"/>
  <c r="R23" i="37"/>
  <c r="R23" i="55"/>
  <c r="R23" i="80"/>
  <c r="R23" i="72"/>
  <c r="R24" i="54"/>
  <c r="S24" s="1"/>
  <c r="Q18" i="4"/>
  <c r="R18" s="1"/>
  <c r="R24" i="32"/>
  <c r="S24" s="1"/>
  <c r="Q15" i="4"/>
  <c r="R15" s="1"/>
  <c r="Q11"/>
  <c r="R11" s="1"/>
  <c r="R23" i="25"/>
  <c r="R23" i="11"/>
  <c r="R23" i="15"/>
  <c r="R24" i="14"/>
  <c r="S24" s="1"/>
  <c r="R24" i="9"/>
  <c r="S24" s="1"/>
  <c r="Q12" i="5"/>
  <c r="R12" s="1"/>
  <c r="AJ25" i="69"/>
  <c r="AB24" i="53"/>
  <c r="AB24" i="21"/>
  <c r="N12" i="4"/>
  <c r="O12" s="1"/>
  <c r="P12" s="1"/>
  <c r="O23" i="3"/>
  <c r="P23" s="1"/>
  <c r="Q23" s="1"/>
  <c r="O24" i="16"/>
  <c r="P24" s="1"/>
  <c r="Q24" s="1"/>
  <c r="O24" i="36"/>
  <c r="P24" s="1"/>
  <c r="Q24" s="1"/>
  <c r="AG25" i="19"/>
  <c r="AL23"/>
  <c r="AF23" i="24"/>
  <c r="V23"/>
  <c r="W23"/>
  <c r="AI23" i="10"/>
  <c r="V23"/>
  <c r="W23"/>
  <c r="AA23"/>
  <c r="R23" i="74"/>
  <c r="Q4" i="5"/>
  <c r="R4" s="1"/>
  <c r="R25" i="2"/>
  <c r="S25" s="1"/>
  <c r="O24" i="18"/>
  <c r="P24" s="1"/>
  <c r="Q24" s="1"/>
  <c r="O28" i="3"/>
  <c r="O24" i="13"/>
  <c r="O23" i="12"/>
  <c r="P23" s="1"/>
  <c r="Q23" s="1"/>
  <c r="O24" i="20"/>
  <c r="P24" s="1"/>
  <c r="Q24" s="1"/>
  <c r="O32" i="3"/>
  <c r="O24" i="49"/>
  <c r="P24" s="1"/>
  <c r="Q24" s="1"/>
  <c r="AG25" i="22"/>
  <c r="AL23"/>
  <c r="R23" i="20"/>
  <c r="R23" i="75"/>
  <c r="R23" i="47"/>
  <c r="P23" i="13"/>
  <c r="Q23" s="1"/>
  <c r="R23" s="1"/>
  <c r="R23" i="48"/>
  <c r="R23" i="59"/>
  <c r="Q7" i="4"/>
  <c r="R7" s="1"/>
  <c r="R23" i="57"/>
  <c r="R24" i="10"/>
  <c r="O9" i="5"/>
  <c r="P9" s="1"/>
  <c r="Q9" s="1"/>
  <c r="R9" s="1"/>
  <c r="P24" i="34"/>
  <c r="Q24" s="1"/>
  <c r="R24" s="1"/>
  <c r="S24" s="1"/>
  <c r="P23" i="27"/>
  <c r="Q23" s="1"/>
  <c r="R23" s="1"/>
  <c r="P24"/>
  <c r="Q24" s="1"/>
  <c r="R24" s="1"/>
  <c r="S24" s="1"/>
  <c r="P23" i="40"/>
  <c r="Q23" s="1"/>
  <c r="R23" s="1"/>
  <c r="P23" i="73"/>
  <c r="Q23" s="1"/>
  <c r="R23" s="1"/>
  <c r="O14" i="4"/>
  <c r="P14" s="1"/>
  <c r="Q14" s="1"/>
  <c r="R14" s="1"/>
  <c r="R33" i="3"/>
  <c r="S33" s="1"/>
  <c r="R23" i="33"/>
  <c r="AR24" i="30"/>
  <c r="AX24" s="1"/>
  <c r="AZ24" s="1"/>
  <c r="BO24" s="1"/>
  <c r="AE23" i="66" l="1"/>
  <c r="AE24" s="1"/>
  <c r="AG23"/>
  <c r="AJ23" s="1"/>
  <c r="AB23"/>
  <c r="AB24" s="1"/>
  <c r="V24"/>
  <c r="AI24" i="65"/>
  <c r="AN23" i="66"/>
  <c r="AB23" i="65"/>
  <c r="AB24" s="1"/>
  <c r="AG23" i="45"/>
  <c r="AG24" s="1"/>
  <c r="AJ23" i="65"/>
  <c r="AJ24" s="1"/>
  <c r="S24" i="58"/>
  <c r="AE23" s="1"/>
  <c r="AE24" s="1"/>
  <c r="AE23" i="77"/>
  <c r="AG23" i="43"/>
  <c r="AG24" s="1"/>
  <c r="AH23"/>
  <c r="AH24" s="1"/>
  <c r="AF23" i="58"/>
  <c r="AF24" s="1"/>
  <c r="AA24" i="52"/>
  <c r="X24"/>
  <c r="AI24"/>
  <c r="AN24" s="1"/>
  <c r="AR24" s="1"/>
  <c r="AX24" s="1"/>
  <c r="AZ24" s="1"/>
  <c r="BO24" s="1"/>
  <c r="AC24"/>
  <c r="AG23" i="64"/>
  <c r="AG24" s="1"/>
  <c r="AE23" i="45"/>
  <c r="AE24" s="1"/>
  <c r="AE23" i="64"/>
  <c r="AE24" s="1"/>
  <c r="AH23" i="7"/>
  <c r="AH25" s="1"/>
  <c r="AE23"/>
  <c r="AE25" s="1"/>
  <c r="AB24" i="55"/>
  <c r="AC24" i="25"/>
  <c r="W24"/>
  <c r="AI24"/>
  <c r="AN24" s="1"/>
  <c r="AA24"/>
  <c r="V24"/>
  <c r="T9" i="5"/>
  <c r="U9" s="1"/>
  <c r="V9" s="1"/>
  <c r="R25" i="52"/>
  <c r="I28" s="1"/>
  <c r="S23"/>
  <c r="T11" i="5"/>
  <c r="U11" s="1"/>
  <c r="V11" s="1"/>
  <c r="R25" i="32"/>
  <c r="I28" s="1"/>
  <c r="S23"/>
  <c r="R3" i="5"/>
  <c r="R25" i="39"/>
  <c r="S23"/>
  <c r="T6" i="5"/>
  <c r="U6" s="1"/>
  <c r="V6" s="1"/>
  <c r="R25" i="27"/>
  <c r="S23"/>
  <c r="T16" i="4"/>
  <c r="U16" s="1"/>
  <c r="V16" s="1"/>
  <c r="R24" i="73"/>
  <c r="S23"/>
  <c r="AC24" i="12"/>
  <c r="V24"/>
  <c r="W24"/>
  <c r="AI24"/>
  <c r="AN24" s="1"/>
  <c r="AA24"/>
  <c r="T14" i="4"/>
  <c r="U14" s="1"/>
  <c r="V14" s="1"/>
  <c r="R25" i="54"/>
  <c r="S23"/>
  <c r="S23" i="13"/>
  <c r="R24" i="63"/>
  <c r="S23"/>
  <c r="W24" i="27"/>
  <c r="AI24"/>
  <c r="AN24" s="1"/>
  <c r="AC24"/>
  <c r="V24"/>
  <c r="AA24"/>
  <c r="R24" i="40"/>
  <c r="S23"/>
  <c r="AI24" i="51"/>
  <c r="AN24" s="1"/>
  <c r="AR24" s="1"/>
  <c r="AX24" s="1"/>
  <c r="AZ24" s="1"/>
  <c r="BO24" s="1"/>
  <c r="X24"/>
  <c r="AA24"/>
  <c r="AC24"/>
  <c r="T17" i="4"/>
  <c r="U17" s="1"/>
  <c r="V17" s="1"/>
  <c r="T18"/>
  <c r="U18" s="1"/>
  <c r="V18" s="1"/>
  <c r="T14" i="5"/>
  <c r="U14" s="1"/>
  <c r="V14" s="1"/>
  <c r="W24" i="32"/>
  <c r="AI24"/>
  <c r="AN24" s="1"/>
  <c r="AR24" s="1"/>
  <c r="AX24" s="1"/>
  <c r="AZ24" s="1"/>
  <c r="BO24" s="1"/>
  <c r="AA24"/>
  <c r="AC24"/>
  <c r="V24"/>
  <c r="R24" i="59"/>
  <c r="S23"/>
  <c r="T15" i="4"/>
  <c r="U15" s="1"/>
  <c r="V15" s="1"/>
  <c r="U27" i="3"/>
  <c r="V27" s="1"/>
  <c r="U31"/>
  <c r="V31" s="1"/>
  <c r="AI24" i="23"/>
  <c r="AN24" s="1"/>
  <c r="AA24"/>
  <c r="AC24"/>
  <c r="V24"/>
  <c r="W24"/>
  <c r="T13" i="5"/>
  <c r="U13" s="1"/>
  <c r="V13" s="1"/>
  <c r="S23" i="49"/>
  <c r="AC23" i="78"/>
  <c r="AC24" s="1"/>
  <c r="S24"/>
  <c r="AH23" s="1"/>
  <c r="AH24" s="1"/>
  <c r="AI23"/>
  <c r="P23" i="56"/>
  <c r="Q23" s="1"/>
  <c r="R23" s="1"/>
  <c r="P24" i="13"/>
  <c r="Q24" s="1"/>
  <c r="R24" s="1"/>
  <c r="Q12" i="4"/>
  <c r="R12" s="1"/>
  <c r="R24" i="8"/>
  <c r="S24" s="1"/>
  <c r="AG23" i="77"/>
  <c r="AG24" s="1"/>
  <c r="R25" i="3"/>
  <c r="R30"/>
  <c r="S30" s="1"/>
  <c r="P24" i="69"/>
  <c r="Q24" s="1"/>
  <c r="R24" s="1"/>
  <c r="R23" i="34"/>
  <c r="AK23" i="24"/>
  <c r="W24" i="9"/>
  <c r="V24"/>
  <c r="AF24"/>
  <c r="AK24" s="1"/>
  <c r="T8" i="5"/>
  <c r="U8" s="1"/>
  <c r="V8" s="1"/>
  <c r="AI24" i="28"/>
  <c r="AN24" s="1"/>
  <c r="AA24"/>
  <c r="AC24"/>
  <c r="V24"/>
  <c r="W24"/>
  <c r="R25" i="14"/>
  <c r="S23"/>
  <c r="AB23" i="45"/>
  <c r="V24"/>
  <c r="AN23" i="7"/>
  <c r="AI25"/>
  <c r="AC24" i="29"/>
  <c r="V24"/>
  <c r="W24"/>
  <c r="AI24"/>
  <c r="AN24" s="1"/>
  <c r="AR24" s="1"/>
  <c r="AX24" s="1"/>
  <c r="AZ24" s="1"/>
  <c r="BO24" s="1"/>
  <c r="AA24"/>
  <c r="T7" i="4"/>
  <c r="U7" s="1"/>
  <c r="V7" s="1"/>
  <c r="T11"/>
  <c r="U11" s="1"/>
  <c r="V11" s="1"/>
  <c r="R24" i="37"/>
  <c r="S23"/>
  <c r="T8" i="4"/>
  <c r="U8" s="1"/>
  <c r="V8" s="1"/>
  <c r="AG25" i="7"/>
  <c r="AI24" i="68"/>
  <c r="AN24" s="1"/>
  <c r="AR24" s="1"/>
  <c r="AX24" s="1"/>
  <c r="AZ24" s="1"/>
  <c r="BO24" s="1"/>
  <c r="X24"/>
  <c r="AA24"/>
  <c r="AC24"/>
  <c r="S23" i="8"/>
  <c r="V23" i="18"/>
  <c r="W23"/>
  <c r="AI23"/>
  <c r="AA23"/>
  <c r="Y23" i="19"/>
  <c r="Y25" s="1"/>
  <c r="I30" s="1"/>
  <c r="S25"/>
  <c r="I29" s="1"/>
  <c r="AF23"/>
  <c r="V23"/>
  <c r="V25" s="1"/>
  <c r="W23"/>
  <c r="W25" s="1"/>
  <c r="R24" i="49"/>
  <c r="S24" s="1"/>
  <c r="R23" i="12"/>
  <c r="P23" i="22"/>
  <c r="Q23" s="1"/>
  <c r="R23" s="1"/>
  <c r="R24" i="24"/>
  <c r="Q10" i="5"/>
  <c r="R10" s="1"/>
  <c r="R24" i="26"/>
  <c r="S24" s="1"/>
  <c r="R23" i="28"/>
  <c r="R23" i="68"/>
  <c r="Q20" i="4"/>
  <c r="R20" s="1"/>
  <c r="P24" i="35"/>
  <c r="Q24" s="1"/>
  <c r="R24" s="1"/>
  <c r="S24" s="1"/>
  <c r="U37" i="3"/>
  <c r="V37" s="1"/>
  <c r="V23" i="36"/>
  <c r="W23"/>
  <c r="AI23"/>
  <c r="AA23"/>
  <c r="R24" i="48"/>
  <c r="I27" s="1"/>
  <c r="S23"/>
  <c r="Y23" i="24"/>
  <c r="U35" i="3"/>
  <c r="V35" s="1"/>
  <c r="R25" i="25"/>
  <c r="S23"/>
  <c r="U29" i="3"/>
  <c r="V29" s="1"/>
  <c r="AI24" i="64"/>
  <c r="AN23"/>
  <c r="V25" i="7"/>
  <c r="AB23"/>
  <c r="AC23" i="71"/>
  <c r="AC24" s="1"/>
  <c r="AI23"/>
  <c r="S24"/>
  <c r="AH23" s="1"/>
  <c r="AH24" s="1"/>
  <c r="P24" i="2"/>
  <c r="Q24" s="1"/>
  <c r="R24" s="1"/>
  <c r="S24" s="1"/>
  <c r="R26" i="3"/>
  <c r="S26" s="1"/>
  <c r="AB24" i="39"/>
  <c r="R25" i="9"/>
  <c r="AA24" i="34"/>
  <c r="AC24"/>
  <c r="AI24"/>
  <c r="AN24" s="1"/>
  <c r="X24"/>
  <c r="AC24" i="56"/>
  <c r="AI24"/>
  <c r="AN24" s="1"/>
  <c r="X24"/>
  <c r="AA24"/>
  <c r="AF23" i="60"/>
  <c r="V23"/>
  <c r="W23"/>
  <c r="S25"/>
  <c r="AB23" s="1"/>
  <c r="AB23" i="10"/>
  <c r="T12" i="5"/>
  <c r="U12" s="1"/>
  <c r="V12" s="1"/>
  <c r="R25" i="51"/>
  <c r="I28" s="1"/>
  <c r="S23"/>
  <c r="W24" i="60"/>
  <c r="V24"/>
  <c r="AF24"/>
  <c r="AK24" s="1"/>
  <c r="S23" i="35"/>
  <c r="R24" i="57"/>
  <c r="S23"/>
  <c r="X24" i="58"/>
  <c r="Y23"/>
  <c r="R25" i="55"/>
  <c r="S23"/>
  <c r="U33" i="3"/>
  <c r="V33" s="1"/>
  <c r="S24" i="10"/>
  <c r="R25"/>
  <c r="S23" i="20"/>
  <c r="R24" i="74"/>
  <c r="S23"/>
  <c r="R24" i="11"/>
  <c r="S23"/>
  <c r="R24" i="80"/>
  <c r="S23"/>
  <c r="AI24" i="77"/>
  <c r="AN23"/>
  <c r="R25" i="38"/>
  <c r="S23"/>
  <c r="R24" i="61"/>
  <c r="S23"/>
  <c r="AI24" i="43"/>
  <c r="AN23"/>
  <c r="AF23" i="9"/>
  <c r="V23"/>
  <c r="W23"/>
  <c r="S25"/>
  <c r="AE24" s="1"/>
  <c r="Q6" i="4"/>
  <c r="P24" i="67"/>
  <c r="Q24" s="1"/>
  <c r="R24" s="1"/>
  <c r="R23" i="3"/>
  <c r="R24" i="20"/>
  <c r="S24" s="1"/>
  <c r="R24" i="18"/>
  <c r="R24" i="16"/>
  <c r="R24" i="31"/>
  <c r="R23" i="23"/>
  <c r="R23" i="50"/>
  <c r="R36" i="3"/>
  <c r="S36" s="1"/>
  <c r="O16" i="5"/>
  <c r="P16" s="1"/>
  <c r="Q16" s="1"/>
  <c r="R24" i="50"/>
  <c r="S24" s="1"/>
  <c r="R23" i="26"/>
  <c r="R23" i="44"/>
  <c r="P23" i="70"/>
  <c r="Q23" s="1"/>
  <c r="R23" s="1"/>
  <c r="R24" i="3"/>
  <c r="R24" i="33"/>
  <c r="S23"/>
  <c r="R24" i="75"/>
  <c r="S23"/>
  <c r="T4" i="5"/>
  <c r="U4" s="1"/>
  <c r="V4" s="1"/>
  <c r="AI23" i="69"/>
  <c r="X23"/>
  <c r="AA23"/>
  <c r="R24" i="15"/>
  <c r="S23"/>
  <c r="R24" i="72"/>
  <c r="S23"/>
  <c r="R26" i="2"/>
  <c r="S23"/>
  <c r="AI24" i="45"/>
  <c r="AN23"/>
  <c r="V23" i="31"/>
  <c r="W23"/>
  <c r="AI23"/>
  <c r="AA23"/>
  <c r="AA24" i="38"/>
  <c r="AC24"/>
  <c r="X24"/>
  <c r="AI24"/>
  <c r="AN24" s="1"/>
  <c r="R24" i="46"/>
  <c r="S23"/>
  <c r="AI23" i="67"/>
  <c r="X23"/>
  <c r="AA23"/>
  <c r="AN23" i="10"/>
  <c r="AI23" i="16"/>
  <c r="X23"/>
  <c r="AA23"/>
  <c r="R24" i="47"/>
  <c r="I27" s="1"/>
  <c r="S23"/>
  <c r="W25" i="2"/>
  <c r="V25"/>
  <c r="AF25"/>
  <c r="AK25" s="1"/>
  <c r="AC24" i="14"/>
  <c r="AA24"/>
  <c r="AI24"/>
  <c r="AN24" s="1"/>
  <c r="X24"/>
  <c r="AA24" i="54"/>
  <c r="AC24"/>
  <c r="X24"/>
  <c r="AI24"/>
  <c r="AN24" s="1"/>
  <c r="AC24" i="7"/>
  <c r="AE24"/>
  <c r="AI24"/>
  <c r="AN24" s="1"/>
  <c r="V24"/>
  <c r="W24"/>
  <c r="AH24"/>
  <c r="AA24"/>
  <c r="AG24"/>
  <c r="R24" i="6"/>
  <c r="S23"/>
  <c r="T10" i="4"/>
  <c r="U10" s="1"/>
  <c r="V10" s="1"/>
  <c r="V24" i="43"/>
  <c r="AB23"/>
  <c r="P32" i="3"/>
  <c r="Q32" s="1"/>
  <c r="R32" s="1"/>
  <c r="S32" s="1"/>
  <c r="P28"/>
  <c r="Q28" s="1"/>
  <c r="R28" s="1"/>
  <c r="S28" s="1"/>
  <c r="R24" i="36"/>
  <c r="R23" i="62"/>
  <c r="R23" i="53"/>
  <c r="P23" i="30"/>
  <c r="Q23" s="1"/>
  <c r="R23" s="1"/>
  <c r="R23" i="29"/>
  <c r="R23" i="21"/>
  <c r="P34" i="3"/>
  <c r="Q34" s="1"/>
  <c r="R34" s="1"/>
  <c r="S34" s="1"/>
  <c r="P23" i="42"/>
  <c r="Q23" s="1"/>
  <c r="R23" s="1"/>
  <c r="R25" i="60"/>
  <c r="AO23" i="65" l="1"/>
  <c r="AR23" s="1"/>
  <c r="AX23" s="1"/>
  <c r="AZ23" s="1"/>
  <c r="BO23" s="1"/>
  <c r="AG24" i="66"/>
  <c r="AK23" i="58"/>
  <c r="AJ23" i="43"/>
  <c r="AO23" s="1"/>
  <c r="AR23" s="1"/>
  <c r="AX23" s="1"/>
  <c r="AZ23" s="1"/>
  <c r="BO23" s="1"/>
  <c r="AJ23" i="45"/>
  <c r="AO23" s="1"/>
  <c r="AR23" s="1"/>
  <c r="AX23" s="1"/>
  <c r="AZ23" s="1"/>
  <c r="BO23" s="1"/>
  <c r="AE23" i="78"/>
  <c r="AG23"/>
  <c r="AG24" s="1"/>
  <c r="AK23" i="77"/>
  <c r="AK24" s="1"/>
  <c r="W25" i="9"/>
  <c r="AG23" i="71"/>
  <c r="AG24" s="1"/>
  <c r="AB23" i="9"/>
  <c r="AE24" i="77"/>
  <c r="AD23" i="9"/>
  <c r="AB24" i="34"/>
  <c r="R25" i="8"/>
  <c r="AB24" i="52"/>
  <c r="AB24" i="7"/>
  <c r="AD23" i="58"/>
  <c r="AD23" i="60"/>
  <c r="Y24" i="9"/>
  <c r="Z24" s="1"/>
  <c r="AB24" i="27"/>
  <c r="AB24" i="54"/>
  <c r="AB24" i="25"/>
  <c r="AB23" i="58"/>
  <c r="AB24" s="1"/>
  <c r="AE23" i="71"/>
  <c r="S24" i="13"/>
  <c r="AA24" s="1"/>
  <c r="R25"/>
  <c r="AK23" i="64"/>
  <c r="AP23" s="1"/>
  <c r="AR23" s="1"/>
  <c r="AX23" s="1"/>
  <c r="AZ23" s="1"/>
  <c r="BO23" s="1"/>
  <c r="AE23" i="9"/>
  <c r="AE25" s="1"/>
  <c r="R25" i="35"/>
  <c r="AB24" i="56"/>
  <c r="AJ23" i="7"/>
  <c r="AO23" s="1"/>
  <c r="AR23" s="1"/>
  <c r="AX23" s="1"/>
  <c r="AZ23" s="1"/>
  <c r="BO23" s="1"/>
  <c r="AB24" i="29"/>
  <c r="AB24" i="9"/>
  <c r="AD24"/>
  <c r="AG24" s="1"/>
  <c r="AL24" s="1"/>
  <c r="AO24" s="1"/>
  <c r="AU24" s="1"/>
  <c r="AW24" s="1"/>
  <c r="BL24" s="1"/>
  <c r="R16" i="5"/>
  <c r="Q18"/>
  <c r="H22" s="1"/>
  <c r="M22" s="1"/>
  <c r="R25" i="22"/>
  <c r="I28" s="1"/>
  <c r="S23"/>
  <c r="S24" i="67"/>
  <c r="R25"/>
  <c r="I28" s="1"/>
  <c r="S24" i="69"/>
  <c r="R25"/>
  <c r="I28" s="1"/>
  <c r="U34" i="3"/>
  <c r="V34" s="1"/>
  <c r="R25" i="30"/>
  <c r="I28" s="1"/>
  <c r="S23"/>
  <c r="U32" i="3"/>
  <c r="V32" s="1"/>
  <c r="AA24" i="50"/>
  <c r="AC24"/>
  <c r="V24"/>
  <c r="AI24"/>
  <c r="AN24" s="1"/>
  <c r="AR24" s="1"/>
  <c r="AX24" s="1"/>
  <c r="AZ24" s="1"/>
  <c r="BO24" s="1"/>
  <c r="W24"/>
  <c r="V23" i="48"/>
  <c r="W23"/>
  <c r="W24" s="1"/>
  <c r="S24"/>
  <c r="I28" s="1"/>
  <c r="AI23"/>
  <c r="AA23"/>
  <c r="AA24" s="1"/>
  <c r="T12" i="4"/>
  <c r="U12" s="1"/>
  <c r="V12" s="1"/>
  <c r="AI23" i="13"/>
  <c r="X23"/>
  <c r="AA23"/>
  <c r="T3" i="5"/>
  <c r="U3" s="1"/>
  <c r="S24" i="15"/>
  <c r="AH23" s="1"/>
  <c r="AH24" s="1"/>
  <c r="AI23"/>
  <c r="AA23"/>
  <c r="AA24" s="1"/>
  <c r="V23"/>
  <c r="W23"/>
  <c r="W24" s="1"/>
  <c r="R25" i="26"/>
  <c r="S23"/>
  <c r="S24" i="16"/>
  <c r="R25"/>
  <c r="AC24" i="10"/>
  <c r="AA24"/>
  <c r="AA25" s="1"/>
  <c r="AI24"/>
  <c r="V24"/>
  <c r="W24"/>
  <c r="W25" s="1"/>
  <c r="S25"/>
  <c r="AH24" s="1"/>
  <c r="AN23" i="36"/>
  <c r="T20" i="4"/>
  <c r="U20" s="1"/>
  <c r="V20" s="1"/>
  <c r="AB23" i="18"/>
  <c r="Y25" i="2"/>
  <c r="Z25" s="1"/>
  <c r="AJ24" i="7"/>
  <c r="AO24" s="1"/>
  <c r="AR24" s="1"/>
  <c r="AX24" s="1"/>
  <c r="AZ24" s="1"/>
  <c r="BO24" s="1"/>
  <c r="AE23" i="60"/>
  <c r="I31" i="19"/>
  <c r="AB24" i="23"/>
  <c r="V24" i="49"/>
  <c r="W24"/>
  <c r="AI24"/>
  <c r="AN24" s="1"/>
  <c r="AR24" s="1"/>
  <c r="AX24" s="1"/>
  <c r="AZ24" s="1"/>
  <c r="BO24" s="1"/>
  <c r="AA24"/>
  <c r="AC24"/>
  <c r="AA23" i="14"/>
  <c r="AA25" s="1"/>
  <c r="S25"/>
  <c r="AE23" s="1"/>
  <c r="AE25" s="1"/>
  <c r="AI23"/>
  <c r="X23"/>
  <c r="W24" i="2"/>
  <c r="AF24"/>
  <c r="AK24" s="1"/>
  <c r="V24"/>
  <c r="AB23" i="31"/>
  <c r="AA23" i="61"/>
  <c r="AB23" s="1"/>
  <c r="AB24" s="1"/>
  <c r="S24"/>
  <c r="AE23" s="1"/>
  <c r="AE24" s="1"/>
  <c r="AI23"/>
  <c r="AI23" i="35"/>
  <c r="X23"/>
  <c r="S25"/>
  <c r="AE23" s="1"/>
  <c r="AE25" s="1"/>
  <c r="AA23"/>
  <c r="AI24" i="71"/>
  <c r="AN23"/>
  <c r="Z23" i="24"/>
  <c r="R25" i="12"/>
  <c r="S23"/>
  <c r="AJ24" i="66"/>
  <c r="AO23"/>
  <c r="AR23" s="1"/>
  <c r="AX23" s="1"/>
  <c r="AZ23" s="1"/>
  <c r="BO23" s="1"/>
  <c r="V24" i="8"/>
  <c r="W24"/>
  <c r="AI24"/>
  <c r="AN24" s="1"/>
  <c r="AA24"/>
  <c r="AC24"/>
  <c r="R25" i="56"/>
  <c r="S23"/>
  <c r="S24" i="36"/>
  <c r="R25"/>
  <c r="AN23" i="31"/>
  <c r="AR23" s="1"/>
  <c r="AX23" s="1"/>
  <c r="AZ23" s="1"/>
  <c r="BO23" s="1"/>
  <c r="R24" i="44"/>
  <c r="S23"/>
  <c r="S24" i="31"/>
  <c r="R25"/>
  <c r="I28" s="1"/>
  <c r="AC23" i="80"/>
  <c r="AC24" s="1"/>
  <c r="S24"/>
  <c r="AG23" s="1"/>
  <c r="AG24" s="1"/>
  <c r="AI23"/>
  <c r="S24" i="57"/>
  <c r="AG23" s="1"/>
  <c r="AI23"/>
  <c r="X23"/>
  <c r="AA23"/>
  <c r="AA24" s="1"/>
  <c r="AC23" i="10"/>
  <c r="AF25" i="60"/>
  <c r="AK23"/>
  <c r="AK23" i="19"/>
  <c r="AO23" s="1"/>
  <c r="AU23" s="1"/>
  <c r="AW23" s="1"/>
  <c r="BL23" s="1"/>
  <c r="AF25"/>
  <c r="AC23" i="63"/>
  <c r="AC24" s="1"/>
  <c r="V23"/>
  <c r="W23"/>
  <c r="W24" s="1"/>
  <c r="S24"/>
  <c r="AH23" s="1"/>
  <c r="AH24" s="1"/>
  <c r="AI23"/>
  <c r="AC23" i="73"/>
  <c r="AC24" s="1"/>
  <c r="S24"/>
  <c r="AH23" s="1"/>
  <c r="AH24" s="1"/>
  <c r="AI23"/>
  <c r="AI23" i="39"/>
  <c r="X23"/>
  <c r="S25"/>
  <c r="AH23" s="1"/>
  <c r="AH25" s="1"/>
  <c r="AA23"/>
  <c r="AA25" s="1"/>
  <c r="AI23" i="52"/>
  <c r="X23"/>
  <c r="AA23"/>
  <c r="AA25" s="1"/>
  <c r="S25"/>
  <c r="I29" s="1"/>
  <c r="AB24" i="14"/>
  <c r="AB24" i="60"/>
  <c r="AB25" s="1"/>
  <c r="V23" i="49"/>
  <c r="W23"/>
  <c r="AI23"/>
  <c r="S25"/>
  <c r="I29" s="1"/>
  <c r="AA23"/>
  <c r="R24" i="42"/>
  <c r="S23"/>
  <c r="S24" i="18"/>
  <c r="R25"/>
  <c r="I28" s="1"/>
  <c r="W23" i="8"/>
  <c r="AI23"/>
  <c r="S25"/>
  <c r="AG24" s="1"/>
  <c r="AA23"/>
  <c r="V23"/>
  <c r="V23" i="6"/>
  <c r="AI23"/>
  <c r="S24"/>
  <c r="AE23" s="1"/>
  <c r="AE24" s="1"/>
  <c r="W23"/>
  <c r="W24" s="1"/>
  <c r="AA23"/>
  <c r="AN23" i="67"/>
  <c r="AR23" s="1"/>
  <c r="AX23" s="1"/>
  <c r="AZ23" s="1"/>
  <c r="BO23" s="1"/>
  <c r="R25" i="23"/>
  <c r="S23"/>
  <c r="V25" i="60"/>
  <c r="Y23"/>
  <c r="AB25" i="7"/>
  <c r="AC23"/>
  <c r="AC25" s="1"/>
  <c r="S24" i="24"/>
  <c r="R25"/>
  <c r="AN23" i="18"/>
  <c r="AR23" s="1"/>
  <c r="AX23" s="1"/>
  <c r="AZ23" s="1"/>
  <c r="BO23" s="1"/>
  <c r="AB25" i="3"/>
  <c r="S25"/>
  <c r="R25" i="20"/>
  <c r="I28" s="1"/>
  <c r="AD24" i="60"/>
  <c r="AB24" i="32"/>
  <c r="AF24" i="20"/>
  <c r="AK24" s="1"/>
  <c r="AO24" s="1"/>
  <c r="AU24" s="1"/>
  <c r="AW24" s="1"/>
  <c r="BL24" s="1"/>
  <c r="V24"/>
  <c r="W24"/>
  <c r="Y24"/>
  <c r="Z24" s="1"/>
  <c r="AI24" i="35"/>
  <c r="AN24" s="1"/>
  <c r="X24"/>
  <c r="AA24"/>
  <c r="AC24"/>
  <c r="S24" i="75"/>
  <c r="AH23" s="1"/>
  <c r="AH24" s="1"/>
  <c r="AI23"/>
  <c r="AC23"/>
  <c r="AC24" s="1"/>
  <c r="W23" i="11"/>
  <c r="W24" s="1"/>
  <c r="S24"/>
  <c r="AH23" s="1"/>
  <c r="AH24" s="1"/>
  <c r="AI23"/>
  <c r="AA23"/>
  <c r="AA24" s="1"/>
  <c r="V23"/>
  <c r="R24" i="70"/>
  <c r="S23"/>
  <c r="R24" i="62"/>
  <c r="S23"/>
  <c r="S24" i="72"/>
  <c r="AH23" s="1"/>
  <c r="AH24" s="1"/>
  <c r="AI23"/>
  <c r="AC23"/>
  <c r="AC24" s="1"/>
  <c r="AN23" i="69"/>
  <c r="AR23" s="1"/>
  <c r="AX23" s="1"/>
  <c r="AZ23" s="1"/>
  <c r="BO23" s="1"/>
  <c r="AF25" i="9"/>
  <c r="AK23"/>
  <c r="R25" i="53"/>
  <c r="I28" s="1"/>
  <c r="S23"/>
  <c r="S24" i="47"/>
  <c r="I28" s="1"/>
  <c r="AI23"/>
  <c r="AA23"/>
  <c r="AA24" s="1"/>
  <c r="V23"/>
  <c r="W23"/>
  <c r="W24" s="1"/>
  <c r="AB23" i="67"/>
  <c r="AB23" i="69"/>
  <c r="AB24" i="3"/>
  <c r="S24"/>
  <c r="R25" i="50"/>
  <c r="I28" s="1"/>
  <c r="S23"/>
  <c r="Q21" i="4"/>
  <c r="H25" s="1"/>
  <c r="M25" s="1"/>
  <c r="R6"/>
  <c r="V25" i="9"/>
  <c r="Y23"/>
  <c r="S25" i="20"/>
  <c r="I29" s="1"/>
  <c r="AF23"/>
  <c r="V23"/>
  <c r="W23"/>
  <c r="Y23"/>
  <c r="Y24" i="58"/>
  <c r="Z23"/>
  <c r="Z24" s="1"/>
  <c r="T10" i="5"/>
  <c r="U10" s="1"/>
  <c r="V10" s="1"/>
  <c r="AA23" i="37"/>
  <c r="AA24" s="1"/>
  <c r="AI23"/>
  <c r="V23"/>
  <c r="W23"/>
  <c r="W24" s="1"/>
  <c r="S24"/>
  <c r="AG23" s="1"/>
  <c r="AB24" i="45"/>
  <c r="AC23"/>
  <c r="AC24" s="1"/>
  <c r="U30" i="3"/>
  <c r="V30" s="1"/>
  <c r="S24" i="40"/>
  <c r="AE23" s="1"/>
  <c r="AE24" s="1"/>
  <c r="AI23"/>
  <c r="AA23"/>
  <c r="AA24" s="1"/>
  <c r="V23"/>
  <c r="W23"/>
  <c r="W24" s="1"/>
  <c r="Z23" i="19"/>
  <c r="Z25" s="1"/>
  <c r="AB24" i="38"/>
  <c r="AE24" i="60"/>
  <c r="W25"/>
  <c r="AB24" i="68"/>
  <c r="AB24" i="28"/>
  <c r="AB24" i="43"/>
  <c r="AC23"/>
  <c r="AC24" s="1"/>
  <c r="AI23" i="51"/>
  <c r="X23"/>
  <c r="S25"/>
  <c r="I29" s="1"/>
  <c r="AA23"/>
  <c r="AA25" s="1"/>
  <c r="AN23" i="16"/>
  <c r="V23" i="2"/>
  <c r="W23"/>
  <c r="W26" s="1"/>
  <c r="S26"/>
  <c r="AB23" s="1"/>
  <c r="AB26" s="1"/>
  <c r="AF23"/>
  <c r="U36" i="3"/>
  <c r="V36" s="1"/>
  <c r="U26"/>
  <c r="V26" s="1"/>
  <c r="V23" i="25"/>
  <c r="AI23"/>
  <c r="S25"/>
  <c r="AG23" s="1"/>
  <c r="AA23"/>
  <c r="AA25" s="1"/>
  <c r="W23"/>
  <c r="W25" s="1"/>
  <c r="AF24" i="26"/>
  <c r="AK24" s="1"/>
  <c r="V24"/>
  <c r="W24"/>
  <c r="U28" i="3"/>
  <c r="V28" s="1"/>
  <c r="AI24" i="78"/>
  <c r="AN23"/>
  <c r="S24" i="59"/>
  <c r="AH23" s="1"/>
  <c r="AH24" s="1"/>
  <c r="AI23"/>
  <c r="X23"/>
  <c r="AA23"/>
  <c r="AA24" s="1"/>
  <c r="Y24" i="60"/>
  <c r="Z24" s="1"/>
  <c r="R25" i="21"/>
  <c r="I28" s="1"/>
  <c r="S23"/>
  <c r="AJ24" i="43"/>
  <c r="R25" i="68"/>
  <c r="I28" s="1"/>
  <c r="S23"/>
  <c r="R25" i="29"/>
  <c r="I28" s="1"/>
  <c r="S23"/>
  <c r="AB23" i="16"/>
  <c r="AA23" i="46"/>
  <c r="AA24" s="1"/>
  <c r="S24"/>
  <c r="AE23" s="1"/>
  <c r="AE24" s="1"/>
  <c r="AI23"/>
  <c r="V23"/>
  <c r="W23"/>
  <c r="W24" s="1"/>
  <c r="S24" i="33"/>
  <c r="AG23" s="1"/>
  <c r="AI23"/>
  <c r="AA23"/>
  <c r="V23"/>
  <c r="W23"/>
  <c r="W24" s="1"/>
  <c r="R38" i="3"/>
  <c r="I41" s="1"/>
  <c r="AB23"/>
  <c r="S23"/>
  <c r="AI23" i="38"/>
  <c r="X23"/>
  <c r="AA23"/>
  <c r="AA25" s="1"/>
  <c r="S25"/>
  <c r="AG23" s="1"/>
  <c r="AC23" i="74"/>
  <c r="AC24" s="1"/>
  <c r="S24"/>
  <c r="AG23" s="1"/>
  <c r="AG24" s="1"/>
  <c r="AI23"/>
  <c r="AI23" i="55"/>
  <c r="X23"/>
  <c r="S25"/>
  <c r="AH23" s="1"/>
  <c r="AH25" s="1"/>
  <c r="AA23"/>
  <c r="AA25" s="1"/>
  <c r="AB23" i="36"/>
  <c r="R25" i="28"/>
  <c r="S23"/>
  <c r="R25" i="34"/>
  <c r="S23"/>
  <c r="AI23" i="54"/>
  <c r="X23"/>
  <c r="AA23"/>
  <c r="AA25" s="1"/>
  <c r="S25"/>
  <c r="AG23" s="1"/>
  <c r="AI23" i="27"/>
  <c r="S25"/>
  <c r="AG23" s="1"/>
  <c r="AA23"/>
  <c r="V23"/>
  <c r="W23"/>
  <c r="W25" s="1"/>
  <c r="AI23" i="32"/>
  <c r="S25"/>
  <c r="I29" s="1"/>
  <c r="AA23"/>
  <c r="AA25" s="1"/>
  <c r="V23"/>
  <c r="W23"/>
  <c r="W25" s="1"/>
  <c r="R25" i="49"/>
  <c r="I28" s="1"/>
  <c r="AB24" i="51"/>
  <c r="AB24" i="12"/>
  <c r="AG23" i="60" l="1"/>
  <c r="AL23" s="1"/>
  <c r="AO23" s="1"/>
  <c r="AU23" s="1"/>
  <c r="AW23" s="1"/>
  <c r="BL23" s="1"/>
  <c r="AK23" i="78"/>
  <c r="AP23" s="1"/>
  <c r="AR23" s="1"/>
  <c r="AX23" s="1"/>
  <c r="AZ23" s="1"/>
  <c r="BO23" s="1"/>
  <c r="AK24" i="64"/>
  <c r="AJ24" i="45"/>
  <c r="AG23" i="9"/>
  <c r="AG25" s="1"/>
  <c r="AB25"/>
  <c r="AA25" i="49"/>
  <c r="AP23" i="77"/>
  <c r="AR23" s="1"/>
  <c r="AX23" s="1"/>
  <c r="AZ23" s="1"/>
  <c r="BO23" s="1"/>
  <c r="AG23" i="61"/>
  <c r="AG24" s="1"/>
  <c r="AK23" i="71"/>
  <c r="AK24" s="1"/>
  <c r="AE24" i="35"/>
  <c r="AD25" i="9"/>
  <c r="AH24" i="35"/>
  <c r="AE24" i="78"/>
  <c r="AJ25" i="7"/>
  <c r="W25" i="20"/>
  <c r="AA25" i="8"/>
  <c r="AG23" i="39"/>
  <c r="AJ23" s="1"/>
  <c r="AH23" i="57"/>
  <c r="AH24" s="1"/>
  <c r="AE23" i="80"/>
  <c r="AE24" s="1"/>
  <c r="AH23"/>
  <c r="AH24" s="1"/>
  <c r="AE23" i="39"/>
  <c r="AE25" s="1"/>
  <c r="AH24" i="8"/>
  <c r="AJ24" s="1"/>
  <c r="AO24" s="1"/>
  <c r="AR24" s="1"/>
  <c r="AX24" s="1"/>
  <c r="AZ24" s="1"/>
  <c r="BO24" s="1"/>
  <c r="AH23" i="61"/>
  <c r="AH24" s="1"/>
  <c r="AC25" i="10"/>
  <c r="AC24" i="13"/>
  <c r="AH23" i="27"/>
  <c r="AH25" s="1"/>
  <c r="AG23" i="35"/>
  <c r="AG25" s="1"/>
  <c r="AD23" i="2"/>
  <c r="AD26" s="1"/>
  <c r="AH23" i="74"/>
  <c r="AH24" s="1"/>
  <c r="AE24" i="71"/>
  <c r="AE23" i="2"/>
  <c r="AE26" s="1"/>
  <c r="AG24" i="60"/>
  <c r="AL24" s="1"/>
  <c r="AO24" s="1"/>
  <c r="AU24" s="1"/>
  <c r="AW24" s="1"/>
  <c r="BL24" s="1"/>
  <c r="AG23" i="58"/>
  <c r="AD24"/>
  <c r="AE23" i="33"/>
  <c r="AE24" s="1"/>
  <c r="Y24" i="26"/>
  <c r="Z24" s="1"/>
  <c r="AE24" i="10"/>
  <c r="AE23" i="25"/>
  <c r="AE25" s="1"/>
  <c r="AE23" i="8"/>
  <c r="AE25" s="1"/>
  <c r="AG24" i="10"/>
  <c r="AJ24" s="1"/>
  <c r="AO24" s="1"/>
  <c r="S25" i="13"/>
  <c r="AG23" s="1"/>
  <c r="AG25" s="1"/>
  <c r="AE23" i="38"/>
  <c r="AE25" s="1"/>
  <c r="AE23" i="73"/>
  <c r="AE24" s="1"/>
  <c r="AA25" i="13"/>
  <c r="AH23" i="38"/>
  <c r="AH25" s="1"/>
  <c r="AH23" i="33"/>
  <c r="AH24" s="1"/>
  <c r="AE23" i="59"/>
  <c r="AE24" s="1"/>
  <c r="AG23" i="40"/>
  <c r="AG24" s="1"/>
  <c r="AB24" i="35"/>
  <c r="AG23" i="6"/>
  <c r="AG24" s="1"/>
  <c r="AG23" i="73"/>
  <c r="AG24" s="1"/>
  <c r="AG23" i="63"/>
  <c r="AG24" s="1"/>
  <c r="AH23" i="35"/>
  <c r="AH25" s="1"/>
  <c r="AI24" i="13"/>
  <c r="AN24" s="1"/>
  <c r="AB24" i="50"/>
  <c r="AE23" i="63"/>
  <c r="AE24" s="1"/>
  <c r="AE23" i="37"/>
  <c r="AE24" s="1"/>
  <c r="AD25" i="60"/>
  <c r="AG23" i="59"/>
  <c r="AG24" s="1"/>
  <c r="AH23" i="40"/>
  <c r="AH24" s="1"/>
  <c r="AG23" i="46"/>
  <c r="AG24" s="1"/>
  <c r="AH23" i="37"/>
  <c r="AH24" s="1"/>
  <c r="AE23" i="72"/>
  <c r="AH23" i="6"/>
  <c r="AH24" s="1"/>
  <c r="W25" i="8"/>
  <c r="W25" i="49"/>
  <c r="AB24"/>
  <c r="AH23" i="46"/>
  <c r="AH24" s="1"/>
  <c r="AG23" i="72"/>
  <c r="AG24" s="1"/>
  <c r="X24" i="13"/>
  <c r="AB24" s="1"/>
  <c r="AE23" i="55"/>
  <c r="AE25" s="1"/>
  <c r="AG24" i="35"/>
  <c r="AB24" i="8"/>
  <c r="AD24" i="2"/>
  <c r="AE25" i="60"/>
  <c r="AG24" i="57"/>
  <c r="AG24" i="33"/>
  <c r="AG24" i="37"/>
  <c r="AG25" i="54"/>
  <c r="AG25" i="27"/>
  <c r="AB23" i="33"/>
  <c r="V24"/>
  <c r="AB23" i="40"/>
  <c r="V24"/>
  <c r="AN23" i="48"/>
  <c r="AI24"/>
  <c r="V24" i="18"/>
  <c r="W24"/>
  <c r="W25" s="1"/>
  <c r="AI24"/>
  <c r="AA24"/>
  <c r="AA25" s="1"/>
  <c r="AC24"/>
  <c r="S25"/>
  <c r="I29" s="1"/>
  <c r="AN23" i="39"/>
  <c r="AI25"/>
  <c r="V24" i="36"/>
  <c r="W24"/>
  <c r="W25" s="1"/>
  <c r="AI24"/>
  <c r="AA24"/>
  <c r="AA25" s="1"/>
  <c r="AC24"/>
  <c r="S25"/>
  <c r="AN23" i="32"/>
  <c r="AR23" s="1"/>
  <c r="AX23" s="1"/>
  <c r="AZ23" s="1"/>
  <c r="BO23" s="1"/>
  <c r="AI25"/>
  <c r="AH24" i="27"/>
  <c r="AG24"/>
  <c r="AE24"/>
  <c r="AI24" i="74"/>
  <c r="AN23"/>
  <c r="X25" i="38"/>
  <c r="AB23"/>
  <c r="AN23" i="25"/>
  <c r="AI25"/>
  <c r="Y23" i="2"/>
  <c r="V26"/>
  <c r="X25" i="51"/>
  <c r="AB23"/>
  <c r="V24" i="47"/>
  <c r="AB23"/>
  <c r="V24" i="11"/>
  <c r="AB23"/>
  <c r="Y25" i="60"/>
  <c r="Z23"/>
  <c r="Z25" s="1"/>
  <c r="X25" i="39"/>
  <c r="AB23"/>
  <c r="V24" i="63"/>
  <c r="AB23"/>
  <c r="AB24" s="1"/>
  <c r="X25" i="35"/>
  <c r="AB23"/>
  <c r="AE24" i="14"/>
  <c r="AH24"/>
  <c r="AG24"/>
  <c r="AI24" i="15"/>
  <c r="AN23"/>
  <c r="AE23" i="54"/>
  <c r="AE25" s="1"/>
  <c r="AG23" i="55"/>
  <c r="V25" i="20"/>
  <c r="AG23" i="8"/>
  <c r="AB24" i="2"/>
  <c r="S25" i="34"/>
  <c r="AH23" s="1"/>
  <c r="AH25" s="1"/>
  <c r="AA23"/>
  <c r="AA25" s="1"/>
  <c r="X23"/>
  <c r="AI23"/>
  <c r="V24" i="37"/>
  <c r="AB23"/>
  <c r="AE24" i="3"/>
  <c r="AD24"/>
  <c r="W23" i="42"/>
  <c r="W24" s="1"/>
  <c r="S24"/>
  <c r="AH23" s="1"/>
  <c r="AH24" s="1"/>
  <c r="AI23"/>
  <c r="AA23"/>
  <c r="AA24" s="1"/>
  <c r="V23"/>
  <c r="V24" i="15"/>
  <c r="AB23"/>
  <c r="V3" i="5"/>
  <c r="AN23" i="6"/>
  <c r="AI24"/>
  <c r="AD23" i="3"/>
  <c r="AE23"/>
  <c r="AI23" i="68"/>
  <c r="X23"/>
  <c r="S25"/>
  <c r="I29" s="1"/>
  <c r="AA23"/>
  <c r="AA25" s="1"/>
  <c r="AI24" i="59"/>
  <c r="AN23"/>
  <c r="AG24" i="25"/>
  <c r="AH24"/>
  <c r="AE24"/>
  <c r="AA23" i="50"/>
  <c r="AA25" s="1"/>
  <c r="V23"/>
  <c r="S25"/>
  <c r="I29" s="1"/>
  <c r="W23"/>
  <c r="W25" s="1"/>
  <c r="AI23"/>
  <c r="AD25" i="3"/>
  <c r="AE25"/>
  <c r="AB23" i="8"/>
  <c r="V25"/>
  <c r="AI25" i="49"/>
  <c r="AN23"/>
  <c r="AR23" s="1"/>
  <c r="AX23" s="1"/>
  <c r="AZ23" s="1"/>
  <c r="BO23" s="1"/>
  <c r="AG24" i="39"/>
  <c r="AE24"/>
  <c r="AH24"/>
  <c r="AN24" i="10"/>
  <c r="AI25"/>
  <c r="S25" i="26"/>
  <c r="AB23" s="1"/>
  <c r="AF23"/>
  <c r="V23"/>
  <c r="W23"/>
  <c r="W25" s="1"/>
  <c r="AA23" i="30"/>
  <c r="AA25" s="1"/>
  <c r="V23"/>
  <c r="AI23"/>
  <c r="W23"/>
  <c r="W25" s="1"/>
  <c r="S25"/>
  <c r="I29" s="1"/>
  <c r="AF23" i="22"/>
  <c r="V23"/>
  <c r="V25" s="1"/>
  <c r="W23"/>
  <c r="W25" s="1"/>
  <c r="Y23"/>
  <c r="Y25" s="1"/>
  <c r="I30" s="1"/>
  <c r="S25"/>
  <c r="I29" s="1"/>
  <c r="AE23" i="75"/>
  <c r="AH23" i="8"/>
  <c r="AH25" s="1"/>
  <c r="AE24" i="2"/>
  <c r="AG23" i="14"/>
  <c r="AG24" i="54"/>
  <c r="AE24"/>
  <c r="AH24"/>
  <c r="AN23" i="11"/>
  <c r="AI24"/>
  <c r="AB23" i="13"/>
  <c r="AN23" i="51"/>
  <c r="AR23" s="1"/>
  <c r="AX23" s="1"/>
  <c r="AZ23" s="1"/>
  <c r="BO23" s="1"/>
  <c r="AI25"/>
  <c r="U24" i="3"/>
  <c r="V24" s="1"/>
  <c r="AC23" i="62"/>
  <c r="AC24" s="1"/>
  <c r="S24"/>
  <c r="AH23" s="1"/>
  <c r="AH24" s="1"/>
  <c r="AI23"/>
  <c r="AN23" i="55"/>
  <c r="AI25"/>
  <c r="AE24" i="38"/>
  <c r="AH24"/>
  <c r="AG24"/>
  <c r="AI24" i="46"/>
  <c r="AN23"/>
  <c r="AC23" i="67"/>
  <c r="AI24" i="72"/>
  <c r="AN23"/>
  <c r="U25" i="3"/>
  <c r="V25" s="1"/>
  <c r="AN23" i="73"/>
  <c r="AI24"/>
  <c r="V23" i="12"/>
  <c r="W23"/>
  <c r="W25" s="1"/>
  <c r="AI23"/>
  <c r="S25"/>
  <c r="AH23" s="1"/>
  <c r="AH25" s="1"/>
  <c r="AA23"/>
  <c r="AA25" s="1"/>
  <c r="AB24" i="10"/>
  <c r="AB25" s="1"/>
  <c r="V25"/>
  <c r="AI24" i="16"/>
  <c r="X24"/>
  <c r="AA24"/>
  <c r="AA25" s="1"/>
  <c r="AC24"/>
  <c r="S25"/>
  <c r="AH24" s="1"/>
  <c r="AI24" i="67"/>
  <c r="X24"/>
  <c r="AA24"/>
  <c r="AA25" s="1"/>
  <c r="AC24"/>
  <c r="S25"/>
  <c r="I29" s="1"/>
  <c r="AC23" i="61"/>
  <c r="AC24" s="1"/>
  <c r="AH23" i="54"/>
  <c r="AH25" s="1"/>
  <c r="AE23" i="11"/>
  <c r="AE24" s="1"/>
  <c r="AG23" i="75"/>
  <c r="AG24" s="1"/>
  <c r="AE23" i="57"/>
  <c r="AE24" s="1"/>
  <c r="AA25" i="35"/>
  <c r="AH23" i="14"/>
  <c r="AH25" s="1"/>
  <c r="AN23" i="38"/>
  <c r="AI25"/>
  <c r="V25" i="25"/>
  <c r="AB23"/>
  <c r="AF25" i="20"/>
  <c r="AK23"/>
  <c r="AO23" s="1"/>
  <c r="AU23" s="1"/>
  <c r="AW23" s="1"/>
  <c r="BL23" s="1"/>
  <c r="AI24" i="75"/>
  <c r="AN23"/>
  <c r="V25" i="49"/>
  <c r="AB23"/>
  <c r="X24" i="57"/>
  <c r="AB23"/>
  <c r="AI25" i="35"/>
  <c r="AN23"/>
  <c r="AC23" i="36"/>
  <c r="U23" i="3"/>
  <c r="S38"/>
  <c r="I42" s="1"/>
  <c r="AN23" i="33"/>
  <c r="AI24"/>
  <c r="X24" i="59"/>
  <c r="AB23"/>
  <c r="AI24" i="40"/>
  <c r="AN23"/>
  <c r="AN23" i="54"/>
  <c r="AI25"/>
  <c r="X25" i="55"/>
  <c r="AB23"/>
  <c r="V24" i="46"/>
  <c r="AB23"/>
  <c r="V23" i="29"/>
  <c r="W23"/>
  <c r="W25" s="1"/>
  <c r="AI23"/>
  <c r="S25"/>
  <c r="I29" s="1"/>
  <c r="AA23"/>
  <c r="AA25" s="1"/>
  <c r="R21" i="4"/>
  <c r="H26" s="1"/>
  <c r="T6"/>
  <c r="T21" s="1"/>
  <c r="H27" s="1"/>
  <c r="M27" s="1"/>
  <c r="AA23" i="53"/>
  <c r="AA25" s="1"/>
  <c r="AI23"/>
  <c r="X23"/>
  <c r="S25"/>
  <c r="I29" s="1"/>
  <c r="AF24" i="24"/>
  <c r="V24"/>
  <c r="W24"/>
  <c r="W25" s="1"/>
  <c r="S25"/>
  <c r="AE24" s="1"/>
  <c r="AN23" i="8"/>
  <c r="AI25"/>
  <c r="AI25" i="52"/>
  <c r="AN23"/>
  <c r="AR23" s="1"/>
  <c r="AX23" s="1"/>
  <c r="AZ23" s="1"/>
  <c r="BO23" s="1"/>
  <c r="AN23" i="14"/>
  <c r="AI25"/>
  <c r="AB23" i="48"/>
  <c r="V24"/>
  <c r="Y25" i="20"/>
  <c r="I30" s="1"/>
  <c r="I31" s="1"/>
  <c r="AE23" i="27"/>
  <c r="AE25" s="1"/>
  <c r="AH23" i="25"/>
  <c r="AH25" s="1"/>
  <c r="Z23" i="20"/>
  <c r="Z25" s="1"/>
  <c r="AG23" i="11"/>
  <c r="AE24" i="8"/>
  <c r="Y24" i="2"/>
  <c r="Z24" s="1"/>
  <c r="AE23" i="15"/>
  <c r="AE24" s="1"/>
  <c r="AG25" i="25"/>
  <c r="S25" i="23"/>
  <c r="AH23" s="1"/>
  <c r="AH25" s="1"/>
  <c r="AA23"/>
  <c r="V23"/>
  <c r="W23"/>
  <c r="W25" s="1"/>
  <c r="AI23"/>
  <c r="AI24" i="57"/>
  <c r="AN23"/>
  <c r="AI23" i="56"/>
  <c r="X23"/>
  <c r="S25"/>
  <c r="AG23" s="1"/>
  <c r="AA23"/>
  <c r="AA25" s="1"/>
  <c r="T16" i="5"/>
  <c r="U16" s="1"/>
  <c r="V16" s="1"/>
  <c r="AN23" i="27"/>
  <c r="AI25"/>
  <c r="V25"/>
  <c r="AB23"/>
  <c r="S25" i="28"/>
  <c r="AH23" s="1"/>
  <c r="AH25" s="1"/>
  <c r="AA23"/>
  <c r="AA25" s="1"/>
  <c r="V23"/>
  <c r="AI23"/>
  <c r="W23"/>
  <c r="W25" s="1"/>
  <c r="AB25" i="2"/>
  <c r="AE25"/>
  <c r="AD25"/>
  <c r="X25" i="52"/>
  <c r="AB23"/>
  <c r="AI24" i="63"/>
  <c r="AN23"/>
  <c r="AI24" i="80"/>
  <c r="AN23"/>
  <c r="AA23" i="44"/>
  <c r="V23"/>
  <c r="S24"/>
  <c r="AG23" s="1"/>
  <c r="AI23"/>
  <c r="W23"/>
  <c r="W24" s="1"/>
  <c r="AI24" i="61"/>
  <c r="AN23"/>
  <c r="X25" i="14"/>
  <c r="AB23"/>
  <c r="AC23" i="18"/>
  <c r="AH23" i="10"/>
  <c r="AH25" s="1"/>
  <c r="AG23"/>
  <c r="AE23"/>
  <c r="AE25" s="1"/>
  <c r="AI24" i="69"/>
  <c r="X24"/>
  <c r="AA24"/>
  <c r="AA25" s="1"/>
  <c r="AC24"/>
  <c r="S25"/>
  <c r="I29" s="1"/>
  <c r="AE23" i="74"/>
  <c r="AG23" i="15"/>
  <c r="R18" i="5"/>
  <c r="H23" s="1"/>
  <c r="V25" i="32"/>
  <c r="AB23"/>
  <c r="X25" i="54"/>
  <c r="AB23"/>
  <c r="AE24" i="55"/>
  <c r="AH24"/>
  <c r="AG24"/>
  <c r="AG25" i="38"/>
  <c r="AC23" i="16"/>
  <c r="V23" i="21"/>
  <c r="W23"/>
  <c r="W25" s="1"/>
  <c r="AI23"/>
  <c r="S25"/>
  <c r="I29" s="1"/>
  <c r="AA23"/>
  <c r="AA25" s="1"/>
  <c r="AK23" i="2"/>
  <c r="AF26"/>
  <c r="AI24" i="37"/>
  <c r="AN23"/>
  <c r="Y25" i="9"/>
  <c r="Z23"/>
  <c r="Z25" s="1"/>
  <c r="AC23" i="69"/>
  <c r="AN23" i="47"/>
  <c r="AI24"/>
  <c r="S24" i="70"/>
  <c r="AH23" s="1"/>
  <c r="AH24" s="1"/>
  <c r="AI23"/>
  <c r="AC23"/>
  <c r="AC24" s="1"/>
  <c r="V24" i="6"/>
  <c r="AB23"/>
  <c r="V24" i="31"/>
  <c r="W24"/>
  <c r="W25" s="1"/>
  <c r="AI24"/>
  <c r="AA24"/>
  <c r="AA25" s="1"/>
  <c r="AC24"/>
  <c r="S25"/>
  <c r="I29" s="1"/>
  <c r="AC23"/>
  <c r="AN23" i="13"/>
  <c r="AL23" i="9" l="1"/>
  <c r="AO23" s="1"/>
  <c r="AU23" s="1"/>
  <c r="AW23" s="1"/>
  <c r="BL23" s="1"/>
  <c r="AX23" i="47"/>
  <c r="AR23"/>
  <c r="AR23" i="48"/>
  <c r="AX23" s="1"/>
  <c r="AP23" i="71"/>
  <c r="AR23" s="1"/>
  <c r="AX23" s="1"/>
  <c r="AZ23" s="1"/>
  <c r="BO23" s="1"/>
  <c r="AE23" i="13"/>
  <c r="AE25" s="1"/>
  <c r="AG25" i="39"/>
  <c r="AK24" i="78"/>
  <c r="AJ24" i="35"/>
  <c r="AO24" s="1"/>
  <c r="AR24" s="1"/>
  <c r="AX24" s="1"/>
  <c r="AZ24" s="1"/>
  <c r="BO24" s="1"/>
  <c r="AK23" i="80"/>
  <c r="AP23" s="1"/>
  <c r="AR23" s="1"/>
  <c r="AX23" s="1"/>
  <c r="AZ23" s="1"/>
  <c r="BO23" s="1"/>
  <c r="AJ23" i="57"/>
  <c r="AJ24" s="1"/>
  <c r="AD23" i="26"/>
  <c r="AJ23" i="6"/>
  <c r="AO23" s="1"/>
  <c r="AR23" s="1"/>
  <c r="AX23" s="1"/>
  <c r="AZ23" s="1"/>
  <c r="BO23" s="1"/>
  <c r="AK23" i="72"/>
  <c r="AP23" s="1"/>
  <c r="AR23" s="1"/>
  <c r="AX23" s="1"/>
  <c r="AZ23" s="1"/>
  <c r="BO23" s="1"/>
  <c r="AE24"/>
  <c r="AG25" i="60"/>
  <c r="AJ23" i="27"/>
  <c r="AJ25" s="1"/>
  <c r="AG24" i="13"/>
  <c r="AG23" i="2"/>
  <c r="AL23" s="1"/>
  <c r="AO23" s="1"/>
  <c r="AU23" s="1"/>
  <c r="AW23" s="1"/>
  <c r="I31" i="22"/>
  <c r="AH23" i="56"/>
  <c r="AH25" s="1"/>
  <c r="U38" i="3"/>
  <c r="I43" s="1"/>
  <c r="I44" s="1"/>
  <c r="AJ23" i="61"/>
  <c r="AO23" s="1"/>
  <c r="AR23" s="1"/>
  <c r="AX23" s="1"/>
  <c r="AZ23" s="1"/>
  <c r="BO23" s="1"/>
  <c r="AE23" i="12"/>
  <c r="AE25" s="1"/>
  <c r="AH24" i="13"/>
  <c r="AB24" i="24"/>
  <c r="AG24" i="16"/>
  <c r="AJ24" s="1"/>
  <c r="AO24" s="1"/>
  <c r="AG23" i="12"/>
  <c r="AG25" s="1"/>
  <c r="AG24" i="2"/>
  <c r="AL24" s="1"/>
  <c r="AO24" s="1"/>
  <c r="AU24" s="1"/>
  <c r="AW24" s="1"/>
  <c r="AH23" i="13"/>
  <c r="AH25" s="1"/>
  <c r="AI25"/>
  <c r="AJ23" i="46"/>
  <c r="AJ24" s="1"/>
  <c r="AE23" i="28"/>
  <c r="AE25" s="1"/>
  <c r="Z23" i="22"/>
  <c r="Z25" s="1"/>
  <c r="AJ23" i="37"/>
  <c r="AO23" s="1"/>
  <c r="AR23" s="1"/>
  <c r="AX23" s="1"/>
  <c r="AZ23" s="1"/>
  <c r="BO23" s="1"/>
  <c r="AC25" i="18"/>
  <c r="AJ23" i="63"/>
  <c r="AO23" s="1"/>
  <c r="AR23" s="1"/>
  <c r="AX23" s="1"/>
  <c r="AZ23" s="1"/>
  <c r="BO23" s="1"/>
  <c r="AL23" i="58"/>
  <c r="AO23" s="1"/>
  <c r="AG24"/>
  <c r="T18" i="5"/>
  <c r="H24" s="1"/>
  <c r="M24" s="1"/>
  <c r="AJ23" i="40"/>
  <c r="AO23" s="1"/>
  <c r="AR23" s="1"/>
  <c r="AX23" s="1"/>
  <c r="AZ23" s="1"/>
  <c r="BO23" s="1"/>
  <c r="AJ23" i="35"/>
  <c r="AO23" s="1"/>
  <c r="AR23" s="1"/>
  <c r="AX23" s="1"/>
  <c r="AZ23" s="1"/>
  <c r="BO23" s="1"/>
  <c r="AE23" i="56"/>
  <c r="AE25" s="1"/>
  <c r="AE23" i="26"/>
  <c r="AG23" s="1"/>
  <c r="AE23" i="34"/>
  <c r="AE25" s="1"/>
  <c r="AJ23" i="38"/>
  <c r="AJ25" s="1"/>
  <c r="AJ23" i="33"/>
  <c r="AO23" s="1"/>
  <c r="AR23" s="1"/>
  <c r="AX23" s="1"/>
  <c r="AZ23" s="1"/>
  <c r="BO23" s="1"/>
  <c r="AE24" i="13"/>
  <c r="AD24" i="24"/>
  <c r="AG24" s="1"/>
  <c r="AL24" s="1"/>
  <c r="AJ24" i="27"/>
  <c r="AO24" s="1"/>
  <c r="AR24" s="1"/>
  <c r="AX24" s="1"/>
  <c r="AZ24" s="1"/>
  <c r="BO24" s="1"/>
  <c r="AE23" i="62"/>
  <c r="AE24" s="1"/>
  <c r="X25" i="13"/>
  <c r="AG23" i="34"/>
  <c r="AJ23" s="1"/>
  <c r="AJ24" i="55"/>
  <c r="AO24" s="1"/>
  <c r="AR24" s="1"/>
  <c r="AX24" s="1"/>
  <c r="AZ24" s="1"/>
  <c r="BO24" s="1"/>
  <c r="AG23" i="28"/>
  <c r="AJ23" s="1"/>
  <c r="AG23" i="62"/>
  <c r="AG24" s="1"/>
  <c r="AK23" i="73"/>
  <c r="AP23" s="1"/>
  <c r="AR23" s="1"/>
  <c r="AX23" s="1"/>
  <c r="AZ23" s="1"/>
  <c r="BO23" s="1"/>
  <c r="AC25" i="31"/>
  <c r="AJ23" i="59"/>
  <c r="AJ24" s="1"/>
  <c r="AJ24" i="25"/>
  <c r="AO24" s="1"/>
  <c r="AR24" s="1"/>
  <c r="AX24" s="1"/>
  <c r="AZ24" s="1"/>
  <c r="BO24" s="1"/>
  <c r="AG24" i="44"/>
  <c r="AB25" i="14"/>
  <c r="AC23"/>
  <c r="AC25" s="1"/>
  <c r="AN23" i="56"/>
  <c r="AI25"/>
  <c r="X25" i="68"/>
  <c r="AB23"/>
  <c r="AB24" i="15"/>
  <c r="AC23"/>
  <c r="AC24" s="1"/>
  <c r="AB25" i="32"/>
  <c r="I30" s="1"/>
  <c r="I31" s="1"/>
  <c r="AC23"/>
  <c r="AC25" s="1"/>
  <c r="AG24" i="23"/>
  <c r="AH24"/>
  <c r="AE24"/>
  <c r="AB25" i="8"/>
  <c r="AC23"/>
  <c r="AC25" s="1"/>
  <c r="AI25" i="28"/>
  <c r="AN23"/>
  <c r="AH24" i="56"/>
  <c r="AG24"/>
  <c r="AE24"/>
  <c r="AN23" i="29"/>
  <c r="AR23" s="1"/>
  <c r="AX23" s="1"/>
  <c r="AZ23" s="1"/>
  <c r="BO23" s="1"/>
  <c r="AI25"/>
  <c r="AH23" i="16"/>
  <c r="AH25" s="1"/>
  <c r="AG23"/>
  <c r="AE23"/>
  <c r="AE25" s="1"/>
  <c r="V25" i="12"/>
  <c r="AB23"/>
  <c r="AF25" i="22"/>
  <c r="AK23"/>
  <c r="AO23" s="1"/>
  <c r="AU23" s="1"/>
  <c r="AW23" s="1"/>
  <c r="BL23" s="1"/>
  <c r="AG24" i="34"/>
  <c r="AE24"/>
  <c r="AH24"/>
  <c r="AG23" i="36"/>
  <c r="AE23"/>
  <c r="AE25" s="1"/>
  <c r="AH23"/>
  <c r="AH25" s="1"/>
  <c r="AB24" i="18"/>
  <c r="AB25" s="1"/>
  <c r="I30" s="1"/>
  <c r="I31" s="1"/>
  <c r="V25"/>
  <c r="U6" i="4"/>
  <c r="AC25" i="67"/>
  <c r="V18" i="5"/>
  <c r="AC25" i="69"/>
  <c r="V23" i="3"/>
  <c r="V38" s="1"/>
  <c r="AJ24" i="54"/>
  <c r="AO24" s="1"/>
  <c r="AR24" s="1"/>
  <c r="AX24" s="1"/>
  <c r="AZ24" s="1"/>
  <c r="BO24" s="1"/>
  <c r="AR24" i="10"/>
  <c r="AX24" s="1"/>
  <c r="AZ24" s="1"/>
  <c r="BO24" s="1"/>
  <c r="U18" i="5"/>
  <c r="AE24" i="36"/>
  <c r="AG25" i="14"/>
  <c r="AJ23"/>
  <c r="AN24" i="31"/>
  <c r="AR24" s="1"/>
  <c r="AX24" s="1"/>
  <c r="AZ24" s="1"/>
  <c r="BO24" s="1"/>
  <c r="AI25"/>
  <c r="X25" i="56"/>
  <c r="AB23"/>
  <c r="AB25" i="49"/>
  <c r="I30" s="1"/>
  <c r="I31" s="1"/>
  <c r="AC23"/>
  <c r="AC25" s="1"/>
  <c r="AI24" i="42"/>
  <c r="AN23"/>
  <c r="AN23" i="34"/>
  <c r="AI25"/>
  <c r="AB25" i="35"/>
  <c r="AC23"/>
  <c r="AC25" s="1"/>
  <c r="AB25" i="54"/>
  <c r="AC23"/>
  <c r="AC25" s="1"/>
  <c r="AB25" i="27"/>
  <c r="AC23"/>
  <c r="AC25" s="1"/>
  <c r="AJ23" i="11"/>
  <c r="AG24"/>
  <c r="AK24" i="24"/>
  <c r="AF25"/>
  <c r="AB24" i="57"/>
  <c r="AC23"/>
  <c r="AC24" s="1"/>
  <c r="AB25" i="25"/>
  <c r="AC23"/>
  <c r="AC25" s="1"/>
  <c r="AE24" i="75"/>
  <c r="AK23"/>
  <c r="AB23" i="50"/>
  <c r="V25"/>
  <c r="AB24" i="37"/>
  <c r="AC23"/>
  <c r="AC24" s="1"/>
  <c r="AJ23" i="55"/>
  <c r="AG25"/>
  <c r="AB25" i="39"/>
  <c r="AC23"/>
  <c r="AC25" s="1"/>
  <c r="AB25" i="51"/>
  <c r="I30" s="1"/>
  <c r="I31" s="1"/>
  <c r="AC23"/>
  <c r="AC25" s="1"/>
  <c r="AJ23" i="54"/>
  <c r="AE23" i="23"/>
  <c r="AE25" s="1"/>
  <c r="AE24" i="16"/>
  <c r="AG24" i="36"/>
  <c r="AN23" i="21"/>
  <c r="AR23" s="1"/>
  <c r="AX23" s="1"/>
  <c r="AZ23" s="1"/>
  <c r="BO23" s="1"/>
  <c r="AI25"/>
  <c r="AN23" i="70"/>
  <c r="AI24"/>
  <c r="AI24" i="44"/>
  <c r="AN23"/>
  <c r="AB24" i="6"/>
  <c r="AC23"/>
  <c r="AC24" s="1"/>
  <c r="AE24" i="74"/>
  <c r="AK23"/>
  <c r="AG25" i="10"/>
  <c r="AJ23"/>
  <c r="AH24" i="28"/>
  <c r="AG24"/>
  <c r="AE24"/>
  <c r="Y24" i="24"/>
  <c r="V25"/>
  <c r="AN23" i="53"/>
  <c r="AR23" s="1"/>
  <c r="AX23" s="1"/>
  <c r="AZ23" s="1"/>
  <c r="BO23" s="1"/>
  <c r="AI25"/>
  <c r="AB25" i="55"/>
  <c r="AC23"/>
  <c r="AC25" s="1"/>
  <c r="AB25" i="13"/>
  <c r="AC23"/>
  <c r="AC25" s="1"/>
  <c r="AB24" i="36"/>
  <c r="AB25" s="1"/>
  <c r="V25"/>
  <c r="AN24" i="18"/>
  <c r="AR24" s="1"/>
  <c r="AX24" s="1"/>
  <c r="AZ24" s="1"/>
  <c r="BO24" s="1"/>
  <c r="AI25"/>
  <c r="AB24" i="33"/>
  <c r="AC23"/>
  <c r="AC24" s="1"/>
  <c r="AC25" i="16"/>
  <c r="AH23" i="44"/>
  <c r="AH24" s="1"/>
  <c r="AG23" i="23"/>
  <c r="AE23" i="42"/>
  <c r="AE24" s="1"/>
  <c r="AJ24" i="14"/>
  <c r="AO24" s="1"/>
  <c r="AR24" s="1"/>
  <c r="AX24" s="1"/>
  <c r="AZ24" s="1"/>
  <c r="BO24" s="1"/>
  <c r="V25" i="23"/>
  <c r="AB23"/>
  <c r="AB24" i="48"/>
  <c r="I29" s="1"/>
  <c r="I30" s="1"/>
  <c r="AC23"/>
  <c r="AC24" s="1"/>
  <c r="X25" i="53"/>
  <c r="AB23"/>
  <c r="AN24" i="67"/>
  <c r="AR24" s="1"/>
  <c r="AX24" s="1"/>
  <c r="AZ24" s="1"/>
  <c r="BO24" s="1"/>
  <c r="AI25"/>
  <c r="AI25" i="12"/>
  <c r="AN23"/>
  <c r="AE24" i="26"/>
  <c r="AD24"/>
  <c r="AB24"/>
  <c r="AB25" s="1"/>
  <c r="AJ23" i="8"/>
  <c r="AG25"/>
  <c r="AB24" i="47"/>
  <c r="I29" s="1"/>
  <c r="I30" s="1"/>
  <c r="AC23"/>
  <c r="AC24" s="1"/>
  <c r="AB25" i="38"/>
  <c r="AC23"/>
  <c r="AC25" s="1"/>
  <c r="AE23" i="70"/>
  <c r="AE23" i="44"/>
  <c r="AE24" s="1"/>
  <c r="AJ24" i="38"/>
  <c r="AO24" s="1"/>
  <c r="AR24" s="1"/>
  <c r="AX24" s="1"/>
  <c r="AZ24" s="1"/>
  <c r="BO24" s="1"/>
  <c r="AJ24" i="39"/>
  <c r="AO24" s="1"/>
  <c r="AR24" s="1"/>
  <c r="AX24" s="1"/>
  <c r="AZ24" s="1"/>
  <c r="BO24" s="1"/>
  <c r="AG23" i="42"/>
  <c r="AH24" i="36"/>
  <c r="V25" i="29"/>
  <c r="AB23"/>
  <c r="Y26" i="2"/>
  <c r="Z23"/>
  <c r="Z26" s="1"/>
  <c r="AO23" i="39"/>
  <c r="AR23" s="1"/>
  <c r="AX23" s="1"/>
  <c r="AZ23" s="1"/>
  <c r="BO23" s="1"/>
  <c r="AJ25"/>
  <c r="AJ23" i="15"/>
  <c r="AG24"/>
  <c r="AN24" i="69"/>
  <c r="AR24" s="1"/>
  <c r="AX24" s="1"/>
  <c r="AZ24" s="1"/>
  <c r="BO24" s="1"/>
  <c r="AI25"/>
  <c r="AG25" i="56"/>
  <c r="AE23" i="24"/>
  <c r="AE25" s="1"/>
  <c r="AD23"/>
  <c r="AB23"/>
  <c r="AB24" i="46"/>
  <c r="AC23"/>
  <c r="AC24" s="1"/>
  <c r="AB24" i="59"/>
  <c r="AC23"/>
  <c r="AC24" s="1"/>
  <c r="AB24" i="67"/>
  <c r="AB25" s="1"/>
  <c r="I30" s="1"/>
  <c r="I31" s="1"/>
  <c r="X25"/>
  <c r="AN24" i="16"/>
  <c r="AI25"/>
  <c r="AH24" i="12"/>
  <c r="AG24"/>
  <c r="AE24"/>
  <c r="AN23" i="62"/>
  <c r="AI24"/>
  <c r="V25" i="30"/>
  <c r="AB23"/>
  <c r="AN23" i="50"/>
  <c r="AR23" s="1"/>
  <c r="AX23" s="1"/>
  <c r="AZ23" s="1"/>
  <c r="BO23" s="1"/>
  <c r="AI25"/>
  <c r="V24" i="42"/>
  <c r="AB23"/>
  <c r="AB24" i="40"/>
  <c r="AC23"/>
  <c r="AC24" s="1"/>
  <c r="AG23" i="70"/>
  <c r="AG24" s="1"/>
  <c r="V25" i="28"/>
  <c r="AB23"/>
  <c r="V25" i="26"/>
  <c r="Y23"/>
  <c r="V25" i="21"/>
  <c r="AB23"/>
  <c r="AB24" i="31"/>
  <c r="AB25" s="1"/>
  <c r="I30" s="1"/>
  <c r="I31" s="1"/>
  <c r="V25"/>
  <c r="M23" i="5"/>
  <c r="AB24" i="69"/>
  <c r="AB25" s="1"/>
  <c r="I30" s="1"/>
  <c r="I31" s="1"/>
  <c r="X25"/>
  <c r="V24" i="44"/>
  <c r="AB23"/>
  <c r="AB25" i="52"/>
  <c r="I30" s="1"/>
  <c r="I31" s="1"/>
  <c r="AC23"/>
  <c r="AC25" s="1"/>
  <c r="AI25" i="23"/>
  <c r="AN23"/>
  <c r="M26" i="4"/>
  <c r="H28"/>
  <c r="M28" s="1"/>
  <c r="AB24" i="16"/>
  <c r="AB25" s="1"/>
  <c r="X25"/>
  <c r="AN23" i="30"/>
  <c r="AR23" s="1"/>
  <c r="AX23" s="1"/>
  <c r="AZ23" s="1"/>
  <c r="BO23" s="1"/>
  <c r="AI25"/>
  <c r="AF25" i="26"/>
  <c r="AK23"/>
  <c r="AN23" i="68"/>
  <c r="AR23" s="1"/>
  <c r="AX23" s="1"/>
  <c r="AZ23" s="1"/>
  <c r="BO23" s="1"/>
  <c r="AI25"/>
  <c r="X25" i="34"/>
  <c r="AB23"/>
  <c r="AB24" i="11"/>
  <c r="AC23"/>
  <c r="AC24" s="1"/>
  <c r="AN24" i="36"/>
  <c r="AI25"/>
  <c r="AG25" i="2"/>
  <c r="AL25" s="1"/>
  <c r="AO25" s="1"/>
  <c r="AU25" s="1"/>
  <c r="AW25" s="1"/>
  <c r="AJ23" i="25"/>
  <c r="AC25" i="36"/>
  <c r="AZ23" i="47" l="1"/>
  <c r="BO23" s="1"/>
  <c r="AZ23" i="48"/>
  <c r="BO23" s="1"/>
  <c r="AO23" i="27"/>
  <c r="AR23" s="1"/>
  <c r="AX23" s="1"/>
  <c r="AZ23" s="1"/>
  <c r="BO23" s="1"/>
  <c r="AK24" i="72"/>
  <c r="AJ24" i="6"/>
  <c r="AJ23" i="56"/>
  <c r="AO23" s="1"/>
  <c r="AR23" s="1"/>
  <c r="AX23" s="1"/>
  <c r="AZ23" s="1"/>
  <c r="BO23" s="1"/>
  <c r="AK24" i="80"/>
  <c r="AO23" i="59"/>
  <c r="AR23" s="1"/>
  <c r="AX23" s="1"/>
  <c r="AZ23" s="1"/>
  <c r="BO23" s="1"/>
  <c r="AJ25" i="35"/>
  <c r="AB25" i="24"/>
  <c r="AO23" i="57"/>
  <c r="AR23" s="1"/>
  <c r="AX23" s="1"/>
  <c r="AZ23" s="1"/>
  <c r="BO23" s="1"/>
  <c r="AR24" i="16"/>
  <c r="AX24" s="1"/>
  <c r="AZ24" s="1"/>
  <c r="BO24" s="1"/>
  <c r="AG26" i="2"/>
  <c r="AJ24" i="13"/>
  <c r="AO24" s="1"/>
  <c r="AR24" s="1"/>
  <c r="AX24" s="1"/>
  <c r="AZ24" s="1"/>
  <c r="BO24" s="1"/>
  <c r="AJ24" i="37"/>
  <c r="AJ23" i="12"/>
  <c r="AO23" s="1"/>
  <c r="AR23" s="1"/>
  <c r="AX23" s="1"/>
  <c r="AZ23" s="1"/>
  <c r="BO23" s="1"/>
  <c r="AJ24" i="40"/>
  <c r="AJ24" i="61"/>
  <c r="AJ23" i="13"/>
  <c r="AJ25" s="1"/>
  <c r="AG25" i="28"/>
  <c r="H25" i="5"/>
  <c r="M25" s="1"/>
  <c r="AJ24" i="12"/>
  <c r="AO24" s="1"/>
  <c r="AR24" s="1"/>
  <c r="AX24" s="1"/>
  <c r="AZ24" s="1"/>
  <c r="BO24" s="1"/>
  <c r="AO23" i="46"/>
  <c r="AR23" s="1"/>
  <c r="AX23" s="1"/>
  <c r="AZ23" s="1"/>
  <c r="BO23" s="1"/>
  <c r="AJ24" i="33"/>
  <c r="AK23" i="62"/>
  <c r="AP23" s="1"/>
  <c r="AR23" s="1"/>
  <c r="AX23" s="1"/>
  <c r="AZ23" s="1"/>
  <c r="BO23" s="1"/>
  <c r="AJ24" i="34"/>
  <c r="AO24" s="1"/>
  <c r="AR24" s="1"/>
  <c r="AX24" s="1"/>
  <c r="AZ24" s="1"/>
  <c r="BO24" s="1"/>
  <c r="AE25" i="26"/>
  <c r="AG25" i="34"/>
  <c r="AO23" i="38"/>
  <c r="AR23" s="1"/>
  <c r="AX23" s="1"/>
  <c r="AZ23" s="1"/>
  <c r="BO23" s="1"/>
  <c r="AJ24" i="63"/>
  <c r="AG24" i="26"/>
  <c r="AL24" s="1"/>
  <c r="AO24" s="1"/>
  <c r="AU24" s="1"/>
  <c r="AW24" s="1"/>
  <c r="BL24" s="1"/>
  <c r="AJ24" i="56"/>
  <c r="AO24" s="1"/>
  <c r="AR24" s="1"/>
  <c r="AX24" s="1"/>
  <c r="AZ24" s="1"/>
  <c r="BO24" s="1"/>
  <c r="AK24" i="73"/>
  <c r="AJ23" i="44"/>
  <c r="AJ24" s="1"/>
  <c r="AP23" i="75"/>
  <c r="AR23" s="1"/>
  <c r="AX23" s="1"/>
  <c r="AZ23" s="1"/>
  <c r="BO23" s="1"/>
  <c r="AK24"/>
  <c r="AO23" i="28"/>
  <c r="AR23" s="1"/>
  <c r="AX23" s="1"/>
  <c r="AZ23" s="1"/>
  <c r="BO23" s="1"/>
  <c r="AJ25"/>
  <c r="AB25" i="29"/>
  <c r="I30" s="1"/>
  <c r="I31" s="1"/>
  <c r="AC23"/>
  <c r="AC25" s="1"/>
  <c r="AG25" i="23"/>
  <c r="AJ23"/>
  <c r="AB25" i="50"/>
  <c r="I30" s="1"/>
  <c r="I31" s="1"/>
  <c r="AC23"/>
  <c r="AC25" s="1"/>
  <c r="AB25" i="68"/>
  <c r="I30" s="1"/>
  <c r="I31" s="1"/>
  <c r="AC23"/>
  <c r="AC25" s="1"/>
  <c r="AJ24" i="28"/>
  <c r="AO24" s="1"/>
  <c r="AR24" s="1"/>
  <c r="AX24" s="1"/>
  <c r="AZ24" s="1"/>
  <c r="BO24" s="1"/>
  <c r="AJ24" i="36"/>
  <c r="AO24" s="1"/>
  <c r="AR24" s="1"/>
  <c r="AX24" s="1"/>
  <c r="AZ24" s="1"/>
  <c r="BO24" s="1"/>
  <c r="AJ25" i="8"/>
  <c r="AO23"/>
  <c r="AR23" s="1"/>
  <c r="AB25" i="34"/>
  <c r="AC23"/>
  <c r="AC25" s="1"/>
  <c r="AB25" i="28"/>
  <c r="AC23"/>
  <c r="AC25" s="1"/>
  <c r="AB25" i="23"/>
  <c r="AC23"/>
  <c r="AC25" s="1"/>
  <c r="AO23" i="14"/>
  <c r="AR23" s="1"/>
  <c r="AX23" s="1"/>
  <c r="AZ23" s="1"/>
  <c r="BO23" s="1"/>
  <c r="AJ25"/>
  <c r="AJ23" i="16"/>
  <c r="AG25"/>
  <c r="Y25" i="24"/>
  <c r="Z24"/>
  <c r="Z25" s="1"/>
  <c r="AO23" i="25"/>
  <c r="AR23" s="1"/>
  <c r="AX23" s="1"/>
  <c r="AZ23" s="1"/>
  <c r="BO23" s="1"/>
  <c r="AJ25"/>
  <c r="Y25" i="26"/>
  <c r="Z23"/>
  <c r="Z25" s="1"/>
  <c r="AL23"/>
  <c r="AO23" s="1"/>
  <c r="AU23" s="1"/>
  <c r="AW23" s="1"/>
  <c r="BL23" s="1"/>
  <c r="AB25" i="56"/>
  <c r="AC23"/>
  <c r="AC25" s="1"/>
  <c r="U21" i="4"/>
  <c r="V6"/>
  <c r="V21" s="1"/>
  <c r="AB25" i="30"/>
  <c r="I30" s="1"/>
  <c r="I31" s="1"/>
  <c r="AC23"/>
  <c r="AC25" s="1"/>
  <c r="AE24" i="70"/>
  <c r="AK23"/>
  <c r="AB24" i="42"/>
  <c r="AC23"/>
  <c r="AC24" s="1"/>
  <c r="AK24" i="74"/>
  <c r="AP23"/>
  <c r="AR23" s="1"/>
  <c r="AX23" s="1"/>
  <c r="AZ23" s="1"/>
  <c r="BO23" s="1"/>
  <c r="AO23" i="34"/>
  <c r="AR23" s="1"/>
  <c r="AX23" s="1"/>
  <c r="AZ23" s="1"/>
  <c r="BO23" s="1"/>
  <c r="AJ25"/>
  <c r="AD25" i="24"/>
  <c r="AG23"/>
  <c r="AO23" i="10"/>
  <c r="AR23" s="1"/>
  <c r="AX23" s="1"/>
  <c r="AZ23" s="1"/>
  <c r="BO23" s="1"/>
  <c r="AJ25"/>
  <c r="AO23" i="54"/>
  <c r="AR23" s="1"/>
  <c r="AX23" s="1"/>
  <c r="AZ23" s="1"/>
  <c r="BO23" s="1"/>
  <c r="AJ25"/>
  <c r="AO23" i="55"/>
  <c r="AR23" s="1"/>
  <c r="AX23" s="1"/>
  <c r="AZ23" s="1"/>
  <c r="BO23" s="1"/>
  <c r="AJ25"/>
  <c r="AO23" i="11"/>
  <c r="AR23" s="1"/>
  <c r="AX23" s="1"/>
  <c r="AZ23" s="1"/>
  <c r="BO23" s="1"/>
  <c r="AJ24"/>
  <c r="AO24" i="24"/>
  <c r="AU24" s="1"/>
  <c r="AW24" s="1"/>
  <c r="BL24" s="1"/>
  <c r="AD25" i="26"/>
  <c r="AB24" i="44"/>
  <c r="AC23"/>
  <c r="AC24" s="1"/>
  <c r="AB25" i="21"/>
  <c r="I30" s="1"/>
  <c r="I31" s="1"/>
  <c r="AC23"/>
  <c r="AC25" s="1"/>
  <c r="AJ24" i="15"/>
  <c r="AO23"/>
  <c r="AR23" s="1"/>
  <c r="AX23" s="1"/>
  <c r="AZ23" s="1"/>
  <c r="BO23" s="1"/>
  <c r="AJ23" i="42"/>
  <c r="AG24"/>
  <c r="AB25" i="53"/>
  <c r="I30" s="1"/>
  <c r="I31" s="1"/>
  <c r="AC23"/>
  <c r="AC25" s="1"/>
  <c r="AJ23" i="36"/>
  <c r="AG25"/>
  <c r="AB25" i="12"/>
  <c r="AC23"/>
  <c r="AC25" s="1"/>
  <c r="AJ24" i="23"/>
  <c r="AO24" s="1"/>
  <c r="AR24" s="1"/>
  <c r="AX24" s="1"/>
  <c r="AZ24" s="1"/>
  <c r="BO24" s="1"/>
  <c r="AZ23" i="8" l="1"/>
  <c r="BO23" s="1"/>
  <c r="AX23"/>
  <c r="AJ25" i="56"/>
  <c r="AJ25" i="12"/>
  <c r="AG25" i="26"/>
  <c r="AK24" i="62"/>
  <c r="AO23" i="13"/>
  <c r="AR23" s="1"/>
  <c r="AX23" s="1"/>
  <c r="AZ23" s="1"/>
  <c r="BO23" s="1"/>
  <c r="AO23" i="44"/>
  <c r="AR23" s="1"/>
  <c r="AX23" s="1"/>
  <c r="AZ23" s="1"/>
  <c r="BO23" s="1"/>
  <c r="AJ24" i="42"/>
  <c r="AO23"/>
  <c r="AR23" s="1"/>
  <c r="AX23" s="1"/>
  <c r="AZ23" s="1"/>
  <c r="BO23" s="1"/>
  <c r="AJ25" i="16"/>
  <c r="AO23"/>
  <c r="AR23" s="1"/>
  <c r="AX23" s="1"/>
  <c r="AZ23" s="1"/>
  <c r="BO23" s="1"/>
  <c r="AJ25" i="36"/>
  <c r="AO23"/>
  <c r="AR23" s="1"/>
  <c r="AX23" s="1"/>
  <c r="AZ23" s="1"/>
  <c r="BO23" s="1"/>
  <c r="AL23" i="24"/>
  <c r="AO23" s="1"/>
  <c r="AU23" s="1"/>
  <c r="AW23" s="1"/>
  <c r="BL23" s="1"/>
  <c r="AG25"/>
  <c r="AK24" i="70"/>
  <c r="AP23"/>
  <c r="AR23" s="1"/>
  <c r="AX23" s="1"/>
  <c r="AZ23" s="1"/>
  <c r="BO23" s="1"/>
  <c r="AO23" i="23"/>
  <c r="AR23" s="1"/>
  <c r="AX23" s="1"/>
  <c r="AZ23" s="1"/>
  <c r="BO23" s="1"/>
  <c r="AJ25"/>
</calcChain>
</file>

<file path=xl/sharedStrings.xml><?xml version="1.0" encoding="utf-8"?>
<sst xmlns="http://schemas.openxmlformats.org/spreadsheetml/2006/main" count="28295" uniqueCount="702">
  <si>
    <t>Before StockQty</t>
  </si>
  <si>
    <t>Before StockCost</t>
  </si>
  <si>
    <t>current qty</t>
  </si>
  <si>
    <t>current unit cost</t>
  </si>
  <si>
    <t>AfterQty</t>
  </si>
  <si>
    <t>After UnitCost</t>
  </si>
  <si>
    <t>ITEM_NAME</t>
  </si>
  <si>
    <t>LOT_SERIAL</t>
  </si>
  <si>
    <t>LOT_NUMBER</t>
  </si>
  <si>
    <t>SERIAL_NUMBER</t>
  </si>
  <si>
    <t>WH</t>
  </si>
  <si>
    <t>Gross Amount</t>
  </si>
  <si>
    <t>TDA</t>
  </si>
  <si>
    <t>TD</t>
  </si>
  <si>
    <t>TDAMNT</t>
  </si>
  <si>
    <t>SPDA</t>
  </si>
  <si>
    <t>SPD</t>
  </si>
  <si>
    <t>SDAMNT</t>
  </si>
  <si>
    <t>CDA</t>
  </si>
  <si>
    <t>CD</t>
  </si>
  <si>
    <t>CDAMNT</t>
  </si>
  <si>
    <t>LINE AMOUNT</t>
  </si>
  <si>
    <t>ChargesBasis</t>
  </si>
  <si>
    <t>ItemName</t>
  </si>
  <si>
    <t>Amount</t>
  </si>
  <si>
    <t>GLAccount</t>
  </si>
  <si>
    <t>1142.6</t>
  </si>
  <si>
    <t>138.84932</t>
  </si>
  <si>
    <t>TVS-RM-NA-10001</t>
  </si>
  <si>
    <t>NA</t>
  </si>
  <si>
    <t>RM</t>
  </si>
  <si>
    <t>R100</t>
  </si>
  <si>
    <t>P</t>
  </si>
  <si>
    <t>FRIEGHT CHARGES</t>
  </si>
  <si>
    <t>EXPENSE DOCUMENT 3</t>
  </si>
  <si>
    <t>8662</t>
  </si>
  <si>
    <t>100.66498</t>
  </si>
  <si>
    <t>HK-RM-LOT-PULL ITEM-10001</t>
  </si>
  <si>
    <t>LOT</t>
  </si>
  <si>
    <t>RMS</t>
  </si>
  <si>
    <t>V</t>
  </si>
  <si>
    <t>PACKING CHARGES</t>
  </si>
  <si>
    <t>11402</t>
  </si>
  <si>
    <t>262.41303</t>
  </si>
  <si>
    <t>HK-FIFO-SER-BATCH-10001</t>
  </si>
  <si>
    <t>SERIAL</t>
  </si>
  <si>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</si>
  <si>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</si>
  <si>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</si>
  <si>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</si>
  <si>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</si>
  <si>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</si>
  <si>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</si>
  <si>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</si>
  <si>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</si>
  <si>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</si>
  <si>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</si>
  <si>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</si>
  <si>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</si>
  <si>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</si>
  <si>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</si>
  <si>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</si>
  <si>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</si>
  <si>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</si>
  <si>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</si>
  <si>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</si>
  <si>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</si>
  <si>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</si>
  <si>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</si>
  <si>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</si>
  <si>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</si>
  <si>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</si>
  <si>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</si>
  <si>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</si>
  <si>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</si>
  <si>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</si>
  <si>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</si>
  <si>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</si>
  <si>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</si>
  <si>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</si>
  <si>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</si>
  <si>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</si>
  <si>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</si>
  <si>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</si>
  <si>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</si>
  <si>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</si>
  <si>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</si>
  <si>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</si>
  <si>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</si>
  <si>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</si>
  <si>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Purchase)</t>
  </si>
  <si>
    <t xml:space="preserve">Cur. </t>
  </si>
  <si>
    <t>INR</t>
  </si>
  <si>
    <t>Ex. Rate</t>
  </si>
  <si>
    <t>Apportion Basis</t>
  </si>
  <si>
    <t>1 - Value Based, 2 Weight/Volume Based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</si>
  <si>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</si>
  <si>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</si>
  <si>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</si>
  <si>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</si>
  <si>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</si>
  <si>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</si>
  <si>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</si>
  <si>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</si>
  <si>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</si>
  <si>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</si>
  <si>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</si>
  <si>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</si>
  <si>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</si>
  <si>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</si>
  <si>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</si>
  <si>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</si>
  <si>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</si>
  <si>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</si>
  <si>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</si>
  <si>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</si>
  <si>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</si>
  <si>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</si>
  <si>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</si>
  <si>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</si>
  <si>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</si>
  <si>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</si>
  <si>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</si>
  <si>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</si>
  <si>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</si>
  <si>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</si>
  <si>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</si>
  <si>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</si>
  <si>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</si>
  <si>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</si>
  <si>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</si>
  <si>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</si>
  <si>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</si>
  <si>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</si>
  <si>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</si>
  <si>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</si>
  <si>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</si>
  <si>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</si>
  <si>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</si>
  <si>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</si>
  <si>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Locator Trans</t>
  </si>
  <si>
    <t>Batch Stocks</t>
  </si>
  <si>
    <t>Stock Ledger</t>
  </si>
  <si>
    <t>Stock As on Date (Qty)</t>
  </si>
  <si>
    <t>Stock As on Date (Qty &amp; vALUE)</t>
  </si>
  <si>
    <t/>
  </si>
  <si>
    <t>HSN1</t>
  </si>
  <si>
    <t>1152.6</t>
  </si>
  <si>
    <t>138.28799</t>
  </si>
  <si>
    <t>Receipt Qty &amp; Unit cost</t>
  </si>
  <si>
    <t>8682</t>
  </si>
  <si>
    <t>100.77471</t>
  </si>
  <si>
    <t>RML</t>
  </si>
  <si>
    <t>Tax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</si>
  <si>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</si>
  <si>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</si>
  <si>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</si>
  <si>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</si>
  <si>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</si>
  <si>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</si>
  <si>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</si>
  <si>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</si>
  <si>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</si>
  <si>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</si>
  <si>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</si>
  <si>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</si>
  <si>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</si>
  <si>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</si>
  <si>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</si>
  <si>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</si>
  <si>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</si>
  <si>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</si>
  <si>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</si>
  <si>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</si>
  <si>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</si>
  <si>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</si>
  <si>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</si>
  <si>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</si>
  <si>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</si>
  <si>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</si>
  <si>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</si>
  <si>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</si>
  <si>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</si>
  <si>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</si>
  <si>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</si>
  <si>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</si>
  <si>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</si>
  <si>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</si>
  <si>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</si>
  <si>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</si>
  <si>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</si>
  <si>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</si>
  <si>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</si>
  <si>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</si>
  <si>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</si>
  <si>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</si>
  <si>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</si>
  <si>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</si>
  <si>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</si>
  <si>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</si>
  <si>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</si>
  <si>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</si>
  <si>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</si>
  <si>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</si>
  <si>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</si>
  <si>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</si>
  <si>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</si>
  <si>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</si>
  <si>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</si>
  <si>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</si>
  <si>
    <t>(1 - Local Purchase,2 Interstate Purchase, 3 Import Purchase,4-UTGST)</t>
  </si>
  <si>
    <t>(1 - Registered, 2 - Unregistered)</t>
  </si>
  <si>
    <t>UTGST</t>
  </si>
  <si>
    <t>Cess%</t>
  </si>
  <si>
    <t>CESS</t>
  </si>
  <si>
    <t>Ins. WH</t>
  </si>
  <si>
    <t>Lot / Serial Trans</t>
  </si>
  <si>
    <t>Sou.WH</t>
  </si>
  <si>
    <t>Unitcost Before Post For Source Warehouse</t>
  </si>
  <si>
    <t>Qty Before Post For Source WareHouse</t>
  </si>
  <si>
    <t>Qty After Post forSource Warehouse</t>
  </si>
  <si>
    <t>ROAU-KDK-SERVICE-01</t>
  </si>
  <si>
    <t>INS KD</t>
  </si>
  <si>
    <t>2</t>
  </si>
  <si>
    <t>234.33</t>
  </si>
  <si>
    <t>4246.0596</t>
  </si>
  <si>
    <t>10</t>
  </si>
  <si>
    <t>ROAU-RM-KDK-NA-05</t>
  </si>
  <si>
    <t>400</t>
  </si>
  <si>
    <t>INS</t>
  </si>
  <si>
    <t>RM KD</t>
  </si>
  <si>
    <t>ROAU-RM-KDK-FP-001</t>
  </si>
  <si>
    <t>250</t>
  </si>
  <si>
    <t>ROAU-KDK-SERVICE-RATECONTRACT-01</t>
  </si>
  <si>
    <t>200</t>
  </si>
  <si>
    <t>14090</t>
  </si>
  <si>
    <t>121.18128</t>
  </si>
  <si>
    <t>147.00901</t>
  </si>
  <si>
    <t>687</t>
  </si>
  <si>
    <t>0</t>
  </si>
  <si>
    <t>376.48</t>
  </si>
  <si>
    <t>282.33</t>
  </si>
  <si>
    <t>24</t>
  </si>
  <si>
    <t>233.6334</t>
  </si>
  <si>
    <t>ROAU-RM-KDK-01 PriceList</t>
  </si>
  <si>
    <t>186.32</t>
  </si>
  <si>
    <t>187.04002</t>
  </si>
  <si>
    <t>60</t>
  </si>
  <si>
    <t>ROAU-RM-KDK-02 PriceList</t>
  </si>
  <si>
    <t>375.36</t>
  </si>
  <si>
    <t>ROAU-RM-KDK-QC-WIP-RC-01</t>
  </si>
  <si>
    <t>455</t>
  </si>
  <si>
    <t>426.97</t>
  </si>
  <si>
    <t>ROAU-RM-KDK-QC-WOIP-RC-01</t>
  </si>
  <si>
    <t>500</t>
  </si>
  <si>
    <t>6</t>
  </si>
  <si>
    <t>469.2</t>
  </si>
  <si>
    <t>ROAU-RM-KDK-01 RateContract</t>
  </si>
  <si>
    <t>878</t>
  </si>
  <si>
    <t>2.34</t>
  </si>
  <si>
    <t>821.05</t>
  </si>
  <si>
    <t>243</t>
  </si>
  <si>
    <t>3.4</t>
  </si>
  <si>
    <t>3</t>
  </si>
  <si>
    <t>224.82864</t>
  </si>
  <si>
    <t>224.94784</t>
  </si>
  <si>
    <t>12</t>
  </si>
  <si>
    <t>TVS-RM-KDK-26</t>
  </si>
  <si>
    <t>1230</t>
  </si>
  <si>
    <t>1</t>
  </si>
  <si>
    <t>430</t>
  </si>
  <si>
    <t>1186.87507</t>
  </si>
  <si>
    <t>1162.57255</t>
  </si>
  <si>
    <t>236</t>
  </si>
  <si>
    <t>TVS-RM-KDK-25</t>
  </si>
  <si>
    <t>253</t>
  </si>
  <si>
    <t>340</t>
  </si>
  <si>
    <t>248.12541</t>
  </si>
  <si>
    <t>247.59472</t>
  </si>
  <si>
    <t>357</t>
  </si>
  <si>
    <t>PK-SER-MAC-10001</t>
  </si>
  <si>
    <t>524</t>
  </si>
  <si>
    <t>16387</t>
  </si>
  <si>
    <t>509.25058</t>
  </si>
  <si>
    <t>513.25356</t>
  </si>
  <si>
    <t>202</t>
  </si>
  <si>
    <t>PK-NA-MAC-10001</t>
  </si>
  <si>
    <t>232</t>
  </si>
  <si>
    <t>2.32</t>
  </si>
  <si>
    <t>12246</t>
  </si>
  <si>
    <t>225.96069</t>
  </si>
  <si>
    <t>RMM</t>
  </si>
  <si>
    <t>226.54416</t>
  </si>
  <si>
    <t>3569</t>
  </si>
  <si>
    <t>old qty</t>
  </si>
  <si>
    <t>old unit cost</t>
  </si>
  <si>
    <t>513.39166</t>
  </si>
  <si>
    <t>ROAU-RM-KDK-QC-WOIP-UD-01</t>
  </si>
  <si>
    <t>234.6</t>
  </si>
  <si>
    <t>ROAU-RM-KDK-QC-WIP-UD-01</t>
  </si>
  <si>
    <t>234</t>
  </si>
  <si>
    <t>4</t>
  </si>
  <si>
    <t>215.1162</t>
  </si>
  <si>
    <t>215.105</t>
  </si>
  <si>
    <t>TVS-SIM-135555</t>
  </si>
  <si>
    <t>249.255</t>
  </si>
  <si>
    <t>2467.60144</t>
  </si>
  <si>
    <t>18</t>
  </si>
  <si>
    <t>100</t>
  </si>
  <si>
    <t>INS PK</t>
  </si>
  <si>
    <t>93.84</t>
  </si>
  <si>
    <t>RM U4</t>
  </si>
  <si>
    <t>187.68</t>
  </si>
  <si>
    <t>2.1</t>
  </si>
  <si>
    <t>330.98625</t>
  </si>
  <si>
    <t>269.19614</t>
  </si>
  <si>
    <t>186.89799</t>
  </si>
  <si>
    <t>80</t>
  </si>
  <si>
    <t>ROAU-KDK-SERVICE-PRICELIST-01</t>
  </si>
  <si>
    <t>16</t>
  </si>
  <si>
    <t>185.81481</t>
  </si>
  <si>
    <t>184.66239</t>
  </si>
  <si>
    <t>PK-SERV-MAC-NA-01</t>
  </si>
  <si>
    <t>ROAU-RM-KDK-QC-WOIP-PL-01</t>
  </si>
  <si>
    <t>360.26064</t>
  </si>
  <si>
    <t>339.39847</t>
  </si>
  <si>
    <t>ROAU-RM-KDK-QC-WIP-PL-01</t>
  </si>
  <si>
    <t>367.695</t>
  </si>
  <si>
    <t>TVS-SIM-741823</t>
  </si>
  <si>
    <t>INS.WH7</t>
  </si>
  <si>
    <t>1166.005</t>
  </si>
  <si>
    <t>RM7</t>
  </si>
  <si>
    <t>793.335</t>
  </si>
  <si>
    <t>TVS-SIM-743669</t>
  </si>
  <si>
    <t>239.835</t>
  </si>
  <si>
    <t>181.56917</t>
  </si>
  <si>
    <t>418.0975</t>
  </si>
  <si>
    <t>8</t>
  </si>
  <si>
    <t>318.342</t>
  </si>
  <si>
    <t>TVS-SIM-709479</t>
  </si>
  <si>
    <t>244</t>
  </si>
  <si>
    <t>228.97</t>
  </si>
  <si>
    <t>TVS-SIM-7646</t>
  </si>
  <si>
    <t>344</t>
  </si>
  <si>
    <t>319.51</t>
  </si>
  <si>
    <t>319.81167</t>
  </si>
  <si>
    <t>TVS-SIM-494005</t>
  </si>
  <si>
    <t>INS WH</t>
  </si>
  <si>
    <t>RM LWH</t>
  </si>
  <si>
    <t>TVS-SIM-975953</t>
  </si>
  <si>
    <t>544.88833</t>
  </si>
  <si>
    <t>TVS-SIM-003386</t>
  </si>
  <si>
    <t>152.43625</t>
  </si>
  <si>
    <t>TVS-SIM-634899</t>
  </si>
  <si>
    <t>2.3</t>
  </si>
  <si>
    <t>TVS-SIM-757992</t>
  </si>
  <si>
    <t>2.5</t>
  </si>
  <si>
    <t>5</t>
  </si>
  <si>
    <t>133.33333</t>
  </si>
  <si>
    <t>15</t>
  </si>
  <si>
    <t>600</t>
  </si>
  <si>
    <t>ROAU-RM-KDK-FP-ST-UD-01</t>
  </si>
  <si>
    <t>455.67</t>
  </si>
  <si>
    <t>431.965</t>
  </si>
  <si>
    <t>RM-U4</t>
  </si>
  <si>
    <t>ROAU-RM-KDK-FP-ST-UD-02</t>
  </si>
  <si>
    <t>345</t>
  </si>
  <si>
    <t>323.75</t>
  </si>
  <si>
    <t>TVS-SIM-4940190</t>
  </si>
  <si>
    <t>ROAU-RM-KDK-QC-WOIP-DISS-UD-01</t>
  </si>
  <si>
    <t>731.11</t>
  </si>
  <si>
    <t>ROAU-RM-KDK-QC-WIP-DISS-UD-01</t>
  </si>
  <si>
    <t>HSN2</t>
  </si>
  <si>
    <t>427.09333</t>
  </si>
  <si>
    <t>ACPT</t>
  </si>
  <si>
    <t>Acpt Qty. * Insp. Unit Cost + OLD. Qty in GRN WH * OLD Unitcost in GRN WH / Acpt. Qty + OLD. Qty in GRN WH</t>
  </si>
  <si>
    <t>REJ</t>
  </si>
  <si>
    <t>Rej Qty. * Insp. Unit Cost + OLD. Qty in REJ WH * OLD Unitcost in REJ WH / Acpt. Qty + OLD. Qty in REJ WH</t>
  </si>
  <si>
    <t>old</t>
  </si>
  <si>
    <t>new</t>
  </si>
  <si>
    <t>acpt Qty</t>
  </si>
  <si>
    <t>Inspection Unit Cost</t>
  </si>
  <si>
    <t>old Qty</t>
  </si>
  <si>
    <t>old UnitCost</t>
  </si>
  <si>
    <t>ROAU-RM-KDK-DIS-08 RateContract</t>
  </si>
  <si>
    <t>1659.6</t>
  </si>
  <si>
    <t>ROAU-RM-KDK-DIS-08 PriceList</t>
  </si>
  <si>
    <t>TVS-DIS-620830</t>
  </si>
  <si>
    <t>230</t>
  </si>
  <si>
    <t>646.1088</t>
  </si>
  <si>
    <t>TVS-DIS-620831</t>
  </si>
  <si>
    <t>2.89</t>
  </si>
  <si>
    <t>656.94321</t>
  </si>
  <si>
    <t>ROAU-RM-KDK-QC-WOIP-DISS-RC-01</t>
  </si>
  <si>
    <t>ROAU-RM-KDK-QC-WIP-DISS-RC-01</t>
  </si>
  <si>
    <t>TVS-DIS-620832</t>
  </si>
  <si>
    <t>642.0008</t>
  </si>
  <si>
    <t>62.5</t>
  </si>
  <si>
    <t>TVS-DIS-620833</t>
  </si>
  <si>
    <t>1.24</t>
  </si>
  <si>
    <t>441.62929</t>
  </si>
  <si>
    <t>70</t>
  </si>
  <si>
    <t>ROAU-RM-KDK-QC-WIP-DISS-PL-01</t>
  </si>
  <si>
    <t>ROAU-RM-KDK-QC-WOIP-DISS-PL-01</t>
  </si>
  <si>
    <t>237</t>
  </si>
  <si>
    <t>2.8</t>
  </si>
  <si>
    <t>440.2256</t>
  </si>
  <si>
    <t>87.5</t>
  </si>
  <si>
    <t>ROAU-RM-KDK-DIS-09 RateContract</t>
  </si>
  <si>
    <t>456</t>
  </si>
  <si>
    <t>849.63</t>
  </si>
  <si>
    <t>939.07079</t>
  </si>
  <si>
    <t>88.667</t>
  </si>
  <si>
    <t>1404.58333</t>
  </si>
  <si>
    <t>1407.75549</t>
  </si>
  <si>
    <t>273</t>
  </si>
  <si>
    <t>ROAU-RM-KDK-DIS-09 PriceList</t>
  </si>
  <si>
    <t>300</t>
  </si>
  <si>
    <t>834.152</t>
  </si>
  <si>
    <t>255</t>
  </si>
  <si>
    <t>ROAU-DISSIMILAR-KDK-03</t>
  </si>
  <si>
    <t>487.4072</t>
  </si>
  <si>
    <t>75</t>
  </si>
  <si>
    <t>ROAU-DISSIMILAR-KDK-02</t>
  </si>
  <si>
    <t>284.72929</t>
  </si>
  <si>
    <t>84</t>
  </si>
  <si>
    <t>45</t>
  </si>
  <si>
    <t>84.2752</t>
  </si>
  <si>
    <t>639.51643</t>
  </si>
  <si>
    <t>98</t>
  </si>
  <si>
    <t>ROAU-RM-KDK-FP-ST-DISS-UD-01</t>
  </si>
  <si>
    <t>ROAU-RM-KDK-FP-ST-DISS-UD-02</t>
  </si>
  <si>
    <t>ROAU-RM-KDK-FP-ST-DISS-RC-01</t>
  </si>
  <si>
    <t>ROAU-RM-KDK-FP-ST-DISS-RC-02</t>
  </si>
  <si>
    <t>ROAU-RM-KDK-FP-ST-DISS-PL-01</t>
  </si>
  <si>
    <t>233</t>
  </si>
  <si>
    <t>ROAU-RM-KDK-FP-ST-DISS-PL-02</t>
  </si>
  <si>
    <t>TVS-RM-KPK-01</t>
  </si>
  <si>
    <t>115</t>
  </si>
  <si>
    <t>312.03245</t>
  </si>
  <si>
    <t>RMLG</t>
  </si>
  <si>
    <t>RMG</t>
  </si>
  <si>
    <t>139.07433</t>
  </si>
  <si>
    <t>192.5</t>
  </si>
  <si>
    <t>KD-DISS-896601</t>
  </si>
  <si>
    <t>76</t>
  </si>
  <si>
    <t>219.51529</t>
  </si>
  <si>
    <t>RML2</t>
  </si>
  <si>
    <t>164.96657</t>
  </si>
  <si>
    <t>124</t>
  </si>
  <si>
    <t>KD-DISS-989088</t>
  </si>
  <si>
    <t>KD-DISS-126597</t>
  </si>
  <si>
    <t>355.91161</t>
  </si>
  <si>
    <t>89.6</t>
  </si>
  <si>
    <t>TVS-DIS-942242</t>
  </si>
  <si>
    <t>78.7</t>
  </si>
  <si>
    <t>12.5</t>
  </si>
  <si>
    <t>147.388</t>
  </si>
  <si>
    <t>TVS-DIS-184603</t>
  </si>
  <si>
    <t>85</t>
  </si>
  <si>
    <t>14</t>
  </si>
  <si>
    <t>157.56214</t>
  </si>
  <si>
    <t>TVS-SIM-135377</t>
  </si>
  <si>
    <t>TVS-SIM-135400</t>
  </si>
  <si>
    <t>235.26667</t>
  </si>
  <si>
    <t>TVS-SIM-135421</t>
  </si>
  <si>
    <t>786</t>
  </si>
  <si>
    <t>736.825</t>
  </si>
  <si>
    <t>TVS-SIM-135422</t>
  </si>
  <si>
    <t>435</t>
  </si>
  <si>
    <t>407.40667</t>
  </si>
  <si>
    <t>ROAU-RM-KDK-FP-ST-RC-03</t>
  </si>
  <si>
    <t>563.04</t>
  </si>
  <si>
    <t>ROAU-RM-KDK-FP-ST-RC-04</t>
  </si>
  <si>
    <t>ROAU-RM-KDK-FP-ST-PL-01</t>
  </si>
  <si>
    <t>ROAU-RM-KDK-FP-ST-PL-02</t>
  </si>
  <si>
    <t>700</t>
  </si>
  <si>
    <t>650.175</t>
  </si>
  <si>
    <t>TVS-SIM-494006</t>
  </si>
  <si>
    <t>3453</t>
  </si>
  <si>
    <t>TVS-SIM-135402</t>
  </si>
  <si>
    <t>168.44078</t>
  </si>
  <si>
    <t>2338.6</t>
  </si>
  <si>
    <t>TVS-SIM-135403</t>
  </si>
  <si>
    <t>123.30333</t>
  </si>
  <si>
    <t>100.89088</t>
  </si>
  <si>
    <t>8727</t>
  </si>
  <si>
    <t>(1 - Local Purchase,2 Interstate Purchase, 3 Import Purchase,4-UTGST,, 5-CESS)</t>
  </si>
  <si>
    <t>(1 - Local Purchase,2 Interstate Purchase, 3 Import Purchase,4-UTGST, 5-CESS)</t>
  </si>
  <si>
    <t>242.29</t>
  </si>
  <si>
    <t>3577.438</t>
  </si>
  <si>
    <t>248.26</t>
  </si>
  <si>
    <t>2744.89475</t>
  </si>
  <si>
    <t>GWL-RM-WAL-FP-001</t>
  </si>
  <si>
    <t>GWL-RM-WAL-FP-001-DIS-UOM</t>
  </si>
  <si>
    <t>GWL-WAL-SERVICE-01</t>
  </si>
  <si>
    <t>GWL-RM-WAL-01 RateContract</t>
  </si>
  <si>
    <t>GWL-RM-WAL-01 RateContract-DIS-UOM</t>
  </si>
  <si>
    <t>GWL-WAL-SERVICE-RATECONTRACT-01</t>
  </si>
  <si>
    <t>GWL-RM-WAL-01 PriceList</t>
  </si>
  <si>
    <t>GWL-RM-WAL-01 PriceList-DIS-UOM</t>
  </si>
  <si>
    <t>GWL-WAL-SERVICE-PRICELIST-01</t>
  </si>
  <si>
    <t>landedCostSupplier</t>
  </si>
  <si>
    <t>AICselection</t>
  </si>
  <si>
    <t>GSTSupply</t>
  </si>
  <si>
    <t>ItemType</t>
  </si>
  <si>
    <t>DeviationIncrease</t>
  </si>
  <si>
    <t>TVS-CH-00011</t>
  </si>
  <si>
    <t>SUP00124</t>
  </si>
  <si>
    <t>G</t>
  </si>
  <si>
    <t>LC</t>
  </si>
  <si>
    <t>SUP00004</t>
  </si>
  <si>
    <t>ROAU-SIM-337897</t>
  </si>
  <si>
    <t>LandedCostItem</t>
  </si>
  <si>
    <t>LandedCostAmount</t>
  </si>
  <si>
    <t>LandedCostDocumentNumber</t>
  </si>
  <si>
    <t>GlAccount</t>
  </si>
  <si>
    <t>ROAU-KPK-ST-FP-U8-U6</t>
  </si>
  <si>
    <t>INS WH-6</t>
  </si>
  <si>
    <t>463.4175</t>
  </si>
  <si>
    <t>RM WH-6</t>
  </si>
  <si>
    <t>419.00768</t>
  </si>
  <si>
    <t>146</t>
  </si>
  <si>
    <t>370.73417</t>
  </si>
  <si>
    <t>318.05786</t>
  </si>
  <si>
    <t>TVS-CH-00002</t>
  </si>
  <si>
    <t>APM1002</t>
  </si>
  <si>
    <t>N</t>
  </si>
  <si>
    <t>Exp.</t>
  </si>
  <si>
    <t>TRAVELLING EXPENSES</t>
  </si>
  <si>
    <t>1067.33</t>
  </si>
  <si>
    <t>472.51926</t>
  </si>
  <si>
    <t>185</t>
  </si>
  <si>
    <t>COMMUNICATION EXPENSES</t>
  </si>
  <si>
    <t>ROAU-SIM-419033</t>
  </si>
  <si>
    <t>TVS-SER-10001</t>
  </si>
  <si>
    <t>SUP00125</t>
  </si>
  <si>
    <t>APM1003</t>
  </si>
  <si>
    <t>576.3</t>
  </si>
  <si>
    <t>ROAU-RM-KPK-WOQE-UD-01</t>
  </si>
  <si>
    <t>ROAU-RM-KPK-WOQE-UD-02</t>
  </si>
  <si>
    <t>ROAU-RM-KPK-WOQE-RC-01</t>
  </si>
  <si>
    <t>ROAU-RM-KPK-WOQE-RC-02</t>
  </si>
  <si>
    <t>3900</t>
  </si>
  <si>
    <t>142</t>
  </si>
  <si>
    <t>572.0045</t>
  </si>
  <si>
    <t>ROAU-RM-KPK-WOQE-RC-05</t>
  </si>
  <si>
    <t>ROAU-RM-KPK-WOQE-RC-04</t>
  </si>
  <si>
    <t>ROAU-RM-KPK-WOQE-UD-IMP-01</t>
  </si>
  <si>
    <t>ROAU-RM-KPK-WOQE-UD-IMP-02</t>
  </si>
  <si>
    <t>1123.6675</t>
  </si>
  <si>
    <t>20</t>
  </si>
  <si>
    <t>1668.302</t>
  </si>
  <si>
    <t>4269.32</t>
  </si>
  <si>
    <t>312</t>
  </si>
  <si>
    <t>1524.77609</t>
  </si>
  <si>
    <t>4400</t>
  </si>
  <si>
    <t>INS PK-54</t>
  </si>
  <si>
    <t>RM PK-54</t>
  </si>
  <si>
    <t>475.35</t>
  </si>
  <si>
    <t>19</t>
  </si>
  <si>
    <t>475.85788</t>
  </si>
  <si>
    <t>4500</t>
  </si>
  <si>
    <t>43</t>
  </si>
  <si>
    <t>475.57442</t>
  </si>
  <si>
    <t>INSWH-26</t>
  </si>
  <si>
    <t>RMWH-55</t>
  </si>
  <si>
    <t>480.25</t>
  </si>
  <si>
    <t>411.875</t>
  </si>
  <si>
    <t>INWH-31</t>
  </si>
  <si>
    <t>RMWH-31</t>
  </si>
  <si>
    <t>67</t>
  </si>
  <si>
    <t>INS-WH-SU!</t>
  </si>
  <si>
    <t>RMWH-SU1</t>
  </si>
  <si>
    <t>23</t>
  </si>
  <si>
    <t>235</t>
  </si>
  <si>
    <t>INS-UT-2</t>
  </si>
  <si>
    <t>RM-UT-2</t>
  </si>
  <si>
    <t>445.9</t>
  </si>
  <si>
    <t>DU1-INS WH</t>
  </si>
  <si>
    <t>DU1-RM WH</t>
  </si>
  <si>
    <t>437.03</t>
  </si>
  <si>
    <t>439.98667</t>
  </si>
  <si>
    <t>DU3-INS WH</t>
  </si>
  <si>
    <t>DU3-RM WH</t>
  </si>
  <si>
    <t>UT3-IN WH</t>
  </si>
  <si>
    <t>UT3-RM WH</t>
  </si>
  <si>
    <t>369.46</t>
  </si>
  <si>
    <t>377</t>
  </si>
  <si>
    <t>DC3-WH INS</t>
  </si>
  <si>
    <t>DC3-RM WH</t>
  </si>
  <si>
    <t>466</t>
  </si>
  <si>
    <t>447.59</t>
  </si>
  <si>
    <t>452.135</t>
  </si>
  <si>
    <t>INS WH-DC1</t>
  </si>
  <si>
    <t>RM WH-DC1</t>
  </si>
  <si>
    <t>444</t>
  </si>
  <si>
    <t>INS WH-DC5</t>
  </si>
  <si>
    <t>RM WH-DC5</t>
  </si>
  <si>
    <t>347.9</t>
  </si>
  <si>
    <t>355</t>
  </si>
  <si>
    <t>INS WH-DC7</t>
  </si>
  <si>
    <t>RM WH-DC7</t>
  </si>
  <si>
    <t>INS WH-DP7</t>
  </si>
  <si>
    <t>RM WH-DP7</t>
  </si>
  <si>
    <t>336.14</t>
  </si>
  <si>
    <t>INS WH-NR3</t>
  </si>
  <si>
    <t>RM WH-NR3</t>
  </si>
  <si>
    <t>565</t>
  </si>
  <si>
    <t>548.22</t>
  </si>
  <si>
    <t>551.93</t>
  </si>
  <si>
    <t>INS WH-NR7</t>
  </si>
  <si>
    <t>RM WH-NR7</t>
  </si>
  <si>
    <t>431.2</t>
  </si>
  <si>
    <t>440</t>
  </si>
  <si>
    <t>RAW MATERIAL</t>
  </si>
  <si>
    <t>INPUT CGST - 9%</t>
  </si>
  <si>
    <t>INPUT SGST - 9%</t>
  </si>
  <si>
    <t>Debit</t>
  </si>
  <si>
    <t>Credit</t>
  </si>
  <si>
    <t>GL_Account_Desc</t>
  </si>
  <si>
    <t>Gl_Account_Number</t>
  </si>
  <si>
    <t>Line_Amount</t>
  </si>
  <si>
    <t>CGST_Amount</t>
  </si>
  <si>
    <t>SGST_Amount</t>
  </si>
  <si>
    <t>INPUT IGST - 18%</t>
  </si>
  <si>
    <t>IGST_Amount</t>
  </si>
  <si>
    <t>INPUT RCM CGST</t>
  </si>
  <si>
    <t>INPUT RCM SGST</t>
  </si>
  <si>
    <t>OUTPUT CGST - RCM</t>
  </si>
  <si>
    <t>OUTPUT SGST - RCM</t>
  </si>
  <si>
    <t>OUTPUT _CGST _RCM_Amount</t>
  </si>
  <si>
    <t>OUTPUT_SGST _RCM_Amount</t>
  </si>
  <si>
    <t>LINUX PVT LTD- SF(AR)</t>
  </si>
  <si>
    <t>508</t>
  </si>
  <si>
    <t>568.88693</t>
  </si>
  <si>
    <t>BENNY ASSOCIATES(AR)</t>
  </si>
  <si>
    <t>INPUT RCM IGST</t>
  </si>
  <si>
    <t>OUTPUT IGST - RCM</t>
  </si>
  <si>
    <t>OUTPUT IGST_RCM</t>
  </si>
  <si>
    <t>OUTPUT UTGST_RCM</t>
  </si>
  <si>
    <t>OUTPUT CESS_RCM</t>
  </si>
  <si>
    <t>OUTPUT IGST_RCM_Amount</t>
  </si>
  <si>
    <t>OUTPUT UTGST_RCM_Amount</t>
  </si>
  <si>
    <t>OUTPUT CESS_RCM_Amount</t>
  </si>
  <si>
    <t>UTGST_Amount</t>
  </si>
  <si>
    <t>CESS_Amount</t>
  </si>
  <si>
    <t>PK POLYMERS UR(AP)</t>
  </si>
  <si>
    <t>KV CAREERS INTR-UR(AR)</t>
  </si>
  <si>
    <t>DOMESTIC REGISTERED SUPPLIER - WLF-1(AP)</t>
  </si>
  <si>
    <t>DOMESTIC REGISTERED SUPPLIER - WITH SEZ UNIT GST-2(AP)</t>
  </si>
  <si>
    <t>68</t>
  </si>
  <si>
    <t>426.97014</t>
  </si>
  <si>
    <t>90</t>
  </si>
  <si>
    <t>324</t>
  </si>
  <si>
    <t>308</t>
  </si>
  <si>
    <t>DOMESTIC UNREGISTERED SUPPLIER - WITH LF-2(AP)</t>
  </si>
  <si>
    <t>DOMESTIC UNREGISTERED SUPPLIER-WITH SEZ UNIT GST-2(AR)</t>
  </si>
  <si>
    <t>TRANSPORTATION CHARGES</t>
  </si>
  <si>
    <t>JJ AUTOMOBILES (AP)</t>
  </si>
  <si>
    <t>194C(TDS)</t>
  </si>
  <si>
    <t>PRAXAIR INDIA PVT LTD (AP)</t>
  </si>
  <si>
    <t>Supplier_Account_Debit_TDS</t>
  </si>
  <si>
    <t>Supplier_Account_Credit_TDS</t>
  </si>
  <si>
    <t>OverAllTDS_Account_Debit</t>
  </si>
  <si>
    <t>OverallTDS_Account_Cred</t>
  </si>
  <si>
    <t>TDS Account Debit</t>
  </si>
  <si>
    <t>TDS Account Credit</t>
  </si>
  <si>
    <t>SRI LAKSHMI ELECTRONICS(AP)</t>
  </si>
  <si>
    <t>4700</t>
  </si>
  <si>
    <t>SUP-001</t>
  </si>
  <si>
    <t>CHARGES ACCOUNT</t>
  </si>
  <si>
    <t>ROUND OFF</t>
  </si>
  <si>
    <t xml:space="preserve">RoundOfDebit </t>
  </si>
  <si>
    <t>RoundOffcredit</t>
  </si>
  <si>
    <t>LINUX PVT LTD- SF(AP)</t>
  </si>
  <si>
    <t>420</t>
  </si>
  <si>
    <t>2249.45973</t>
  </si>
  <si>
    <t>5834.78</t>
  </si>
  <si>
    <t>477</t>
  </si>
  <si>
    <t>2578.89079</t>
  </si>
  <si>
    <t>RM-U5</t>
  </si>
  <si>
    <t>RM-U6</t>
  </si>
  <si>
    <t>RM-U7</t>
  </si>
  <si>
    <t>RM-U8</t>
  </si>
  <si>
    <t>BENNY ASSOCIATES(AP)</t>
  </si>
  <si>
    <t>6600</t>
  </si>
  <si>
    <t>6211.22</t>
  </si>
  <si>
    <t>485</t>
  </si>
  <si>
    <t>2637.44722</t>
  </si>
  <si>
    <t>510</t>
  </si>
  <si>
    <t>2783.84577</t>
  </si>
  <si>
    <t>5800</t>
  </si>
  <si>
    <t>817</t>
  </si>
  <si>
    <t>567.27331</t>
  </si>
  <si>
    <t>0.28</t>
  </si>
  <si>
    <t>5364.24</t>
  </si>
  <si>
    <t>INPUT CGST 14%</t>
  </si>
  <si>
    <t>INPUT SGST 14%</t>
  </si>
  <si>
    <t>5740.67</t>
  </si>
  <si>
    <t>515</t>
  </si>
  <si>
    <t>2811.45641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</si>
</sst>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sz val="10"/>
      <color rgb="FF000000"/>
      <name val="Consolas"/>
      <family val="3"/>
    </font>
    <font>
      <sz val="9"/>
      <color rgb="FF000000"/>
      <name val="Arial"/>
      <family val="2"/>
    </font>
    <font>
      <b/>
      <sz val="14"/>
      <color theme="1"/>
      <name val="Cambria"/>
      <family val="1"/>
      <scheme val="maj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sz val="9"/>
      <color rgb="FF1F1F1F"/>
      <name val="Consolas"/>
      <family val="3"/>
    </font>
    <font>
      <sz val="10"/>
      <color rgb="FF000000"/>
      <name val="Consolas"/>
      <family val="3"/>
    </font>
    <font>
      <b/>
      <sz val="9"/>
      <color rgb="FF008000"/>
      <name val="Arial"/>
      <family val="2"/>
    </font>
    <font>
      <b/>
      <sz val="9"/>
      <color theme="1"/>
      <name val="Arial"/>
      <family val="2"/>
    </font>
    <font>
      <sz val="9"/>
      <color rgb="FF26262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2065187536243"/>
        <bgColor indexed="64"/>
      </patternFill>
    </fill>
    <fill>
      <patternFill patternType="solid">
        <fgColor theme="7" tint="0.79995117038483843"/>
        <bgColor indexed="64"/>
      </patternFill>
    </fill>
  </fills>
  <borders count="28">
    <border>
      <left/>
      <right/>
      <top/>
      <bottom/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 style="double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3" fillId="0" borderId="0">
      <alignment vertical="center"/>
    </xf>
    <xf numFmtId="0" fontId="13" fillId="0" borderId="0">
      <alignment vertical="center"/>
    </xf>
  </cellStyleXfs>
  <cellXfs count="309">
    <xf numFmtId="0" fontId="0" fillId="0" borderId="0" xfId="0"/>
    <xf numFmtId="0" fontId="6" fillId="0" borderId="0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164" fontId="8" fillId="0" borderId="5" xfId="0" applyNumberFormat="1" applyFont="1" applyFill="1" applyBorder="1" applyAlignment="1"/>
    <xf numFmtId="2" fontId="8" fillId="0" borderId="5" xfId="0" applyNumberFormat="1" applyFont="1" applyFill="1" applyBorder="1" applyAlignment="1"/>
    <xf numFmtId="2" fontId="8" fillId="0" borderId="6" xfId="0" applyNumberFormat="1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164" fontId="8" fillId="0" borderId="8" xfId="0" applyNumberFormat="1" applyFont="1" applyFill="1" applyBorder="1" applyAlignment="1"/>
    <xf numFmtId="2" fontId="8" fillId="0" borderId="8" xfId="0" applyNumberFormat="1" applyFont="1" applyFill="1" applyBorder="1" applyAlignment="1"/>
    <xf numFmtId="2" fontId="8" fillId="0" borderId="9" xfId="0" applyNumberFormat="1" applyFont="1" applyFill="1" applyBorder="1" applyAlignment="1"/>
    <xf numFmtId="0" fontId="8" fillId="0" borderId="0" xfId="0" applyFont="1" applyFill="1" applyAlignment="1"/>
    <xf numFmtId="0" fontId="7" fillId="3" borderId="11" xfId="0" applyFont="1" applyFill="1" applyBorder="1" applyAlignment="1">
      <alignment vertical="top"/>
    </xf>
    <xf numFmtId="0" fontId="7" fillId="0" borderId="0" xfId="0" applyFont="1" applyFill="1" applyBorder="1" applyAlignment="1"/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left" vertical="center"/>
    </xf>
    <xf numFmtId="0" fontId="7" fillId="2" borderId="12" xfId="0" applyFont="1" applyFill="1" applyBorder="1" applyAlignment="1">
      <alignment horizontal="center" vertical="center" wrapText="1"/>
    </xf>
    <xf numFmtId="0" fontId="8" fillId="0" borderId="13" xfId="0" applyFont="1" applyFill="1" applyBorder="1" applyAlignment="1"/>
    <xf numFmtId="0" fontId="8" fillId="0" borderId="13" xfId="0" applyNumberFormat="1" applyFont="1" applyFill="1" applyBorder="1" applyAlignment="1"/>
    <xf numFmtId="0" fontId="0" fillId="0" borderId="0" xfId="0" applyFill="1" applyAlignment="1"/>
    <xf numFmtId="0" fontId="0" fillId="0" borderId="0" xfId="0" applyFill="1" applyBorder="1" applyAlignment="1"/>
    <xf numFmtId="0" fontId="7" fillId="3" borderId="14" xfId="0" applyFont="1" applyFill="1" applyBorder="1" applyAlignment="1"/>
    <xf numFmtId="0" fontId="7" fillId="3" borderId="15" xfId="0" applyFont="1" applyFill="1" applyBorder="1" applyAlignment="1"/>
    <xf numFmtId="0" fontId="7" fillId="3" borderId="13" xfId="0" applyFont="1" applyFill="1" applyBorder="1" applyAlignment="1"/>
    <xf numFmtId="10" fontId="8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8" fillId="0" borderId="0" xfId="0" applyFont="1" applyFill="1" applyBorder="1" applyAlignment="1"/>
    <xf numFmtId="0" fontId="7" fillId="4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9" fillId="0" borderId="0" xfId="0" applyFont="1" applyFill="1" applyAlignment="1"/>
    <xf numFmtId="0" fontId="7" fillId="6" borderId="12" xfId="0" applyFont="1" applyFill="1" applyBorder="1" applyAlignment="1">
      <alignment horizontal="center" vertical="center"/>
    </xf>
    <xf numFmtId="0" fontId="7" fillId="3" borderId="13" xfId="0" applyNumberFormat="1" applyFont="1" applyFill="1" applyBorder="1" applyAlignment="1"/>
    <xf numFmtId="2" fontId="7" fillId="3" borderId="13" xfId="0" applyNumberFormat="1" applyFont="1" applyFill="1" applyBorder="1" applyAlignment="1"/>
    <xf numFmtId="0" fontId="7" fillId="7" borderId="12" xfId="0" applyFont="1" applyFill="1" applyBorder="1" applyAlignment="1">
      <alignment horizontal="center" vertical="center"/>
    </xf>
    <xf numFmtId="0" fontId="7" fillId="7" borderId="12" xfId="0" applyFont="1" applyFill="1" applyBorder="1" applyAlignment="1">
      <alignment horizontal="center" vertical="center" wrapText="1"/>
    </xf>
    <xf numFmtId="10" fontId="8" fillId="0" borderId="13" xfId="0" applyNumberFormat="1" applyFont="1" applyFill="1" applyBorder="1" applyAlignment="1"/>
    <xf numFmtId="0" fontId="7" fillId="7" borderId="13" xfId="0" applyFont="1" applyFill="1" applyBorder="1" applyAlignment="1"/>
    <xf numFmtId="2" fontId="7" fillId="7" borderId="13" xfId="0" applyNumberFormat="1" applyFont="1" applyFill="1" applyBorder="1" applyAlignment="1"/>
    <xf numFmtId="0" fontId="7" fillId="8" borderId="12" xfId="0" applyFont="1" applyFill="1" applyBorder="1" applyAlignment="1">
      <alignment horizontal="center" vertical="center"/>
    </xf>
    <xf numFmtId="0" fontId="8" fillId="2" borderId="2" xfId="0" applyFont="1" applyFill="1" applyBorder="1" applyAlignment="1"/>
    <xf numFmtId="0" fontId="8" fillId="0" borderId="5" xfId="0" applyNumberFormat="1" applyFont="1" applyFill="1" applyBorder="1" applyAlignment="1"/>
    <xf numFmtId="0" fontId="8" fillId="2" borderId="16" xfId="0" applyFont="1" applyFill="1" applyBorder="1" applyAlignment="1"/>
    <xf numFmtId="0" fontId="0" fillId="0" borderId="5" xfId="0" applyNumberFormat="1" applyFill="1" applyBorder="1" applyAlignment="1"/>
    <xf numFmtId="0" fontId="0" fillId="0" borderId="17" xfId="0" applyNumberFormat="1" applyFill="1" applyBorder="1" applyAlignment="1"/>
    <xf numFmtId="0" fontId="0" fillId="0" borderId="17" xfId="0" applyNumberFormat="1" applyFont="1" applyFill="1" applyBorder="1" applyAlignme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0" fontId="6" fillId="0" borderId="0" xfId="0" applyFont="1" applyBorder="1" applyAlignment="1">
      <alignment horizontal="left" vertical="top"/>
    </xf>
    <xf numFmtId="0" fontId="8" fillId="0" borderId="4" xfId="0" applyFont="1" applyBorder="1"/>
    <xf numFmtId="0" fontId="8" fillId="0" borderId="5" xfId="0" applyFont="1" applyBorder="1"/>
    <xf numFmtId="164" fontId="8" fillId="0" borderId="5" xfId="0" applyNumberFormat="1" applyFont="1" applyBorder="1"/>
    <xf numFmtId="2" fontId="8" fillId="0" borderId="5" xfId="0" applyNumberFormat="1" applyFont="1" applyBorder="1"/>
    <xf numFmtId="2" fontId="8" fillId="0" borderId="6" xfId="0" applyNumberFormat="1" applyFont="1" applyBorder="1"/>
    <xf numFmtId="0" fontId="8" fillId="0" borderId="7" xfId="0" applyFont="1" applyBorder="1"/>
    <xf numFmtId="0" fontId="8" fillId="0" borderId="8" xfId="0" applyFont="1" applyBorder="1"/>
    <xf numFmtId="164" fontId="8" fillId="0" borderId="8" xfId="0" applyNumberFormat="1" applyFont="1" applyBorder="1"/>
    <xf numFmtId="2" fontId="8" fillId="0" borderId="8" xfId="0" applyNumberFormat="1" applyFont="1" applyBorder="1"/>
    <xf numFmtId="2" fontId="8" fillId="0" borderId="9" xfId="0" applyNumberFormat="1" applyFont="1" applyBorder="1"/>
    <xf numFmtId="0" fontId="8" fillId="0" borderId="0" xfId="0" applyFont="1"/>
    <xf numFmtId="0" fontId="7" fillId="0" borderId="0" xfId="0" applyFont="1" applyFill="1" applyBorder="1"/>
    <xf numFmtId="0" fontId="8" fillId="0" borderId="13" xfId="0" applyFont="1" applyBorder="1"/>
    <xf numFmtId="0" fontId="8" fillId="0" borderId="13" xfId="0" applyNumberFormat="1" applyFont="1" applyBorder="1"/>
    <xf numFmtId="0" fontId="0" fillId="0" borderId="0" xfId="0" applyBorder="1" applyAlignment="1"/>
    <xf numFmtId="0" fontId="7" fillId="3" borderId="13" xfId="0" applyFont="1" applyFill="1" applyBorder="1"/>
    <xf numFmtId="10" fontId="8" fillId="0" borderId="0" xfId="0" applyNumberFormat="1" applyFont="1" applyFill="1" applyBorder="1"/>
    <xf numFmtId="2" fontId="8" fillId="0" borderId="0" xfId="0" applyNumberFormat="1" applyFont="1" applyFill="1" applyBorder="1"/>
    <xf numFmtId="0" fontId="8" fillId="0" borderId="0" xfId="0" applyFont="1" applyBorder="1"/>
    <xf numFmtId="0" fontId="8" fillId="0" borderId="0" xfId="0" applyFont="1" applyFill="1" applyBorder="1"/>
    <xf numFmtId="0" fontId="9" fillId="0" borderId="0" xfId="0" applyFont="1"/>
    <xf numFmtId="0" fontId="7" fillId="3" borderId="13" xfId="0" applyNumberFormat="1" applyFont="1" applyFill="1" applyBorder="1"/>
    <xf numFmtId="2" fontId="7" fillId="3" borderId="13" xfId="0" applyNumberFormat="1" applyFont="1" applyFill="1" applyBorder="1"/>
    <xf numFmtId="10" fontId="8" fillId="0" borderId="13" xfId="0" applyNumberFormat="1" applyFont="1" applyBorder="1"/>
    <xf numFmtId="0" fontId="7" fillId="7" borderId="13" xfId="0" applyFont="1" applyFill="1" applyBorder="1"/>
    <xf numFmtId="2" fontId="7" fillId="7" borderId="13" xfId="0" applyNumberFormat="1" applyFont="1" applyFill="1" applyBorder="1"/>
    <xf numFmtId="0" fontId="8" fillId="2" borderId="2" xfId="0" applyFont="1" applyFill="1" applyBorder="1"/>
    <xf numFmtId="0" fontId="8" fillId="0" borderId="5" xfId="0" applyNumberFormat="1" applyFont="1" applyBorder="1"/>
    <xf numFmtId="0" fontId="8" fillId="2" borderId="16" xfId="0" applyFont="1" applyFill="1" applyBorder="1"/>
    <xf numFmtId="0" fontId="0" fillId="0" borderId="5" xfId="0" applyNumberFormat="1" applyBorder="1"/>
    <xf numFmtId="0" fontId="0" fillId="0" borderId="17" xfId="0" applyNumberFormat="1" applyFont="1" applyBorder="1" applyAlignment="1">
      <alignment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2" fontId="8" fillId="0" borderId="13" xfId="0" applyNumberFormat="1" applyFont="1" applyBorder="1"/>
    <xf numFmtId="0" fontId="8" fillId="2" borderId="21" xfId="0" applyFont="1" applyFill="1" applyBorder="1"/>
    <xf numFmtId="0" fontId="8" fillId="2" borderId="21" xfId="0" applyFont="1" applyFill="1" applyBorder="1" applyAlignment="1">
      <alignment horizontal="center"/>
    </xf>
    <xf numFmtId="0" fontId="0" fillId="0" borderId="17" xfId="0" applyNumberFormat="1" applyBorder="1" applyAlignment="1">
      <alignment vertical="center"/>
    </xf>
    <xf numFmtId="0" fontId="10" fillId="9" borderId="22" xfId="0" applyFont="1" applyFill="1" applyBorder="1"/>
    <xf numFmtId="0" fontId="10" fillId="10" borderId="22" xfId="0" applyFont="1" applyFill="1" applyBorder="1"/>
    <xf numFmtId="0" fontId="0" fillId="0" borderId="17" xfId="0" applyNumberFormat="1" applyBorder="1"/>
    <xf numFmtId="0" fontId="7" fillId="2" borderId="13" xfId="0" applyFont="1" applyFill="1" applyBorder="1" applyAlignment="1">
      <alignment horizontal="center" vertical="center"/>
    </xf>
    <xf numFmtId="0" fontId="7" fillId="3" borderId="24" xfId="0" applyFont="1" applyFill="1" applyBorder="1" applyAlignment="1"/>
    <xf numFmtId="0" fontId="7" fillId="4" borderId="13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8" fillId="0" borderId="0" xfId="0" applyFont="1" applyAlignment="1"/>
    <xf numFmtId="0" fontId="8" fillId="0" borderId="12" xfId="0" applyFont="1" applyBorder="1"/>
    <xf numFmtId="0" fontId="7" fillId="6" borderId="13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0" xfId="0" applyAlignment="1">
      <alignment vertical="center"/>
    </xf>
    <xf numFmtId="164" fontId="8" fillId="0" borderId="13" xfId="0" applyNumberFormat="1" applyFont="1" applyBorder="1"/>
    <xf numFmtId="9" fontId="8" fillId="0" borderId="13" xfId="0" applyNumberFormat="1" applyFont="1" applyBorder="1"/>
    <xf numFmtId="9" fontId="7" fillId="3" borderId="13" xfId="0" applyNumberFormat="1" applyFont="1" applyFill="1" applyBorder="1"/>
    <xf numFmtId="0" fontId="8" fillId="0" borderId="5" xfId="1" applyFont="1" applyBorder="1" applyAlignment="1"/>
    <xf numFmtId="0" fontId="1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7" borderId="13" xfId="0" applyFont="1" applyFill="1" applyBorder="1" applyAlignment="1">
      <alignment horizontal="center" vertical="center" wrapText="1"/>
    </xf>
    <xf numFmtId="165" fontId="8" fillId="0" borderId="13" xfId="0" applyNumberFormat="1" applyFont="1" applyBorder="1"/>
    <xf numFmtId="0" fontId="7" fillId="7" borderId="13" xfId="0" applyNumberFormat="1" applyFont="1" applyFill="1" applyBorder="1"/>
    <xf numFmtId="0" fontId="8" fillId="0" borderId="2" xfId="0" applyFont="1" applyBorder="1"/>
    <xf numFmtId="0" fontId="0" fillId="0" borderId="17" xfId="0" applyBorder="1"/>
    <xf numFmtId="0" fontId="0" fillId="0" borderId="25" xfId="0" applyBorder="1"/>
    <xf numFmtId="0" fontId="8" fillId="0" borderId="3" xfId="0" applyFont="1" applyBorder="1"/>
    <xf numFmtId="0" fontId="8" fillId="0" borderId="6" xfId="0" applyFont="1" applyBorder="1"/>
    <xf numFmtId="0" fontId="0" fillId="0" borderId="17" xfId="0" applyFont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8" fillId="0" borderId="0" xfId="0" applyNumberFormat="1" applyFont="1"/>
    <xf numFmtId="0" fontId="8" fillId="0" borderId="0" xfId="0" applyFont="1" applyFill="1" applyBorder="1" applyAlignment="1">
      <alignment horizontal="left"/>
    </xf>
    <xf numFmtId="2" fontId="12" fillId="0" borderId="0" xfId="0" applyNumberFormat="1" applyFont="1" applyFill="1" applyBorder="1"/>
    <xf numFmtId="0" fontId="12" fillId="7" borderId="17" xfId="0" applyFont="1" applyFill="1" applyBorder="1"/>
    <xf numFmtId="0" fontId="0" fillId="7" borderId="17" xfId="0" applyFill="1" applyBorder="1"/>
    <xf numFmtId="0" fontId="0" fillId="0" borderId="0" xfId="0" applyBorder="1"/>
    <xf numFmtId="0" fontId="0" fillId="7" borderId="17" xfId="0" applyFill="1" applyBorder="1" applyAlignment="1">
      <alignment vertical="center"/>
    </xf>
    <xf numFmtId="0" fontId="0" fillId="0" borderId="17" xfId="0" applyBorder="1" applyAlignment="1">
      <alignment vertical="center"/>
    </xf>
    <xf numFmtId="0" fontId="8" fillId="0" borderId="0" xfId="0" quotePrefix="1" applyFont="1"/>
    <xf numFmtId="0" fontId="14" fillId="0" borderId="0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Border="1" applyAlignment="1">
      <alignment horizontal="left" vertical="top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left" vertical="center"/>
    </xf>
    <xf numFmtId="0" fontId="16" fillId="2" borderId="3" xfId="0" applyFont="1" applyFill="1" applyBorder="1" applyAlignment="1">
      <alignment horizontal="center" vertical="center"/>
    </xf>
    <xf numFmtId="0" fontId="15" fillId="0" borderId="4" xfId="0" applyFont="1" applyBorder="1"/>
    <xf numFmtId="0" fontId="15" fillId="0" borderId="5" xfId="0" applyFont="1" applyBorder="1"/>
    <xf numFmtId="164" fontId="15" fillId="0" borderId="5" xfId="0" applyNumberFormat="1" applyFont="1" applyBorder="1"/>
    <xf numFmtId="2" fontId="15" fillId="0" borderId="5" xfId="0" applyNumberFormat="1" applyFont="1" applyBorder="1"/>
    <xf numFmtId="2" fontId="15" fillId="0" borderId="6" xfId="0" applyNumberFormat="1" applyFont="1" applyBorder="1"/>
    <xf numFmtId="0" fontId="15" fillId="0" borderId="7" xfId="0" applyFont="1" applyBorder="1"/>
    <xf numFmtId="0" fontId="15" fillId="0" borderId="8" xfId="0" applyFont="1" applyBorder="1"/>
    <xf numFmtId="164" fontId="15" fillId="0" borderId="8" xfId="0" applyNumberFormat="1" applyFont="1" applyBorder="1"/>
    <xf numFmtId="2" fontId="15" fillId="0" borderId="8" xfId="0" applyNumberFormat="1" applyFont="1" applyBorder="1"/>
    <xf numFmtId="2" fontId="15" fillId="0" borderId="9" xfId="0" applyNumberFormat="1" applyFont="1" applyBorder="1"/>
    <xf numFmtId="0" fontId="16" fillId="3" borderId="11" xfId="0" applyFont="1" applyFill="1" applyBorder="1" applyAlignment="1">
      <alignment vertical="top"/>
    </xf>
    <xf numFmtId="0" fontId="16" fillId="0" borderId="0" xfId="0" applyFont="1" applyFill="1" applyBorder="1"/>
    <xf numFmtId="0" fontId="16" fillId="0" borderId="0" xfId="0" applyFont="1" applyFill="1" applyBorder="1" applyAlignment="1">
      <alignment horizontal="center"/>
    </xf>
    <xf numFmtId="0" fontId="15" fillId="0" borderId="0" xfId="0" applyFont="1" applyFill="1" applyBorder="1"/>
    <xf numFmtId="0" fontId="16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left" vertical="center"/>
    </xf>
    <xf numFmtId="0" fontId="16" fillId="2" borderId="13" xfId="0" applyFont="1" applyFill="1" applyBorder="1" applyAlignment="1">
      <alignment horizontal="center" vertical="center"/>
    </xf>
    <xf numFmtId="0" fontId="16" fillId="4" borderId="13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6" borderId="13" xfId="0" applyFont="1" applyFill="1" applyBorder="1" applyAlignment="1">
      <alignment horizontal="center" vertical="center"/>
    </xf>
    <xf numFmtId="0" fontId="16" fillId="6" borderId="12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6" fillId="8" borderId="13" xfId="0" applyFont="1" applyFill="1" applyBorder="1" applyAlignment="1">
      <alignment horizontal="center" vertical="center" wrapText="1"/>
    </xf>
    <xf numFmtId="0" fontId="15" fillId="2" borderId="2" xfId="0" applyFont="1" applyFill="1" applyBorder="1"/>
    <xf numFmtId="0" fontId="15" fillId="2" borderId="16" xfId="0" applyFont="1" applyFill="1" applyBorder="1"/>
    <xf numFmtId="0" fontId="15" fillId="2" borderId="2" xfId="0" applyFont="1" applyFill="1" applyBorder="1" applyAlignment="1"/>
    <xf numFmtId="0" fontId="15" fillId="0" borderId="13" xfId="0" applyFont="1" applyBorder="1"/>
    <xf numFmtId="0" fontId="15" fillId="0" borderId="13" xfId="0" applyNumberFormat="1" applyFont="1" applyBorder="1"/>
    <xf numFmtId="2" fontId="15" fillId="0" borderId="13" xfId="0" applyNumberFormat="1" applyFont="1" applyBorder="1"/>
    <xf numFmtId="10" fontId="15" fillId="0" borderId="13" xfId="0" applyNumberFormat="1" applyFont="1" applyBorder="1"/>
    <xf numFmtId="9" fontId="15" fillId="0" borderId="13" xfId="0" applyNumberFormat="1" applyFont="1" applyBorder="1"/>
    <xf numFmtId="164" fontId="15" fillId="0" borderId="13" xfId="0" applyNumberFormat="1" applyFont="1" applyBorder="1"/>
    <xf numFmtId="0" fontId="15" fillId="0" borderId="5" xfId="0" applyNumberFormat="1" applyFont="1" applyBorder="1"/>
    <xf numFmtId="0" fontId="15" fillId="0" borderId="5" xfId="1" applyFont="1" applyBorder="1" applyAlignment="1"/>
    <xf numFmtId="0" fontId="16" fillId="3" borderId="24" xfId="0" applyFont="1" applyFill="1" applyBorder="1" applyAlignment="1"/>
    <xf numFmtId="0" fontId="16" fillId="3" borderId="14" xfId="0" applyFont="1" applyFill="1" applyBorder="1" applyAlignment="1"/>
    <xf numFmtId="0" fontId="16" fillId="3" borderId="15" xfId="0" applyFont="1" applyFill="1" applyBorder="1" applyAlignment="1"/>
    <xf numFmtId="0" fontId="16" fillId="3" borderId="13" xfId="0" applyFont="1" applyFill="1" applyBorder="1"/>
    <xf numFmtId="0" fontId="16" fillId="3" borderId="13" xfId="0" applyNumberFormat="1" applyFont="1" applyFill="1" applyBorder="1"/>
    <xf numFmtId="9" fontId="16" fillId="3" borderId="13" xfId="0" applyNumberFormat="1" applyFont="1" applyFill="1" applyBorder="1"/>
    <xf numFmtId="0" fontId="16" fillId="7" borderId="13" xfId="0" applyFont="1" applyFill="1" applyBorder="1"/>
    <xf numFmtId="2" fontId="16" fillId="7" borderId="13" xfId="0" applyNumberFormat="1" applyFont="1" applyFill="1" applyBorder="1"/>
    <xf numFmtId="0" fontId="15" fillId="0" borderId="0" xfId="0" applyFont="1" applyAlignment="1"/>
    <xf numFmtId="0" fontId="15" fillId="0" borderId="0" xfId="0" quotePrefix="1" applyFont="1"/>
    <xf numFmtId="0" fontId="15" fillId="0" borderId="12" xfId="0" applyFont="1" applyBorder="1"/>
    <xf numFmtId="0" fontId="15" fillId="2" borderId="2" xfId="1" applyFont="1" applyFill="1" applyBorder="1" applyAlignment="1"/>
    <xf numFmtId="0" fontId="15" fillId="2" borderId="21" xfId="1" applyFont="1" applyFill="1" applyBorder="1" applyAlignment="1"/>
    <xf numFmtId="0" fontId="13" fillId="0" borderId="0" xfId="1" applyFont="1" applyAlignment="1">
      <alignment vertical="center"/>
    </xf>
    <xf numFmtId="49" fontId="13" fillId="0" borderId="0" xfId="1" applyNumberFormat="1" applyFont="1" applyAlignment="1">
      <alignment horizontal="left"/>
    </xf>
    <xf numFmtId="0" fontId="17" fillId="0" borderId="0" xfId="1" applyFont="1" applyAlignment="1">
      <alignment vertical="center"/>
    </xf>
    <xf numFmtId="0" fontId="13" fillId="0" borderId="0" xfId="1" applyFont="1" applyAlignment="1"/>
    <xf numFmtId="0" fontId="17" fillId="0" borderId="0" xfId="1" applyFont="1" applyAlignment="1"/>
    <xf numFmtId="0" fontId="6" fillId="0" borderId="0" xfId="0" applyFont="1" applyBorder="1" applyAlignment="1">
      <alignment horizontal="left" vertical="top"/>
    </xf>
    <xf numFmtId="10" fontId="15" fillId="0" borderId="0" xfId="0" applyNumberFormat="1" applyFont="1" applyFill="1" applyBorder="1"/>
    <xf numFmtId="2" fontId="15" fillId="0" borderId="0" xfId="0" applyNumberFormat="1" applyFont="1" applyFill="1" applyBorder="1"/>
    <xf numFmtId="0" fontId="18" fillId="0" borderId="0" xfId="0" applyFont="1"/>
    <xf numFmtId="0" fontId="15" fillId="0" borderId="0" xfId="0" applyFont="1" applyBorder="1"/>
    <xf numFmtId="0" fontId="16" fillId="2" borderId="12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left" vertical="center"/>
    </xf>
    <xf numFmtId="0" fontId="16" fillId="2" borderId="12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6" fillId="8" borderId="12" xfId="0" applyFont="1" applyFill="1" applyBorder="1" applyAlignment="1">
      <alignment horizontal="center" vertical="center"/>
    </xf>
    <xf numFmtId="2" fontId="16" fillId="3" borderId="13" xfId="0" applyNumberFormat="1" applyFont="1" applyFill="1" applyBorder="1"/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5" fillId="2" borderId="26" xfId="1" applyFont="1" applyFill="1" applyBorder="1" applyAlignment="1"/>
    <xf numFmtId="0" fontId="15" fillId="2" borderId="17" xfId="1" applyFont="1" applyFill="1" applyBorder="1" applyAlignment="1"/>
    <xf numFmtId="0" fontId="15" fillId="2" borderId="27" xfId="1" applyFont="1" applyFill="1" applyBorder="1" applyAlignment="1"/>
    <xf numFmtId="0" fontId="5" fillId="0" borderId="0" xfId="0" applyFont="1"/>
    <xf numFmtId="0" fontId="0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4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8" fillId="2" borderId="17" xfId="1" applyFont="1" applyFill="1" applyBorder="1" applyAlignment="1"/>
    <xf numFmtId="0" fontId="8" fillId="2" borderId="27" xfId="1" applyFont="1" applyFill="1" applyBorder="1" applyAlignment="1"/>
    <xf numFmtId="0" fontId="6" fillId="0" borderId="0" xfId="0" applyFont="1" applyBorder="1" applyAlignment="1">
      <alignment horizontal="left" vertical="top"/>
    </xf>
    <xf numFmtId="0" fontId="7" fillId="13" borderId="13" xfId="0" applyFont="1" applyFill="1" applyBorder="1" applyAlignment="1">
      <alignment horizontal="center" vertical="center"/>
    </xf>
    <xf numFmtId="0" fontId="8" fillId="2" borderId="2" xfId="1" applyFont="1" applyFill="1" applyBorder="1" applyAlignment="1"/>
    <xf numFmtId="0" fontId="8" fillId="2" borderId="26" xfId="1" applyFont="1" applyFill="1" applyBorder="1" applyAlignment="1"/>
    <xf numFmtId="0" fontId="3" fillId="0" borderId="0" xfId="1" applyFont="1" applyAlignment="1">
      <alignment vertical="center"/>
    </xf>
    <xf numFmtId="49" fontId="3" fillId="0" borderId="0" xfId="1" applyNumberFormat="1" applyFont="1" applyAlignment="1">
      <alignment horizontal="left"/>
    </xf>
    <xf numFmtId="0" fontId="3" fillId="0" borderId="0" xfId="1" applyFont="1" applyAlignment="1"/>
    <xf numFmtId="0" fontId="3" fillId="0" borderId="0" xfId="0" applyFont="1"/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4" fillId="0" borderId="0" xfId="0" applyFont="1" applyBorder="1" applyAlignment="1">
      <alignment horizontal="left" vertical="top"/>
    </xf>
    <xf numFmtId="0" fontId="19" fillId="0" borderId="0" xfId="0" applyFont="1"/>
    <xf numFmtId="0" fontId="20" fillId="0" borderId="0" xfId="0" applyFont="1"/>
    <xf numFmtId="0" fontId="2" fillId="0" borderId="0" xfId="1" applyFont="1" applyAlignment="1">
      <alignment vertical="center"/>
    </xf>
    <xf numFmtId="0" fontId="14" fillId="0" borderId="0" xfId="0" applyFont="1" applyBorder="1" applyAlignment="1">
      <alignment horizontal="left" vertical="top"/>
    </xf>
    <xf numFmtId="0" fontId="21" fillId="0" borderId="0" xfId="0" applyFont="1"/>
    <xf numFmtId="0" fontId="14" fillId="0" borderId="0" xfId="0" applyFont="1" applyBorder="1" applyAlignment="1">
      <alignment horizontal="left" vertical="top"/>
    </xf>
    <xf numFmtId="0" fontId="1" fillId="0" borderId="0" xfId="1" applyFont="1" applyAlignment="1">
      <alignment vertical="center"/>
    </xf>
    <xf numFmtId="2" fontId="7" fillId="0" borderId="0" xfId="0" applyNumberFormat="1" applyFont="1" applyFill="1" applyBorder="1" applyAlignment="1">
      <alignment horizontal="right"/>
    </xf>
    <xf numFmtId="0" fontId="8" fillId="0" borderId="0" xfId="0" applyFont="1" applyFill="1" applyBorder="1" applyAlignment="1">
      <alignment horizontal="left"/>
    </xf>
    <xf numFmtId="0" fontId="6" fillId="0" borderId="0" xfId="0" applyFont="1" applyBorder="1" applyAlignment="1">
      <alignment horizontal="left" vertical="top"/>
    </xf>
    <xf numFmtId="0" fontId="7" fillId="3" borderId="10" xfId="0" applyFont="1" applyFill="1" applyBorder="1" applyAlignment="1">
      <alignment horizontal="center" vertical="top"/>
    </xf>
    <xf numFmtId="0" fontId="8" fillId="0" borderId="0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left"/>
    </xf>
    <xf numFmtId="0" fontId="8" fillId="0" borderId="15" xfId="0" applyFont="1" applyBorder="1" applyAlignment="1">
      <alignment horizontal="left"/>
    </xf>
    <xf numFmtId="0" fontId="7" fillId="7" borderId="13" xfId="0" applyFont="1" applyFill="1" applyBorder="1" applyAlignment="1">
      <alignment horizontal="right"/>
    </xf>
    <xf numFmtId="0" fontId="7" fillId="0" borderId="13" xfId="0" applyFont="1" applyBorder="1" applyAlignment="1">
      <alignment horizontal="right"/>
    </xf>
    <xf numFmtId="0" fontId="6" fillId="0" borderId="23" xfId="0" applyFont="1" applyBorder="1" applyAlignment="1">
      <alignment horizontal="center" vertical="center"/>
    </xf>
    <xf numFmtId="0" fontId="7" fillId="3" borderId="13" xfId="0" applyFont="1" applyFill="1" applyBorder="1" applyAlignment="1">
      <alignment horizontal="center"/>
    </xf>
    <xf numFmtId="0" fontId="7" fillId="11" borderId="24" xfId="0" applyFont="1" applyFill="1" applyBorder="1" applyAlignment="1">
      <alignment horizontal="center"/>
    </xf>
    <xf numFmtId="0" fontId="7" fillId="11" borderId="14" xfId="0" applyFont="1" applyFill="1" applyBorder="1" applyAlignment="1">
      <alignment horizontal="center"/>
    </xf>
    <xf numFmtId="0" fontId="7" fillId="11" borderId="15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12" borderId="13" xfId="0" applyFont="1" applyFill="1" applyBorder="1" applyAlignment="1">
      <alignment horizontal="center"/>
    </xf>
    <xf numFmtId="0" fontId="7" fillId="3" borderId="18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3" borderId="20" xfId="0" applyFont="1" applyFill="1" applyBorder="1" applyAlignment="1">
      <alignment horizontal="center" vertical="top"/>
    </xf>
    <xf numFmtId="0" fontId="7" fillId="7" borderId="24" xfId="0" applyFont="1" applyFill="1" applyBorder="1" applyAlignment="1">
      <alignment horizontal="right"/>
    </xf>
    <xf numFmtId="0" fontId="7" fillId="7" borderId="15" xfId="0" applyFont="1" applyFill="1" applyBorder="1" applyAlignment="1">
      <alignment horizontal="right"/>
    </xf>
    <xf numFmtId="0" fontId="7" fillId="0" borderId="24" xfId="0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0" fontId="8" fillId="0" borderId="23" xfId="0" applyFont="1" applyFill="1" applyBorder="1" applyAlignment="1">
      <alignment horizontal="left" vertical="center"/>
    </xf>
    <xf numFmtId="0" fontId="6" fillId="0" borderId="0" xfId="0" applyFont="1" applyFill="1" applyBorder="1" applyAlignment="1">
      <alignment horizontal="left" vertical="top"/>
    </xf>
    <xf numFmtId="0" fontId="16" fillId="11" borderId="24" xfId="0" applyFont="1" applyFill="1" applyBorder="1" applyAlignment="1">
      <alignment horizontal="center"/>
    </xf>
    <xf numFmtId="0" fontId="16" fillId="11" borderId="14" xfId="0" applyFont="1" applyFill="1" applyBorder="1" applyAlignment="1">
      <alignment horizontal="center"/>
    </xf>
    <xf numFmtId="0" fontId="16" fillId="11" borderId="15" xfId="0" applyFont="1" applyFill="1" applyBorder="1" applyAlignment="1">
      <alignment horizontal="center"/>
    </xf>
    <xf numFmtId="0" fontId="14" fillId="0" borderId="23" xfId="0" applyFont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top"/>
    </xf>
    <xf numFmtId="0" fontId="15" fillId="0" borderId="0" xfId="0" applyFont="1" applyFill="1" applyBorder="1" applyAlignment="1">
      <alignment horizontal="left" vertical="center"/>
    </xf>
    <xf numFmtId="0" fontId="15" fillId="0" borderId="24" xfId="0" applyFont="1" applyBorder="1" applyAlignment="1">
      <alignment horizontal="left"/>
    </xf>
    <xf numFmtId="0" fontId="15" fillId="0" borderId="15" xfId="0" applyFont="1" applyBorder="1" applyAlignment="1">
      <alignment horizontal="left"/>
    </xf>
    <xf numFmtId="0" fontId="16" fillId="0" borderId="13" xfId="0" applyFont="1" applyBorder="1" applyAlignment="1">
      <alignment horizontal="right"/>
    </xf>
    <xf numFmtId="0" fontId="16" fillId="7" borderId="13" xfId="0" applyFont="1" applyFill="1" applyBorder="1" applyAlignment="1">
      <alignment horizontal="right"/>
    </xf>
    <xf numFmtId="0" fontId="14" fillId="0" borderId="0" xfId="0" applyFont="1" applyBorder="1" applyAlignment="1">
      <alignment horizontal="left" vertical="top"/>
    </xf>
  </cellXfs>
  <cellStyles count="3">
    <cellStyle name="Normal" xfId="0" builtinId="0"/>
    <cellStyle name="Normal 2" xfId="1"/>
    <cellStyle name="Normal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16" Type="http://schemas.openxmlformats.org/officeDocument/2006/relationships/worksheet" Target="worksheets/sheet116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BDETAILS171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st"/>
      <sheetName val="DBDetails2"/>
      <sheetName val="Sheet3"/>
      <sheetName val="Sheet1"/>
      <sheetName val="Sheet4"/>
      <sheetName val="POSER"/>
      <sheetName val="POGENUD"/>
      <sheetName val="ToleranceQty"/>
      <sheetName val="FreePassDirectGRNUserDefined"/>
      <sheetName val="FreePassDirectRateSer"/>
      <sheetName val="POwithGrnWithoutQualityEnabled"/>
      <sheetName val="PriceListGenWOQE"/>
      <sheetName val="POWithRateContractGen"/>
      <sheetName val="POwithoutQualityRateGen"/>
      <sheetName val="PriceListMaterial"/>
      <sheetName val="POwithRateContractMat"/>
      <sheetName val="POMATUD"/>
      <sheetName val="PurchaseWithImportSupplier"/>
      <sheetName val="STRateContract"/>
      <sheetName val="StockTransferItemGeneralType"/>
      <sheetName val="FreePassUdRateSer"/>
      <sheetName val="FreePassDirectGRNSerUserDefined"/>
      <sheetName val="FreePassDirectGRNRateGen"/>
      <sheetName val="FreePassDirectPriceListGen"/>
      <sheetName val="FreePassDirectGRNPriceListSer"/>
      <sheetName val="RateContractSer"/>
      <sheetName val="PriceListItemGen"/>
      <sheetName val="FreePassUdGen"/>
      <sheetName val="FreePassUDRatContract"/>
      <sheetName val="FreePassGenPrice"/>
      <sheetName val="StockTransferFreePassUD"/>
      <sheetName val="FreePassUdService"/>
      <sheetName val="FreePassSerPrice"/>
      <sheetName val="PriceListItemSer"/>
      <sheetName val="StockTransferPriceList"/>
      <sheetName val="StockTransferPOUserDefined"/>
      <sheetName val="StockTransferSameRateContract"/>
      <sheetName val="DifferentUOMUD"/>
      <sheetName val="DirectGrnDifFreePassRateContGen"/>
      <sheetName val="DirectgrndiffFreePassPricelistG"/>
      <sheetName val="DirectPOWithFreePassItem"/>
      <sheetName val="StockTransferRateDifferent"/>
      <sheetName val="DirectPOPriceListFreePassGRN"/>
      <sheetName val="StocktransferPriceListDifferent"/>
      <sheetName val="PoToGrnRateContractGenWQE"/>
      <sheetName val="PotoGRNDiffUOMPriceListGenWQE"/>
      <sheetName val="PoToGrnDifferentUomGenWOQE"/>
      <sheetName val="DifferentUOMRateGen"/>
      <sheetName val="StockTransferUDFreePass"/>
      <sheetName val="StockTransferRCFreePass"/>
      <sheetName val="StockTransferPricelistFreePass"/>
      <sheetName val="DifferentUOMPriceListGen"/>
      <sheetName val="StockTransferUDDifferentUOM"/>
      <sheetName val="DifferentUOMMATUD"/>
      <sheetName val="DifferentUOMStocktransferUD"/>
      <sheetName val="DifferentUOMRateMat"/>
      <sheetName val="POwithGrnWithoutQEMaterial"/>
      <sheetName val="POwithoutQualityRateMat"/>
      <sheetName val="StockTransferPORateContract"/>
      <sheetName val="StockTransferPOpriceList"/>
      <sheetName val="StocktransferPriceListPO"/>
      <sheetName val="TvsMrvApplicationControl"/>
      <sheetName val="MrvLineWiseCancel"/>
      <sheetName val="LocalUnregisterSuplier"/>
      <sheetName val="InterstateSupplierUnregister"/>
      <sheetName val="CESS"/>
      <sheetName val="WithoutDiscount"/>
      <sheetName val="LandedCostDB"/>
      <sheetName val="LandedCostWTDS"/>
      <sheetName val="LandedCostWTDSandESI"/>
      <sheetName val="LandedCostHSNCHanged"/>
      <sheetName val="LandedCostAdditem"/>
      <sheetName val="LandedCostAddition"/>
      <sheetName val="LandedCostDeduction"/>
      <sheetName val="RoundOFValue"/>
      <sheetName val="StocktransferAddItem"/>
      <sheetName val="StockTransferAddLocalRCM"/>
      <sheetName val="StockTransferAddLocalEXToIGST"/>
      <sheetName val="StockTransferAddIterstateEXWRCM"/>
      <sheetName val="StockTransferAddIterstateEX"/>
      <sheetName val="StockTransferAddLocalEX"/>
      <sheetName val="StocktransferInterstate"/>
      <sheetName val="StocktransferISForRCM"/>
      <sheetName val="StocktransferLC"/>
      <sheetName val="StocktransferAddItemWithEx"/>
      <sheetName val="hdh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>
        <row r="21">
          <cell r="C21">
            <v>1</v>
          </cell>
          <cell r="M21">
            <v>1</v>
          </cell>
          <cell r="P21">
            <v>2</v>
          </cell>
        </row>
        <row r="23">
          <cell r="G23" t="str">
            <v>3300</v>
          </cell>
        </row>
        <row r="24">
          <cell r="S24">
            <v>970.3</v>
          </cell>
          <cell r="AD24">
            <v>120</v>
          </cell>
        </row>
      </sheetData>
      <sheetData sheetId="84"/>
      <sheetData sheetId="8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hyperlink" Target="https://webappqc.roadmaperp.com:8765/ords/r/autojen27/scm-us9011/warehouse1?p367019101_rowid=AABFg5AAJAAEIFuAAT&amp;p367019101_store_id=DU3-INS%20WH&amp;session=6019243164867" TargetMode="Externa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hyperlink" Target="https://webappqc.roadmaperp.com:8765/ords/r/autojen27/scm-us9011/warehouse1?p367019101_rowid=AABFg5AAJAAEIFvAAL&amp;p367019101_store_id=INS%20WH-DC1&amp;session=16961274983825" TargetMode="Externa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11"/>
  <sheetViews>
    <sheetView workbookViewId="0">
      <selection activeCell="A4" sqref="A4"/>
    </sheetView>
  </sheetViews>
  <sheetFormatPr defaultColWidth="9" defaultRowHeight="15"/>
  <cols>
    <col min="1" max="1" width="15.42578125" customWidth="1"/>
    <col min="2" max="2" width="16.140625" customWidth="1"/>
    <col min="3" max="3" width="10.7109375" customWidth="1"/>
    <col min="4" max="4" width="15.5703125" customWidth="1"/>
    <col min="5" max="5" width="8.7109375" customWidth="1"/>
    <col min="6" max="6" width="13.7109375" customWidth="1"/>
    <col min="7" max="7" width="26.85546875" customWidth="1"/>
    <col min="8" max="8" width="11.140625" customWidth="1"/>
    <col min="9" max="9" width="13.140625" customWidth="1"/>
    <col min="10" max="10" width="15.7109375" customWidth="1"/>
    <col min="22" max="22" width="13.5703125" customWidth="1"/>
    <col min="23" max="23" width="12.42578125" customWidth="1"/>
    <col min="24" max="24" width="17.85546875" customWidth="1"/>
    <col min="25" max="25" width="8.140625" customWidth="1"/>
    <col min="26" max="26" width="21.140625" customWidth="1"/>
  </cols>
  <sheetData>
    <row r="1" spans="1:26">
      <c r="A1" s="130" t="s">
        <v>0</v>
      </c>
      <c r="B1" s="130" t="s">
        <v>1</v>
      </c>
      <c r="C1" s="130" t="s">
        <v>2</v>
      </c>
      <c r="D1" s="131" t="s">
        <v>3</v>
      </c>
      <c r="E1" s="131" t="s">
        <v>4</v>
      </c>
      <c r="F1" s="131" t="s">
        <v>5</v>
      </c>
      <c r="G1" s="131" t="s">
        <v>6</v>
      </c>
      <c r="H1" s="131" t="s">
        <v>7</v>
      </c>
      <c r="I1" s="131" t="s">
        <v>8</v>
      </c>
      <c r="J1" s="131" t="s">
        <v>9</v>
      </c>
      <c r="K1" s="131" t="s">
        <v>10</v>
      </c>
      <c r="L1" s="131" t="s">
        <v>11</v>
      </c>
      <c r="M1" s="131" t="s">
        <v>12</v>
      </c>
      <c r="N1" s="131" t="s">
        <v>13</v>
      </c>
      <c r="O1" s="131" t="s">
        <v>14</v>
      </c>
      <c r="P1" s="131" t="s">
        <v>15</v>
      </c>
      <c r="Q1" s="131" t="s">
        <v>16</v>
      </c>
      <c r="R1" s="131" t="s">
        <v>17</v>
      </c>
      <c r="S1" s="131" t="s">
        <v>18</v>
      </c>
      <c r="T1" s="131" t="s">
        <v>19</v>
      </c>
      <c r="U1" s="131" t="s">
        <v>20</v>
      </c>
      <c r="V1" s="131" t="s">
        <v>21</v>
      </c>
      <c r="W1" s="133" t="s">
        <v>22</v>
      </c>
      <c r="X1" s="133" t="s">
        <v>23</v>
      </c>
      <c r="Y1" s="133" t="s">
        <v>24</v>
      </c>
      <c r="Z1" s="133" t="s">
        <v>25</v>
      </c>
    </row>
    <row r="2" spans="1:26">
      <c r="A2" t="s">
        <v>26</v>
      </c>
      <c r="B2" t="s">
        <v>27</v>
      </c>
      <c r="C2" s="120">
        <v>10</v>
      </c>
      <c r="D2" s="95">
        <v>100</v>
      </c>
      <c r="E2" s="120">
        <f>A2+C2</f>
        <v>1152.5999999999999</v>
      </c>
      <c r="F2" s="120">
        <f t="shared" ref="F2:F4" si="0">ROUND(((A2*B2)+(C2*D2))/(C2+A2),5)</f>
        <v>138.51226</v>
      </c>
      <c r="G2" s="120" t="s">
        <v>28</v>
      </c>
      <c r="H2" s="120" t="s">
        <v>29</v>
      </c>
      <c r="I2" s="120" t="s">
        <v>30</v>
      </c>
      <c r="J2" s="120">
        <v>2</v>
      </c>
      <c r="K2" s="120" t="s">
        <v>31</v>
      </c>
      <c r="L2" s="120">
        <v>1000</v>
      </c>
      <c r="M2" s="120">
        <v>1000</v>
      </c>
      <c r="N2" s="120">
        <v>10</v>
      </c>
      <c r="O2" s="120">
        <v>100</v>
      </c>
      <c r="P2" s="120">
        <v>900</v>
      </c>
      <c r="Q2" s="120">
        <v>10</v>
      </c>
      <c r="R2" s="120">
        <v>90</v>
      </c>
      <c r="S2" s="120">
        <v>810</v>
      </c>
      <c r="T2" s="120">
        <v>10</v>
      </c>
      <c r="U2" s="120">
        <v>81</v>
      </c>
      <c r="V2" s="120">
        <v>729</v>
      </c>
      <c r="W2" s="134" t="s">
        <v>32</v>
      </c>
      <c r="X2" s="134" t="s">
        <v>33</v>
      </c>
      <c r="Y2" s="134">
        <v>5</v>
      </c>
      <c r="Z2" s="134" t="s">
        <v>34</v>
      </c>
    </row>
    <row r="3" spans="1:26">
      <c r="A3" t="s">
        <v>35</v>
      </c>
      <c r="B3" t="s">
        <v>36</v>
      </c>
      <c r="C3" s="120">
        <v>20</v>
      </c>
      <c r="D3" s="120">
        <v>200</v>
      </c>
      <c r="E3" s="120">
        <f t="shared" ref="E3:E4" si="1">A3+C3</f>
        <v>8682</v>
      </c>
      <c r="F3" s="120">
        <f t="shared" si="0"/>
        <v>100.89381</v>
      </c>
      <c r="G3" s="120" t="s">
        <v>37</v>
      </c>
      <c r="H3" s="120" t="s">
        <v>38</v>
      </c>
      <c r="I3" s="120" t="s">
        <v>30</v>
      </c>
      <c r="J3" s="120" t="s">
        <v>39</v>
      </c>
      <c r="K3" s="120" t="s">
        <v>31</v>
      </c>
      <c r="L3" s="120">
        <v>4000</v>
      </c>
      <c r="M3" s="120">
        <v>4000</v>
      </c>
      <c r="N3" s="120">
        <v>10</v>
      </c>
      <c r="O3" s="120">
        <v>400</v>
      </c>
      <c r="P3" s="120">
        <v>3600</v>
      </c>
      <c r="Q3" s="120">
        <v>10</v>
      </c>
      <c r="R3" s="120">
        <v>360</v>
      </c>
      <c r="S3" s="120">
        <v>3240</v>
      </c>
      <c r="T3" s="120">
        <v>10</v>
      </c>
      <c r="U3" s="120">
        <v>324</v>
      </c>
      <c r="V3" s="120">
        <v>2916</v>
      </c>
      <c r="W3" s="134" t="s">
        <v>40</v>
      </c>
      <c r="X3" s="134" t="s">
        <v>41</v>
      </c>
      <c r="Y3" s="134">
        <v>100</v>
      </c>
      <c r="Z3" s="134" t="s">
        <v>34</v>
      </c>
    </row>
    <row r="4" spans="1:26">
      <c r="A4" t="s">
        <v>42</v>
      </c>
      <c r="B4" t="s">
        <v>43</v>
      </c>
      <c r="C4" s="120">
        <v>10</v>
      </c>
      <c r="D4" s="120">
        <v>300</v>
      </c>
      <c r="E4" s="120">
        <f t="shared" si="1"/>
        <v>11412</v>
      </c>
      <c r="F4" s="120">
        <f t="shared" si="0"/>
        <v>262.44596999999999</v>
      </c>
      <c r="G4" s="120" t="s">
        <v>44</v>
      </c>
      <c r="H4" s="120" t="s">
        <v>45</v>
      </c>
      <c r="I4" s="120" t="s">
        <v>30</v>
      </c>
      <c r="J4" s="120" t="s">
        <v>39</v>
      </c>
      <c r="K4" s="120" t="s">
        <v>31</v>
      </c>
      <c r="L4" s="120">
        <v>3000</v>
      </c>
      <c r="M4" s="120">
        <v>3000</v>
      </c>
      <c r="N4" s="120">
        <v>10</v>
      </c>
      <c r="O4" s="120">
        <v>300</v>
      </c>
      <c r="P4" s="120">
        <v>2700</v>
      </c>
      <c r="Q4" s="120">
        <v>10</v>
      </c>
      <c r="R4" s="120">
        <v>270</v>
      </c>
      <c r="S4" s="120">
        <v>2430</v>
      </c>
      <c r="T4" s="120">
        <v>10</v>
      </c>
      <c r="U4" s="120">
        <v>243</v>
      </c>
      <c r="V4" s="120">
        <v>2187</v>
      </c>
    </row>
    <row r="5" spans="1:26">
      <c r="A5" s="132"/>
      <c r="B5" s="132"/>
      <c r="C5" s="132"/>
    </row>
    <row r="6" spans="1:26">
      <c r="A6" s="132"/>
      <c r="B6" s="132"/>
      <c r="C6" s="132"/>
    </row>
    <row r="7" spans="1:26">
      <c r="A7" s="132"/>
      <c r="B7" s="132"/>
      <c r="C7" s="132"/>
    </row>
    <row r="8" spans="1:26">
      <c r="A8" s="132"/>
      <c r="B8" s="132"/>
      <c r="C8" s="132"/>
    </row>
    <row r="9" spans="1:26">
      <c r="A9" s="132"/>
      <c r="B9" s="132"/>
      <c r="C9" s="132"/>
    </row>
    <row r="10" spans="1:26">
      <c r="A10" s="132"/>
      <c r="B10" s="132"/>
      <c r="C10" s="132"/>
    </row>
    <row r="11" spans="1:26">
      <c r="A11" s="132"/>
      <c r="B11" s="132"/>
      <c r="C11" s="132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BH49"/>
  <sheetViews>
    <sheetView topLeftCell="A7" workbookViewId="0">
      <selection activeCell="AZ25" sqref="AZ25"/>
    </sheetView>
  </sheetViews>
  <sheetFormatPr defaultColWidth="10.140625" defaultRowHeight="15"/>
  <cols>
    <col min="2" max="2" width="21.42578125" customWidth="1"/>
    <col min="3" max="3" width="26.85546875" customWidth="1"/>
    <col min="4" max="4" width="62.7109375" customWidth="1"/>
    <col min="5" max="5" width="11.28515625" customWidth="1"/>
    <col min="6" max="6" width="17.5703125" customWidth="1"/>
    <col min="9" max="9" width="15.28515625" customWidth="1"/>
    <col min="12" max="12" width="16.28515625" customWidth="1"/>
    <col min="13" max="13" width="13.85546875" customWidth="1"/>
    <col min="14" max="14" width="18.85546875" customWidth="1"/>
    <col min="15" max="15" width="19" customWidth="1"/>
    <col min="16" max="16" width="21.7109375" customWidth="1"/>
    <col min="17" max="17" width="37.7109375" customWidth="1"/>
    <col min="18" max="18" width="13.7109375" customWidth="1"/>
    <col min="19" max="19" width="12.42578125" customWidth="1"/>
    <col min="20" max="20" width="12.5703125" customWidth="1"/>
    <col min="22" max="22" width="30.5703125" customWidth="1"/>
    <col min="23" max="23" width="9.42578125" customWidth="1"/>
    <col min="24" max="24" width="10.7109375" customWidth="1"/>
    <col min="27" max="27" width="12.85546875" customWidth="1"/>
    <col min="28" max="28" width="10.7109375" customWidth="1"/>
    <col min="30" max="31" width="10.7109375" customWidth="1"/>
    <col min="32" max="32" width="14.28515625" customWidth="1"/>
    <col min="33" max="33" width="10.7109375" customWidth="1"/>
    <col min="35" max="35" width="13.5703125" customWidth="1"/>
    <col min="36" max="36" width="15.5703125" customWidth="1"/>
    <col min="40" max="40" width="11.85546875" customWidth="1"/>
    <col min="41" max="41" width="23.2851562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.5703125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0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130</v>
      </c>
      <c r="AQ22" s="3" t="s">
        <v>128</v>
      </c>
      <c r="AR22" s="82" t="s">
        <v>131</v>
      </c>
      <c r="AS22" s="82" t="s">
        <v>132</v>
      </c>
      <c r="AT22" s="119" t="s">
        <v>133</v>
      </c>
      <c r="AU22" s="119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140</v>
      </c>
      <c r="BD22" s="82" t="s">
        <v>141</v>
      </c>
      <c r="BE22" s="119" t="s">
        <v>142</v>
      </c>
      <c r="BF22" s="119" t="s">
        <v>143</v>
      </c>
      <c r="BG22" s="119" t="s">
        <v>144</v>
      </c>
      <c r="BH22" s="122"/>
    </row>
    <row r="23" spans="1:60">
      <c r="A23" s="68">
        <v>1</v>
      </c>
      <c r="B23" s="120" t="s">
        <v>28</v>
      </c>
      <c r="C23" s="68" t="s">
        <v>57</v>
      </c>
      <c r="D23" s="68" t="s">
        <v>58</v>
      </c>
      <c r="E23" s="68" t="s">
        <v>58</v>
      </c>
      <c r="F23" s="108">
        <v>25</v>
      </c>
      <c r="G23" t="s">
        <v>145</v>
      </c>
      <c r="H23" s="89" t="e">
        <f>F23*G23</f>
        <v>#VALUE!</v>
      </c>
      <c r="I23" s="69">
        <v>2.21</v>
      </c>
      <c r="J23" s="69">
        <v>1.79</v>
      </c>
      <c r="K23" s="69">
        <v>2.5</v>
      </c>
      <c r="L23" s="89" t="e">
        <f>H23</f>
        <v>#VALUE!</v>
      </c>
      <c r="M23" s="89" t="e">
        <f>ROUND(L23*I23%,2)</f>
        <v>#VALUE!</v>
      </c>
      <c r="N23" s="89" t="e">
        <f>H23-M23</f>
        <v>#VALUE!</v>
      </c>
      <c r="O23" s="89" t="e">
        <f>ROUND(N23*J23%,2)</f>
        <v>#VALUE!</v>
      </c>
      <c r="P23" s="89" t="e">
        <f>ROUND(N23-O23,2)</f>
        <v>#VALUE!</v>
      </c>
      <c r="Q23" s="89" t="e">
        <f>ROUND(P23*K23%,2)</f>
        <v>#VALUE!</v>
      </c>
      <c r="R23" s="89" t="e">
        <f>M23+O23+Q23</f>
        <v>#VALUE!</v>
      </c>
      <c r="S23" s="69" t="e">
        <f>(H23-R23)</f>
        <v>#VALUE!</v>
      </c>
      <c r="T23" s="89" t="s">
        <v>146</v>
      </c>
      <c r="U23" s="79">
        <v>0.18</v>
      </c>
      <c r="V23" s="89" t="e">
        <f>IF($C$21=1,ROUND(((S23*U23)/2),2),0)</f>
        <v>#VALUE!</v>
      </c>
      <c r="W23" s="89" t="e">
        <f>IF($C$21=1,ROUND(((S23*U23)/2),2),0)</f>
        <v>#VALUE!</v>
      </c>
      <c r="X23" s="69">
        <f>IF($C$21=2,ROUND(((S23*U23)),2),0)</f>
        <v>0</v>
      </c>
      <c r="Y23" s="89" t="e">
        <f>V23+W23+X23</f>
        <v>#VALUE!</v>
      </c>
      <c r="Z23" s="89" t="e">
        <f t="shared" ref="Z23:Z25" si="1">S23+Y23</f>
        <v>#VALUE!</v>
      </c>
      <c r="AA23" s="89">
        <v>120</v>
      </c>
      <c r="AB23" s="89" t="e">
        <f>IF($P$21=1,(S23/$S$26)*$E$37,AA23/$AA$26*$E$37)</f>
        <v>#VALUE!</v>
      </c>
      <c r="AC23" s="89"/>
      <c r="AD23" s="89" t="e">
        <f>IF($P$21=1,(S23/$S$26)*$E$39,AA23/$AA$26*$E$39)</f>
        <v>#VALUE!</v>
      </c>
      <c r="AE23" s="89" t="e">
        <f>IF($P$21=1,(S23/$S$26)*$E$39,AA23/$AA$26*$E$39)</f>
        <v>#VALUE!</v>
      </c>
      <c r="AF23" s="89" t="e">
        <f t="shared" ref="AF23:AF25" si="2">S23*$M$21</f>
        <v>#VALUE!</v>
      </c>
      <c r="AG23" s="89" t="e">
        <f t="shared" ref="AG23:AG25" si="3">IF($C$21=3,0,AD23+AE23)</f>
        <v>#VALUE!</v>
      </c>
      <c r="AH23" s="89">
        <f t="shared" ref="AH23:AH25" si="4">IF($C$21=3,AB23+AD23+AE23,0)</f>
        <v>0</v>
      </c>
      <c r="AI23" s="108">
        <v>1</v>
      </c>
      <c r="AJ23" s="89">
        <f t="shared" ref="AJ23:AJ25" si="5">F23/AI23</f>
        <v>25</v>
      </c>
      <c r="AK23" s="89" t="e">
        <f>AF23/AJ23</f>
        <v>#VALUE!</v>
      </c>
      <c r="AL23" s="89" t="e">
        <f>AG23/AJ23</f>
        <v>#VALUE!</v>
      </c>
      <c r="AM23" s="89">
        <f>AH23/AJ23</f>
        <v>0</v>
      </c>
      <c r="AN23" s="89" t="s">
        <v>58</v>
      </c>
      <c r="AO23" s="89" t="e">
        <f>AK23+AL23+AM23</f>
        <v>#VALUE!</v>
      </c>
      <c r="AP23" s="57" t="s">
        <v>31</v>
      </c>
      <c r="AQ23" s="57" t="s">
        <v>58</v>
      </c>
      <c r="AR23" t="s">
        <v>147</v>
      </c>
      <c r="AS23" t="s">
        <v>148</v>
      </c>
      <c r="AT23" s="59">
        <f>AJ23</f>
        <v>25</v>
      </c>
      <c r="AU23" s="59" t="e">
        <f>AO23</f>
        <v>#VALUE!</v>
      </c>
      <c r="AV23" s="59">
        <f>AR23+AT23</f>
        <v>1177.5999999999999</v>
      </c>
      <c r="AW23" s="57" t="e">
        <f>ROUND(((AR23*AS23)+(AT23*AU23))/(AR23+AT23),5)</f>
        <v>#VALUE!</v>
      </c>
      <c r="AX23" s="106"/>
      <c r="AY23" s="106" t="s">
        <v>149</v>
      </c>
      <c r="AZ23" s="120" t="s">
        <v>29</v>
      </c>
      <c r="BA23" s="106"/>
      <c r="BB23" s="106"/>
      <c r="BC23" s="121"/>
      <c r="BD23" s="106"/>
      <c r="BE23" s="57"/>
      <c r="BF23" s="57"/>
      <c r="BG23" s="57"/>
      <c r="BH23" s="123"/>
    </row>
    <row r="24" spans="1:60">
      <c r="A24" s="68">
        <v>2</v>
      </c>
      <c r="B24" s="124" t="s">
        <v>37</v>
      </c>
      <c r="C24" s="68" t="s">
        <v>60</v>
      </c>
      <c r="D24" s="68" t="s">
        <v>58</v>
      </c>
      <c r="E24" s="68" t="s">
        <v>58</v>
      </c>
      <c r="F24" s="108">
        <v>35</v>
      </c>
      <c r="G24" t="s">
        <v>145</v>
      </c>
      <c r="H24" s="89" t="e">
        <f t="shared" ref="H24:H25" si="6">F24*G24</f>
        <v>#VALUE!</v>
      </c>
      <c r="I24" s="69">
        <v>1.25</v>
      </c>
      <c r="J24" s="69">
        <v>1.68</v>
      </c>
      <c r="K24" s="69">
        <v>2.5</v>
      </c>
      <c r="L24" s="89" t="e">
        <f>H24</f>
        <v>#VALUE!</v>
      </c>
      <c r="M24" s="89" t="e">
        <f>ROUND(L24*I24%,2)</f>
        <v>#VALUE!</v>
      </c>
      <c r="N24" s="89" t="e">
        <f t="shared" ref="N24:N25" si="7">H24-M24</f>
        <v>#VALUE!</v>
      </c>
      <c r="O24" s="89" t="e">
        <f t="shared" ref="O24:O25" si="8">ROUND(N24*J24%,2)</f>
        <v>#VALUE!</v>
      </c>
      <c r="P24" s="89" t="e">
        <f t="shared" ref="P24:P25" si="9">ROUND(N24-O24,2)</f>
        <v>#VALUE!</v>
      </c>
      <c r="Q24" s="89" t="e">
        <f t="shared" ref="Q24:Q25" si="10">ROUND(P24*K24%,2)</f>
        <v>#VALUE!</v>
      </c>
      <c r="R24" s="89" t="e">
        <f t="shared" ref="R24:R25" si="11">M24+O24+Q24</f>
        <v>#VALUE!</v>
      </c>
      <c r="S24" s="69" t="e">
        <f t="shared" ref="S24:S25" si="12">(H24-R24)</f>
        <v>#VALUE!</v>
      </c>
      <c r="T24" s="89" t="s">
        <v>146</v>
      </c>
      <c r="U24" s="79">
        <v>0.18</v>
      </c>
      <c r="V24" s="89" t="e">
        <f t="shared" ref="V24:V25" si="13">IF($C$21=1,ROUND(((S24*U24)/2),2),0)</f>
        <v>#VALUE!</v>
      </c>
      <c r="W24" s="89" t="e">
        <f t="shared" ref="W24:W25" si="14">IF($C$21=1,ROUND(((S24*U24)/2),2),0)</f>
        <v>#VALUE!</v>
      </c>
      <c r="X24" s="69">
        <f t="shared" ref="X24:X25" si="15">IF($C$21=2,ROUND(((S24*U24)),2),0)</f>
        <v>0</v>
      </c>
      <c r="Y24" s="89" t="e">
        <f t="shared" ref="Y24:Y25" si="16">V24+W24+X24</f>
        <v>#VALUE!</v>
      </c>
      <c r="Z24" s="89" t="e">
        <f t="shared" si="1"/>
        <v>#VALUE!</v>
      </c>
      <c r="AA24" s="89">
        <v>200</v>
      </c>
      <c r="AB24" s="89" t="e">
        <f>IF($P$21=1,(S24/$S$26)*$E$37,AA24/$AA$26*$E$37)</f>
        <v>#VALUE!</v>
      </c>
      <c r="AC24" s="89"/>
      <c r="AD24" s="89" t="e">
        <f>IF($P$21=1,(S24/$S$26)*$E$39,AA24/$AA$26*$E$39)</f>
        <v>#VALUE!</v>
      </c>
      <c r="AE24" s="89" t="e">
        <f>IF($P$21=1,(S24/$S$26)*$E$39,AA24/$AA$26*$E$39)</f>
        <v>#VALUE!</v>
      </c>
      <c r="AF24" s="89" t="e">
        <f t="shared" si="2"/>
        <v>#VALUE!</v>
      </c>
      <c r="AG24" s="89" t="e">
        <f t="shared" si="3"/>
        <v>#VALUE!</v>
      </c>
      <c r="AH24" s="89">
        <f t="shared" si="4"/>
        <v>0</v>
      </c>
      <c r="AI24" s="108">
        <v>1</v>
      </c>
      <c r="AJ24" s="89">
        <f t="shared" si="5"/>
        <v>35</v>
      </c>
      <c r="AK24" s="89" t="e">
        <f t="shared" ref="AK24:AK25" si="17">AF24/AJ24</f>
        <v>#VALUE!</v>
      </c>
      <c r="AL24" s="89" t="e">
        <f t="shared" ref="AL24:AL25" si="18">AG24/AJ24</f>
        <v>#VALUE!</v>
      </c>
      <c r="AM24" s="89">
        <f t="shared" ref="AM24:AM25" si="19">AH24/AJ24</f>
        <v>0</v>
      </c>
      <c r="AN24" s="89" t="s">
        <v>58</v>
      </c>
      <c r="AO24" s="89" t="e">
        <f t="shared" ref="AO24:AO25" si="20">AK24+AL24+AM24</f>
        <v>#VALUE!</v>
      </c>
      <c r="AP24" s="57" t="s">
        <v>31</v>
      </c>
      <c r="AQ24" s="57" t="s">
        <v>58</v>
      </c>
      <c r="AR24" t="s">
        <v>150</v>
      </c>
      <c r="AS24" t="s">
        <v>151</v>
      </c>
      <c r="AT24" s="59">
        <f>AJ24</f>
        <v>35</v>
      </c>
      <c r="AU24" s="59" t="e">
        <f>AO24</f>
        <v>#VALUE!</v>
      </c>
      <c r="AV24" s="59">
        <f t="shared" ref="AV24:AV25" si="21">AR24+AT24</f>
        <v>8717</v>
      </c>
      <c r="AW24" s="57" t="e">
        <f t="shared" ref="AW24:AW25" si="22">((AR24*AS24)+(AT24*AU24))/(AR24+AT24)</f>
        <v>#VALUE!</v>
      </c>
      <c r="AX24" s="106"/>
      <c r="AY24" s="106"/>
      <c r="AZ24" s="120" t="s">
        <v>38</v>
      </c>
      <c r="BA24" s="106" t="s">
        <v>152</v>
      </c>
      <c r="BB24" s="106"/>
      <c r="BC24" s="121"/>
      <c r="BD24" s="106"/>
      <c r="BE24" s="57"/>
      <c r="BF24" s="57"/>
      <c r="BG24" s="57"/>
      <c r="BH24" s="123"/>
    </row>
    <row r="25" spans="1:60">
      <c r="A25" s="68">
        <v>3</v>
      </c>
      <c r="B25" s="120" t="s">
        <v>44</v>
      </c>
      <c r="C25" s="68" t="s">
        <v>62</v>
      </c>
      <c r="D25" s="68" t="s">
        <v>58</v>
      </c>
      <c r="E25" s="68" t="s">
        <v>58</v>
      </c>
      <c r="F25" s="108">
        <v>45</v>
      </c>
      <c r="G25" t="s">
        <v>145</v>
      </c>
      <c r="H25" s="89" t="e">
        <f t="shared" si="6"/>
        <v>#VALUE!</v>
      </c>
      <c r="I25" s="69">
        <v>1.25</v>
      </c>
      <c r="J25" s="69">
        <v>0.25</v>
      </c>
      <c r="K25" s="69">
        <v>2.5</v>
      </c>
      <c r="L25" s="89" t="e">
        <f>H25</f>
        <v>#VALUE!</v>
      </c>
      <c r="M25" s="89" t="e">
        <f>ROUND(L25*I25%,2)</f>
        <v>#VALUE!</v>
      </c>
      <c r="N25" s="89" t="e">
        <f t="shared" si="7"/>
        <v>#VALUE!</v>
      </c>
      <c r="O25" s="89" t="e">
        <f t="shared" si="8"/>
        <v>#VALUE!</v>
      </c>
      <c r="P25" s="89" t="e">
        <f t="shared" si="9"/>
        <v>#VALUE!</v>
      </c>
      <c r="Q25" s="89" t="e">
        <f t="shared" si="10"/>
        <v>#VALUE!</v>
      </c>
      <c r="R25" s="89" t="e">
        <f t="shared" si="11"/>
        <v>#VALUE!</v>
      </c>
      <c r="S25" s="69" t="e">
        <f t="shared" si="12"/>
        <v>#VALUE!</v>
      </c>
      <c r="T25" s="89" t="s">
        <v>146</v>
      </c>
      <c r="U25" s="79">
        <v>0.18</v>
      </c>
      <c r="V25" s="89" t="e">
        <f t="shared" si="13"/>
        <v>#VALUE!</v>
      </c>
      <c r="W25" s="89" t="e">
        <f t="shared" si="14"/>
        <v>#VALUE!</v>
      </c>
      <c r="X25" s="69">
        <f t="shared" si="15"/>
        <v>0</v>
      </c>
      <c r="Y25" s="89" t="e">
        <f t="shared" si="16"/>
        <v>#VALUE!</v>
      </c>
      <c r="Z25" s="89" t="e">
        <f t="shared" si="1"/>
        <v>#VALUE!</v>
      </c>
      <c r="AA25" s="89">
        <v>150</v>
      </c>
      <c r="AB25" s="89" t="e">
        <f>IF($P$21=1,(S25/$S$26)*$E$37,AA25/$AA$26*$E$37)</f>
        <v>#VALUE!</v>
      </c>
      <c r="AC25" s="89"/>
      <c r="AD25" s="89" t="e">
        <f>IF($P$21=1,(S25/$S$26)*$E$39,AA25/$AA$26*$E$39)</f>
        <v>#VALUE!</v>
      </c>
      <c r="AE25" s="89" t="e">
        <f>IF($P$21=1,(S25/$S$26)*$E$39,AA25/$AA$26*$E$39)</f>
        <v>#VALUE!</v>
      </c>
      <c r="AF25" s="89" t="e">
        <f t="shared" si="2"/>
        <v>#VALUE!</v>
      </c>
      <c r="AG25" s="89" t="e">
        <f t="shared" si="3"/>
        <v>#VALUE!</v>
      </c>
      <c r="AH25" s="89">
        <f t="shared" si="4"/>
        <v>0</v>
      </c>
      <c r="AI25" s="108">
        <v>1</v>
      </c>
      <c r="AJ25" s="89">
        <f t="shared" si="5"/>
        <v>45</v>
      </c>
      <c r="AK25" s="89" t="e">
        <f t="shared" si="17"/>
        <v>#VALUE!</v>
      </c>
      <c r="AL25" s="89" t="e">
        <f t="shared" si="18"/>
        <v>#VALUE!</v>
      </c>
      <c r="AM25" s="89">
        <f t="shared" si="19"/>
        <v>0</v>
      </c>
      <c r="AN25" s="89" t="s">
        <v>58</v>
      </c>
      <c r="AO25" s="89" t="e">
        <f t="shared" si="20"/>
        <v>#VALUE!</v>
      </c>
      <c r="AP25" s="57" t="s">
        <v>31</v>
      </c>
      <c r="AQ25" s="57" t="s">
        <v>58</v>
      </c>
      <c r="AR25" t="s">
        <v>42</v>
      </c>
      <c r="AS25" t="s">
        <v>43</v>
      </c>
      <c r="AT25" s="59">
        <f>AJ25</f>
        <v>45</v>
      </c>
      <c r="AU25" s="59" t="e">
        <f>AO25</f>
        <v>#VALUE!</v>
      </c>
      <c r="AV25" s="59">
        <f t="shared" si="21"/>
        <v>11447</v>
      </c>
      <c r="AW25" s="57" t="e">
        <f t="shared" si="22"/>
        <v>#VALUE!</v>
      </c>
      <c r="AX25" s="106"/>
      <c r="AY25" s="106"/>
      <c r="AZ25" s="120" t="s">
        <v>45</v>
      </c>
      <c r="BA25" s="106"/>
      <c r="BB25" s="106" t="s">
        <v>39</v>
      </c>
      <c r="BC25" s="121"/>
      <c r="BD25" s="106"/>
      <c r="BE25" s="57"/>
      <c r="BF25" s="57"/>
      <c r="BG25" s="57"/>
      <c r="BH25" s="123"/>
    </row>
    <row r="26" spans="1:60" ht="15" customHeight="1">
      <c r="A26" s="66"/>
      <c r="B26" s="70"/>
      <c r="C26" s="70"/>
      <c r="D26" s="29" t="s">
        <v>87</v>
      </c>
      <c r="E26" s="29"/>
      <c r="F26" s="29"/>
      <c r="G26" s="30"/>
      <c r="H26" s="71" t="e">
        <f>SUM(H23:H25)</f>
        <v>#VALUE!</v>
      </c>
      <c r="I26" s="68"/>
      <c r="J26" s="68"/>
      <c r="K26" s="68"/>
      <c r="L26" s="68"/>
      <c r="M26" s="68"/>
      <c r="N26" s="68"/>
      <c r="O26" s="68"/>
      <c r="P26" s="68"/>
      <c r="Q26" s="68"/>
      <c r="R26" s="71" t="e">
        <f>SUM(R23:R25)</f>
        <v>#VALUE!</v>
      </c>
      <c r="S26" s="77" t="e">
        <f>SUM(S23:S25)</f>
        <v>#VALUE!</v>
      </c>
      <c r="T26" s="71"/>
      <c r="U26" s="71"/>
      <c r="V26" s="78" t="e">
        <f t="shared" ref="V26:AB26" si="23">SUM(V23:V25)</f>
        <v>#VALUE!</v>
      </c>
      <c r="W26" s="78" t="e">
        <f t="shared" si="23"/>
        <v>#VALUE!</v>
      </c>
      <c r="X26" s="78">
        <f t="shared" si="23"/>
        <v>0</v>
      </c>
      <c r="Y26" s="71" t="e">
        <f t="shared" si="23"/>
        <v>#VALUE!</v>
      </c>
      <c r="Z26" s="80" t="e">
        <f t="shared" si="23"/>
        <v>#VALUE!</v>
      </c>
      <c r="AA26" s="81">
        <f t="shared" si="23"/>
        <v>470</v>
      </c>
      <c r="AB26" s="81" t="e">
        <f t="shared" si="23"/>
        <v>#VALUE!</v>
      </c>
      <c r="AC26" s="80"/>
      <c r="AD26" s="81" t="e">
        <f>SUM(AD23:AD25)</f>
        <v>#VALUE!</v>
      </c>
      <c r="AE26" s="81" t="e">
        <f>SUM(AE23:AE25)</f>
        <v>#VALUE!</v>
      </c>
      <c r="AF26" s="81" t="e">
        <f>SUM(AF23:AF25)</f>
        <v>#VALUE!</v>
      </c>
      <c r="AG26" s="81" t="e">
        <f>SUM(AG23:AG25)</f>
        <v>#VALUE!</v>
      </c>
      <c r="AH26" s="81">
        <f>SUM(AH23:AH25)</f>
        <v>0</v>
      </c>
      <c r="AI26" s="80"/>
      <c r="AJ26" s="80"/>
      <c r="AK26" s="80"/>
      <c r="AL26" s="80"/>
      <c r="AM26" s="80"/>
      <c r="AN26" s="80"/>
      <c r="AO26" s="80"/>
      <c r="AP26" s="66"/>
    </row>
    <row r="27" spans="1:60">
      <c r="A27" s="66"/>
      <c r="B27" s="70"/>
      <c r="C27" s="70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</row>
    <row r="28" spans="1:60">
      <c r="A28" s="66"/>
      <c r="B28" s="66"/>
      <c r="C28" s="66"/>
      <c r="D28" s="66"/>
      <c r="E28" s="66" t="s">
        <v>153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</row>
    <row r="29" spans="1:60">
      <c r="A29" s="66"/>
      <c r="D29" s="66"/>
      <c r="E29" s="66"/>
      <c r="F29" s="66"/>
      <c r="G29" s="66">
        <f>E29*F29</f>
        <v>0</v>
      </c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</row>
    <row r="30" spans="1:60">
      <c r="A30" s="66"/>
      <c r="B30" s="125"/>
      <c r="C30" s="126"/>
      <c r="D30" s="127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</row>
    <row r="31" spans="1:60">
      <c r="A31" s="66"/>
      <c r="B31" s="125"/>
      <c r="C31" s="126"/>
      <c r="D31" s="127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</row>
    <row r="32" spans="1:60">
      <c r="A32" s="66"/>
      <c r="B32" s="125"/>
      <c r="C32" s="126"/>
      <c r="D32" s="127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</row>
    <row r="33" spans="1:42">
      <c r="A33" s="66"/>
      <c r="B33" s="125"/>
      <c r="C33" s="126"/>
      <c r="D33" s="127"/>
      <c r="E33" s="66"/>
      <c r="F33" s="66"/>
      <c r="G33" s="66"/>
      <c r="H33" s="128"/>
      <c r="I33" s="272"/>
      <c r="J33" s="272"/>
      <c r="K33" s="100"/>
      <c r="L33" s="66"/>
      <c r="M33" s="66"/>
      <c r="N33" s="66"/>
      <c r="O33" s="66"/>
      <c r="P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</row>
    <row r="34" spans="1:42">
      <c r="A34" s="66"/>
      <c r="B34" s="125"/>
      <c r="C34" s="87"/>
      <c r="D34" s="129"/>
      <c r="E34" s="66"/>
      <c r="F34" s="66"/>
      <c r="G34" s="66"/>
      <c r="H34" s="128"/>
      <c r="I34" s="272"/>
      <c r="J34" s="272"/>
      <c r="K34" s="66"/>
      <c r="L34" s="66"/>
      <c r="M34" s="66"/>
      <c r="N34" s="66"/>
      <c r="O34" s="66"/>
      <c r="P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</row>
    <row r="35" spans="1:42">
      <c r="A35" s="66"/>
      <c r="B35" s="66"/>
      <c r="C35" s="66"/>
      <c r="D35" s="66"/>
      <c r="E35" s="66"/>
      <c r="F35" s="66"/>
      <c r="G35" s="66"/>
      <c r="H35" s="128"/>
      <c r="I35" s="272"/>
      <c r="J35" s="272"/>
      <c r="K35" s="66"/>
      <c r="L35" s="66"/>
      <c r="M35" s="66"/>
      <c r="N35" s="66"/>
      <c r="O35" s="66"/>
      <c r="P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</row>
    <row r="36" spans="1:42">
      <c r="A36" s="66"/>
      <c r="B36" s="66"/>
      <c r="C36" s="66"/>
      <c r="D36" s="66"/>
      <c r="E36" s="66"/>
      <c r="F36" s="66"/>
      <c r="G36" s="273"/>
      <c r="H36" s="273"/>
      <c r="I36" s="272"/>
      <c r="J36" s="272"/>
      <c r="K36" s="66"/>
      <c r="L36" s="66"/>
      <c r="M36" s="66"/>
      <c r="N36" s="66"/>
      <c r="O36" s="66"/>
      <c r="P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</row>
    <row r="37" spans="1:42">
      <c r="A37" s="66"/>
      <c r="B37" s="66"/>
      <c r="C37" s="66"/>
      <c r="D37" s="66"/>
      <c r="E37" s="66"/>
      <c r="F37" s="66"/>
      <c r="G37" s="273"/>
      <c r="H37" s="273"/>
      <c r="I37" s="272"/>
      <c r="J37" s="272"/>
      <c r="K37" s="66"/>
      <c r="L37" s="66"/>
      <c r="M37" s="66"/>
      <c r="N37" s="66"/>
      <c r="O37" s="66"/>
      <c r="P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</row>
    <row r="38" spans="1:42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</row>
    <row r="39" spans="1:42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</row>
    <row r="40" spans="1:42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</row>
    <row r="41" spans="1:42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</row>
    <row r="42" spans="1: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</row>
    <row r="43" spans="1:42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</row>
    <row r="44" spans="1:42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T44" s="66"/>
      <c r="U44" s="66"/>
      <c r="V44" s="66"/>
      <c r="W44" s="66"/>
      <c r="X44" s="66"/>
      <c r="Y44" s="66"/>
      <c r="Z44" s="66"/>
      <c r="AA44" s="66"/>
      <c r="AB44" s="66"/>
      <c r="AC44" s="66"/>
      <c r="AD44" s="66"/>
      <c r="AE44" s="66"/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</row>
    <row r="45" spans="1:42">
      <c r="A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</row>
    <row r="46" spans="1:42">
      <c r="A46" s="66"/>
      <c r="X46" s="66"/>
      <c r="Y46" s="66"/>
      <c r="Z46" s="66"/>
      <c r="AA46" s="66"/>
      <c r="AB46" s="66"/>
      <c r="AC46" s="66"/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</row>
    <row r="47" spans="1:42">
      <c r="A47" s="66"/>
      <c r="X47" s="66"/>
      <c r="Y47" s="66"/>
      <c r="Z47" s="66"/>
      <c r="AA47" s="66"/>
      <c r="AB47" s="66"/>
      <c r="AC47" s="66"/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</row>
    <row r="48" spans="1:42">
      <c r="A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</row>
    <row r="49" spans="1:42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</row>
  </sheetData>
  <mergeCells count="10">
    <mergeCell ref="A1:Z1"/>
    <mergeCell ref="B19:G19"/>
    <mergeCell ref="A21:B21"/>
    <mergeCell ref="I33:J33"/>
    <mergeCell ref="I34:J34"/>
    <mergeCell ref="I35:J35"/>
    <mergeCell ref="G36:H36"/>
    <mergeCell ref="I36:J36"/>
    <mergeCell ref="G37:H37"/>
    <mergeCell ref="I37:J37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21:AP44"/>
  <sheetViews>
    <sheetView topLeftCell="A25" workbookViewId="0">
      <selection activeCell="AB22" sqref="AB22"/>
    </sheetView>
  </sheetViews>
  <sheetFormatPr defaultColWidth="9" defaultRowHeight="15"/>
  <cols>
    <col min="8" max="8" width="11.85546875" customWidth="1"/>
    <col min="12" max="12" width="13.85546875" customWidth="1"/>
    <col min="14" max="14" width="13.7109375" customWidth="1"/>
    <col min="19" max="19" width="11.5703125" customWidth="1"/>
    <col min="25" max="25" width="9.7109375" customWidth="1"/>
    <col min="28" max="29" width="9.140625" customWidth="1"/>
    <col min="30" max="30" width="9.42578125" customWidth="1"/>
    <col min="31" max="31" width="9.140625" customWidth="1"/>
    <col min="35" max="35" width="14.28515625" customWidth="1"/>
    <col min="36" max="36" width="17.28515625" customWidth="1"/>
    <col min="37" max="37" width="13.7109375" customWidth="1"/>
    <col min="38" max="38" width="12.42578125" customWidth="1"/>
    <col min="39" max="39" width="12.5703125" customWidth="1"/>
    <col min="40" max="40" width="21.7109375" customWidth="1"/>
    <col min="41" max="41" width="30.5703125" customWidth="1"/>
  </cols>
  <sheetData>
    <row r="21" spans="1:42" ht="18">
      <c r="A21" s="281" t="s">
        <v>154</v>
      </c>
      <c r="B21" s="281"/>
      <c r="C21" s="281"/>
      <c r="D21" s="281"/>
      <c r="E21" s="281"/>
      <c r="F21" s="281"/>
      <c r="G21" s="281"/>
      <c r="H21" s="281"/>
      <c r="I21" s="281"/>
      <c r="J21" s="281"/>
      <c r="K21" s="281"/>
      <c r="L21" s="281"/>
      <c r="M21" s="281"/>
      <c r="N21" s="281"/>
      <c r="O21" s="281"/>
      <c r="P21" s="281"/>
      <c r="Q21" s="281"/>
      <c r="R21" s="281"/>
      <c r="S21" s="281"/>
      <c r="T21" s="281"/>
      <c r="U21" s="281"/>
      <c r="V21" s="281"/>
      <c r="W21" s="66"/>
    </row>
    <row r="22" spans="1:42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102" t="s">
        <v>159</v>
      </c>
      <c r="U22" s="102" t="s">
        <v>113</v>
      </c>
      <c r="V22" s="104" t="s">
        <v>114</v>
      </c>
      <c r="W22" s="105" t="s">
        <v>160</v>
      </c>
      <c r="X22" s="3" t="s">
        <v>130</v>
      </c>
      <c r="Y22" s="3" t="s">
        <v>128</v>
      </c>
      <c r="Z22" s="82" t="s">
        <v>131</v>
      </c>
      <c r="AA22" s="82" t="s">
        <v>132</v>
      </c>
      <c r="AB22" s="119" t="s">
        <v>133</v>
      </c>
      <c r="AC22" s="119" t="s">
        <v>134</v>
      </c>
      <c r="AD22" s="82" t="s">
        <v>135</v>
      </c>
      <c r="AE22" s="82" t="s">
        <v>136</v>
      </c>
      <c r="AF22" s="82" t="s">
        <v>137</v>
      </c>
      <c r="AG22" s="82" t="s">
        <v>138</v>
      </c>
      <c r="AH22" s="84" t="s">
        <v>139</v>
      </c>
      <c r="AI22" s="84" t="s">
        <v>8</v>
      </c>
      <c r="AJ22" s="84" t="s">
        <v>9</v>
      </c>
      <c r="AK22" s="82" t="s">
        <v>140</v>
      </c>
      <c r="AL22" s="82" t="s">
        <v>141</v>
      </c>
      <c r="AM22" s="119" t="s">
        <v>142</v>
      </c>
      <c r="AN22" s="119" t="s">
        <v>143</v>
      </c>
      <c r="AO22" s="119" t="s">
        <v>144</v>
      </c>
      <c r="AP22" s="122"/>
    </row>
    <row r="23" spans="1:42">
      <c r="A23" s="68">
        <v>1</v>
      </c>
      <c r="B23" s="68" t="s">
        <v>161</v>
      </c>
      <c r="C23" s="68" t="s">
        <v>162</v>
      </c>
      <c r="D23" s="68" t="s">
        <v>58</v>
      </c>
      <c r="E23" s="68" t="s">
        <v>163</v>
      </c>
      <c r="F23" s="68">
        <v>40</v>
      </c>
      <c r="G23" s="89">
        <v>257.63</v>
      </c>
      <c r="H23" s="89">
        <f>F23*G23</f>
        <v>10305.200000000001</v>
      </c>
      <c r="I23" s="69">
        <v>1</v>
      </c>
      <c r="J23" s="69">
        <v>2</v>
      </c>
      <c r="K23" s="69">
        <v>2.5</v>
      </c>
      <c r="L23" s="69">
        <f>H23</f>
        <v>10305.200000000001</v>
      </c>
      <c r="M23" s="69">
        <f>ROUND(L23*I23%,2)</f>
        <v>103.05</v>
      </c>
      <c r="N23" s="69">
        <f>H23-M23</f>
        <v>10202.150000000001</v>
      </c>
      <c r="O23" s="69">
        <f>ROUND(N23*J23%,2)</f>
        <v>204.04</v>
      </c>
      <c r="P23" s="69">
        <f>ROUND(N23-O23,2)</f>
        <v>9998.11</v>
      </c>
      <c r="Q23" s="69">
        <f>ROUND(P23*K23%,2)</f>
        <v>249.95</v>
      </c>
      <c r="R23" s="69">
        <f>ROUND((M23+O23+Q23),2)</f>
        <v>557.04</v>
      </c>
      <c r="S23" s="69">
        <f>ROUND((H23-R23),2)</f>
        <v>9748.16</v>
      </c>
      <c r="T23" s="69">
        <v>0.18</v>
      </c>
      <c r="U23" s="69">
        <f>ROUND((S23*18%),2)</f>
        <v>1754.67</v>
      </c>
      <c r="V23" s="69">
        <f>S23+U23</f>
        <v>11502.83</v>
      </c>
      <c r="W23" s="69">
        <f t="shared" ref="W23:W28" si="0">ROUND(G23*$O$41,2)</f>
        <v>515.26</v>
      </c>
      <c r="X23" s="57" t="s">
        <v>31</v>
      </c>
      <c r="Y23" s="57" t="s">
        <v>58</v>
      </c>
      <c r="Z23">
        <v>1152.5999999999999</v>
      </c>
      <c r="AA23">
        <v>138.28799000000001</v>
      </c>
      <c r="AB23" s="59">
        <f>R23</f>
        <v>557.04</v>
      </c>
      <c r="AC23" s="59">
        <f>W23</f>
        <v>515.26</v>
      </c>
      <c r="AD23" s="59">
        <f>Z23+AB23</f>
        <v>1709.6399999999999</v>
      </c>
      <c r="AE23" s="57">
        <f>ROUND(((Z23*AA23)+(AB23*AC23))/(Z23+AB23),5)</f>
        <v>261.11412999999999</v>
      </c>
      <c r="AF23" s="106"/>
      <c r="AG23" s="106" t="s">
        <v>149</v>
      </c>
      <c r="AH23" s="120" t="s">
        <v>29</v>
      </c>
      <c r="AI23" s="106"/>
      <c r="AJ23" s="106"/>
      <c r="AK23" s="121"/>
      <c r="AL23" s="106"/>
      <c r="AM23" s="57"/>
      <c r="AN23" s="57"/>
      <c r="AO23" s="57"/>
      <c r="AP23" s="123"/>
    </row>
    <row r="24" spans="1:42">
      <c r="A24" s="68">
        <v>2</v>
      </c>
      <c r="B24" s="68" t="s">
        <v>164</v>
      </c>
      <c r="C24" s="68" t="s">
        <v>165</v>
      </c>
      <c r="D24" s="68" t="s">
        <v>58</v>
      </c>
      <c r="E24" s="68" t="s">
        <v>163</v>
      </c>
      <c r="F24" s="68">
        <v>35</v>
      </c>
      <c r="G24" s="89">
        <v>125.45</v>
      </c>
      <c r="H24" s="89">
        <f>F24*G24</f>
        <v>4390.75</v>
      </c>
      <c r="I24" s="69">
        <v>1</v>
      </c>
      <c r="J24" s="69">
        <v>2</v>
      </c>
      <c r="K24" s="69">
        <v>2.5</v>
      </c>
      <c r="L24" s="69">
        <f>H24</f>
        <v>4390.75</v>
      </c>
      <c r="M24" s="69">
        <f t="shared" ref="M24:M37" si="1">ROUND(L24*I24%,2)</f>
        <v>43.91</v>
      </c>
      <c r="N24" s="69">
        <f>H24-M24</f>
        <v>4346.84</v>
      </c>
      <c r="O24" s="69">
        <f t="shared" ref="O24:O37" si="2">ROUND(N24*J24%,2)</f>
        <v>86.94</v>
      </c>
      <c r="P24" s="69">
        <f>ROUND(N24-O24,2)</f>
        <v>4259.8999999999996</v>
      </c>
      <c r="Q24" s="69">
        <f t="shared" ref="Q24:Q37" si="3">ROUND(P24*K24%,2)</f>
        <v>106.5</v>
      </c>
      <c r="R24" s="69">
        <f>ROUND((M24+O24+Q24),2)</f>
        <v>237.35</v>
      </c>
      <c r="S24" s="69">
        <f>ROUND((H24-R24),2)</f>
        <v>4153.3999999999996</v>
      </c>
      <c r="T24" s="69">
        <v>0.18</v>
      </c>
      <c r="U24" s="69">
        <f>ROUND((S24*18%),2)</f>
        <v>747.61</v>
      </c>
      <c r="V24" s="69">
        <f>S24+U24</f>
        <v>4901.0099999999993</v>
      </c>
      <c r="W24" s="69">
        <f t="shared" si="0"/>
        <v>250.9</v>
      </c>
      <c r="X24" s="57" t="s">
        <v>31</v>
      </c>
      <c r="Y24" s="57" t="s">
        <v>58</v>
      </c>
      <c r="Z24" t="s">
        <v>150</v>
      </c>
      <c r="AA24" t="s">
        <v>151</v>
      </c>
      <c r="AB24" s="59">
        <f>R24</f>
        <v>237.35</v>
      </c>
      <c r="AC24" s="59">
        <f>W24</f>
        <v>250.9</v>
      </c>
      <c r="AD24" s="59">
        <f t="shared" ref="AD24:AD25" si="4">Z24+AB24</f>
        <v>8919.35</v>
      </c>
      <c r="AE24" s="57">
        <f t="shared" ref="AE24:AE25" si="5">((Z24*AA24)+(AB24*AC24))/(Z24+AB24)</f>
        <v>104.76964657962742</v>
      </c>
      <c r="AF24" s="106"/>
      <c r="AG24" s="106"/>
      <c r="AH24" s="120" t="s">
        <v>38</v>
      </c>
      <c r="AI24" s="106" t="s">
        <v>152</v>
      </c>
      <c r="AJ24" s="106"/>
      <c r="AK24" s="121"/>
      <c r="AL24" s="106"/>
      <c r="AM24" s="57"/>
      <c r="AN24" s="57"/>
      <c r="AO24" s="57"/>
      <c r="AP24" s="123"/>
    </row>
    <row r="25" spans="1:42">
      <c r="A25" s="68">
        <v>3</v>
      </c>
      <c r="B25" s="68" t="s">
        <v>166</v>
      </c>
      <c r="C25" s="68" t="s">
        <v>167</v>
      </c>
      <c r="D25" s="68" t="s">
        <v>58</v>
      </c>
      <c r="E25" s="68" t="s">
        <v>163</v>
      </c>
      <c r="F25" s="68">
        <v>45</v>
      </c>
      <c r="G25" s="89">
        <v>125.36</v>
      </c>
      <c r="H25" s="89">
        <f>F25*G25</f>
        <v>5641.2</v>
      </c>
      <c r="I25" s="69">
        <v>1</v>
      </c>
      <c r="J25" s="69">
        <v>2</v>
      </c>
      <c r="K25" s="69">
        <v>2.5</v>
      </c>
      <c r="L25" s="69">
        <f>H25</f>
        <v>5641.2</v>
      </c>
      <c r="M25" s="69">
        <f t="shared" si="1"/>
        <v>56.41</v>
      </c>
      <c r="N25" s="69">
        <f>H25-M25</f>
        <v>5584.79</v>
      </c>
      <c r="O25" s="69">
        <f t="shared" si="2"/>
        <v>111.7</v>
      </c>
      <c r="P25" s="69">
        <f>ROUND(N25-O25,2)</f>
        <v>5473.09</v>
      </c>
      <c r="Q25" s="69">
        <f t="shared" si="3"/>
        <v>136.83000000000001</v>
      </c>
      <c r="R25" s="69">
        <f>ROUND((M25+O25+Q25),2)</f>
        <v>304.94</v>
      </c>
      <c r="S25" s="69">
        <f>ROUND((H25-R25),2)</f>
        <v>5336.26</v>
      </c>
      <c r="T25" s="69">
        <v>0.18</v>
      </c>
      <c r="U25" s="69">
        <f>ROUND((S25*18%),2)</f>
        <v>960.53</v>
      </c>
      <c r="V25" s="69">
        <f>S25+U25</f>
        <v>6296.79</v>
      </c>
      <c r="W25" s="69">
        <f t="shared" si="0"/>
        <v>250.72</v>
      </c>
      <c r="X25" s="57" t="s">
        <v>31</v>
      </c>
      <c r="Y25" s="57" t="s">
        <v>58</v>
      </c>
      <c r="Z25" t="s">
        <v>42</v>
      </c>
      <c r="AA25" t="s">
        <v>43</v>
      </c>
      <c r="AB25" s="59">
        <f>R25</f>
        <v>304.94</v>
      </c>
      <c r="AC25" s="59">
        <f>W25</f>
        <v>250.72</v>
      </c>
      <c r="AD25" s="59">
        <f t="shared" si="4"/>
        <v>11706.94</v>
      </c>
      <c r="AE25" s="57">
        <f t="shared" si="5"/>
        <v>262.10845232486025</v>
      </c>
      <c r="AF25" s="106"/>
      <c r="AG25" s="106"/>
      <c r="AH25" s="120" t="s">
        <v>45</v>
      </c>
      <c r="AI25" s="106"/>
      <c r="AJ25" s="106" t="s">
        <v>39</v>
      </c>
      <c r="AK25" s="121"/>
      <c r="AL25" s="106"/>
      <c r="AM25" s="57"/>
      <c r="AN25" s="57"/>
      <c r="AO25" s="57"/>
      <c r="AP25" s="123"/>
    </row>
    <row r="26" spans="1:42">
      <c r="A26" s="68">
        <v>4</v>
      </c>
      <c r="B26" s="68" t="s">
        <v>168</v>
      </c>
      <c r="C26" s="68" t="s">
        <v>169</v>
      </c>
      <c r="D26" s="68" t="s">
        <v>58</v>
      </c>
      <c r="E26" s="68" t="s">
        <v>163</v>
      </c>
      <c r="F26" s="68">
        <v>55</v>
      </c>
      <c r="G26" s="89">
        <v>45.25</v>
      </c>
      <c r="H26" s="89">
        <f t="shared" ref="H26:H37" si="6">F26*G26</f>
        <v>2488.75</v>
      </c>
      <c r="I26" s="69">
        <v>1</v>
      </c>
      <c r="J26" s="69">
        <v>2</v>
      </c>
      <c r="K26" s="69">
        <v>2.5</v>
      </c>
      <c r="L26" s="69">
        <f t="shared" ref="L26:L37" si="7">H26</f>
        <v>2488.75</v>
      </c>
      <c r="M26" s="69">
        <f t="shared" si="1"/>
        <v>24.89</v>
      </c>
      <c r="N26" s="69">
        <f t="shared" ref="N26:N37" si="8">H26-M26</f>
        <v>2463.86</v>
      </c>
      <c r="O26" s="69">
        <f t="shared" si="2"/>
        <v>49.28</v>
      </c>
      <c r="P26" s="69">
        <f t="shared" ref="P26:P37" si="9">ROUND(N26-O26,2)</f>
        <v>2414.58</v>
      </c>
      <c r="Q26" s="69">
        <f t="shared" si="3"/>
        <v>60.36</v>
      </c>
      <c r="R26" s="69">
        <f t="shared" ref="R26:R37" si="10">ROUND((M26+O26+Q26),2)</f>
        <v>134.53</v>
      </c>
      <c r="S26" s="69">
        <f t="shared" ref="S26:S37" si="11">ROUND((H26-R26),2)</f>
        <v>2354.2199999999998</v>
      </c>
      <c r="T26" s="69">
        <v>0.18</v>
      </c>
      <c r="U26" s="69">
        <f t="shared" ref="U26:U37" si="12">ROUND((S26*18%),2)</f>
        <v>423.76</v>
      </c>
      <c r="V26" s="69">
        <f t="shared" ref="V26:V37" si="13">S26+U26</f>
        <v>2777.9799999999996</v>
      </c>
      <c r="W26" s="69">
        <f t="shared" si="0"/>
        <v>90.5</v>
      </c>
    </row>
    <row r="27" spans="1:42">
      <c r="A27" s="68">
        <v>5</v>
      </c>
      <c r="B27" s="68" t="s">
        <v>170</v>
      </c>
      <c r="C27" s="68" t="s">
        <v>171</v>
      </c>
      <c r="D27" s="68" t="s">
        <v>58</v>
      </c>
      <c r="E27" s="68" t="s">
        <v>163</v>
      </c>
      <c r="F27" s="68">
        <v>60</v>
      </c>
      <c r="G27" s="89">
        <v>45.5</v>
      </c>
      <c r="H27" s="89">
        <f t="shared" si="6"/>
        <v>2730</v>
      </c>
      <c r="I27" s="69">
        <v>1</v>
      </c>
      <c r="J27" s="69">
        <v>2</v>
      </c>
      <c r="K27" s="69">
        <v>2.5</v>
      </c>
      <c r="L27" s="69">
        <f t="shared" si="7"/>
        <v>2730</v>
      </c>
      <c r="M27" s="69">
        <f t="shared" si="1"/>
        <v>27.3</v>
      </c>
      <c r="N27" s="69">
        <f t="shared" si="8"/>
        <v>2702.7</v>
      </c>
      <c r="O27" s="69">
        <f t="shared" si="2"/>
        <v>54.05</v>
      </c>
      <c r="P27" s="69">
        <f t="shared" si="9"/>
        <v>2648.65</v>
      </c>
      <c r="Q27" s="69">
        <f t="shared" si="3"/>
        <v>66.22</v>
      </c>
      <c r="R27" s="69">
        <f t="shared" si="10"/>
        <v>147.57</v>
      </c>
      <c r="S27" s="69">
        <f t="shared" si="11"/>
        <v>2582.4299999999998</v>
      </c>
      <c r="T27" s="69">
        <v>0.18</v>
      </c>
      <c r="U27" s="69">
        <f t="shared" si="12"/>
        <v>464.84</v>
      </c>
      <c r="V27" s="69">
        <f t="shared" si="13"/>
        <v>3047.27</v>
      </c>
      <c r="W27" s="69">
        <f t="shared" si="0"/>
        <v>91</v>
      </c>
    </row>
    <row r="28" spans="1:42">
      <c r="A28" s="68">
        <v>6</v>
      </c>
      <c r="B28" s="68" t="s">
        <v>172</v>
      </c>
      <c r="C28" s="68" t="s">
        <v>173</v>
      </c>
      <c r="D28" s="68" t="s">
        <v>58</v>
      </c>
      <c r="E28" s="68" t="s">
        <v>163</v>
      </c>
      <c r="F28" s="68">
        <v>75</v>
      </c>
      <c r="G28" s="89">
        <v>125.25</v>
      </c>
      <c r="H28" s="89">
        <f t="shared" si="6"/>
        <v>9393.75</v>
      </c>
      <c r="I28" s="69">
        <v>1</v>
      </c>
      <c r="J28" s="69">
        <v>2</v>
      </c>
      <c r="K28" s="69">
        <v>2.5</v>
      </c>
      <c r="L28" s="69">
        <f t="shared" si="7"/>
        <v>9393.75</v>
      </c>
      <c r="M28" s="69">
        <f t="shared" si="1"/>
        <v>93.94</v>
      </c>
      <c r="N28" s="69">
        <f t="shared" si="8"/>
        <v>9299.81</v>
      </c>
      <c r="O28" s="69">
        <f t="shared" si="2"/>
        <v>186</v>
      </c>
      <c r="P28" s="69">
        <f t="shared" si="9"/>
        <v>9113.81</v>
      </c>
      <c r="Q28" s="69">
        <f t="shared" si="3"/>
        <v>227.85</v>
      </c>
      <c r="R28" s="69">
        <f t="shared" si="10"/>
        <v>507.79</v>
      </c>
      <c r="S28" s="69">
        <f t="shared" si="11"/>
        <v>8885.9599999999991</v>
      </c>
      <c r="T28" s="69">
        <v>0.18</v>
      </c>
      <c r="U28" s="69">
        <f t="shared" si="12"/>
        <v>1599.47</v>
      </c>
      <c r="V28" s="69">
        <f t="shared" si="13"/>
        <v>10485.429999999998</v>
      </c>
      <c r="W28" s="69">
        <f t="shared" si="0"/>
        <v>250.5</v>
      </c>
    </row>
    <row r="29" spans="1:42">
      <c r="A29" s="68">
        <v>7</v>
      </c>
      <c r="B29" s="68" t="s">
        <v>174</v>
      </c>
      <c r="C29" s="68" t="s">
        <v>175</v>
      </c>
      <c r="D29" s="68" t="s">
        <v>58</v>
      </c>
      <c r="E29" s="68" t="s">
        <v>176</v>
      </c>
      <c r="F29" s="68">
        <v>28</v>
      </c>
      <c r="G29" s="89">
        <v>150.5</v>
      </c>
      <c r="H29" s="89">
        <f t="shared" si="6"/>
        <v>4214</v>
      </c>
      <c r="I29" s="69">
        <v>1</v>
      </c>
      <c r="J29" s="69">
        <v>2</v>
      </c>
      <c r="K29" s="69">
        <v>2.5</v>
      </c>
      <c r="L29" s="69">
        <f t="shared" si="7"/>
        <v>4214</v>
      </c>
      <c r="M29" s="69">
        <f t="shared" si="1"/>
        <v>42.14</v>
      </c>
      <c r="N29" s="69">
        <f t="shared" si="8"/>
        <v>4171.8599999999997</v>
      </c>
      <c r="O29" s="69">
        <f t="shared" si="2"/>
        <v>83.44</v>
      </c>
      <c r="P29" s="69">
        <f t="shared" si="9"/>
        <v>4088.42</v>
      </c>
      <c r="Q29" s="69">
        <f t="shared" si="3"/>
        <v>102.21</v>
      </c>
      <c r="R29" s="69">
        <f t="shared" si="10"/>
        <v>227.79</v>
      </c>
      <c r="S29" s="69">
        <f t="shared" si="11"/>
        <v>3986.21</v>
      </c>
      <c r="T29" s="69">
        <v>0.18</v>
      </c>
      <c r="U29" s="69">
        <f t="shared" si="12"/>
        <v>717.52</v>
      </c>
      <c r="V29" s="69">
        <f t="shared" si="13"/>
        <v>4703.7299999999996</v>
      </c>
      <c r="W29" s="69">
        <f>ROUND(G29*$O$42,2)</f>
        <v>376.25</v>
      </c>
    </row>
    <row r="30" spans="1:42">
      <c r="A30" s="68">
        <v>8</v>
      </c>
      <c r="B30" s="68" t="s">
        <v>177</v>
      </c>
      <c r="C30" s="68" t="s">
        <v>178</v>
      </c>
      <c r="D30" s="68" t="s">
        <v>58</v>
      </c>
      <c r="E30" s="68" t="s">
        <v>176</v>
      </c>
      <c r="F30" s="68">
        <v>30</v>
      </c>
      <c r="G30" s="89">
        <v>65.319999999999993</v>
      </c>
      <c r="H30" s="89">
        <f t="shared" si="6"/>
        <v>1959.6</v>
      </c>
      <c r="I30" s="69">
        <v>1</v>
      </c>
      <c r="J30" s="69">
        <v>2</v>
      </c>
      <c r="K30" s="69">
        <v>2.5</v>
      </c>
      <c r="L30" s="69">
        <f t="shared" si="7"/>
        <v>1959.6</v>
      </c>
      <c r="M30" s="69">
        <f t="shared" si="1"/>
        <v>19.600000000000001</v>
      </c>
      <c r="N30" s="69">
        <f t="shared" si="8"/>
        <v>1940</v>
      </c>
      <c r="O30" s="69">
        <f t="shared" si="2"/>
        <v>38.799999999999997</v>
      </c>
      <c r="P30" s="69">
        <f t="shared" si="9"/>
        <v>1901.2</v>
      </c>
      <c r="Q30" s="69">
        <f t="shared" si="3"/>
        <v>47.53</v>
      </c>
      <c r="R30" s="69">
        <f t="shared" si="10"/>
        <v>105.93</v>
      </c>
      <c r="S30" s="69">
        <f t="shared" si="11"/>
        <v>1853.67</v>
      </c>
      <c r="T30" s="69">
        <v>0.18</v>
      </c>
      <c r="U30" s="69">
        <f t="shared" si="12"/>
        <v>333.66</v>
      </c>
      <c r="V30" s="69">
        <f t="shared" si="13"/>
        <v>2187.33</v>
      </c>
      <c r="W30" s="69">
        <f>ROUND(G30*$O$42,2)</f>
        <v>163.30000000000001</v>
      </c>
    </row>
    <row r="31" spans="1:42">
      <c r="A31" s="68">
        <v>9</v>
      </c>
      <c r="B31" s="68" t="s">
        <v>179</v>
      </c>
      <c r="C31" s="68" t="s">
        <v>180</v>
      </c>
      <c r="D31" s="68" t="s">
        <v>58</v>
      </c>
      <c r="E31" s="68" t="s">
        <v>176</v>
      </c>
      <c r="F31" s="68">
        <v>25</v>
      </c>
      <c r="G31" s="89">
        <v>74.89</v>
      </c>
      <c r="H31" s="89">
        <f t="shared" si="6"/>
        <v>1872.25</v>
      </c>
      <c r="I31" s="69">
        <v>1</v>
      </c>
      <c r="J31" s="69">
        <v>2</v>
      </c>
      <c r="K31" s="69">
        <v>2.5</v>
      </c>
      <c r="L31" s="69">
        <f t="shared" si="7"/>
        <v>1872.25</v>
      </c>
      <c r="M31" s="69">
        <f t="shared" si="1"/>
        <v>18.72</v>
      </c>
      <c r="N31" s="69">
        <f t="shared" si="8"/>
        <v>1853.53</v>
      </c>
      <c r="O31" s="69">
        <f t="shared" si="2"/>
        <v>37.07</v>
      </c>
      <c r="P31" s="69">
        <f t="shared" si="9"/>
        <v>1816.46</v>
      </c>
      <c r="Q31" s="69">
        <f t="shared" si="3"/>
        <v>45.41</v>
      </c>
      <c r="R31" s="69">
        <f t="shared" si="10"/>
        <v>101.2</v>
      </c>
      <c r="S31" s="69">
        <f t="shared" si="11"/>
        <v>1771.05</v>
      </c>
      <c r="T31" s="69">
        <v>0.18</v>
      </c>
      <c r="U31" s="69">
        <f t="shared" si="12"/>
        <v>318.79000000000002</v>
      </c>
      <c r="V31" s="69">
        <f t="shared" si="13"/>
        <v>2089.84</v>
      </c>
      <c r="W31" s="69">
        <f>ROUND(G31*$O$42,2)</f>
        <v>187.23</v>
      </c>
    </row>
    <row r="32" spans="1:42">
      <c r="A32" s="68">
        <v>10</v>
      </c>
      <c r="B32" s="68" t="s">
        <v>181</v>
      </c>
      <c r="C32" s="68" t="s">
        <v>182</v>
      </c>
      <c r="D32" s="68" t="s">
        <v>58</v>
      </c>
      <c r="E32" s="68" t="s">
        <v>176</v>
      </c>
      <c r="F32" s="68">
        <v>28</v>
      </c>
      <c r="G32" s="89">
        <v>89.56</v>
      </c>
      <c r="H32" s="89">
        <f t="shared" si="6"/>
        <v>2507.6800000000003</v>
      </c>
      <c r="I32" s="69">
        <v>1</v>
      </c>
      <c r="J32" s="69">
        <v>2</v>
      </c>
      <c r="K32" s="69">
        <v>2.5</v>
      </c>
      <c r="L32" s="69">
        <f t="shared" si="7"/>
        <v>2507.6800000000003</v>
      </c>
      <c r="M32" s="69">
        <f t="shared" si="1"/>
        <v>25.08</v>
      </c>
      <c r="N32" s="69">
        <f t="shared" si="8"/>
        <v>2482.6000000000004</v>
      </c>
      <c r="O32" s="69">
        <f t="shared" si="2"/>
        <v>49.65</v>
      </c>
      <c r="P32" s="69">
        <f t="shared" si="9"/>
        <v>2432.9499999999998</v>
      </c>
      <c r="Q32" s="69">
        <f t="shared" si="3"/>
        <v>60.82</v>
      </c>
      <c r="R32" s="69">
        <f t="shared" si="10"/>
        <v>135.55000000000001</v>
      </c>
      <c r="S32" s="69">
        <f t="shared" si="11"/>
        <v>2372.13</v>
      </c>
      <c r="T32" s="69">
        <v>0.18</v>
      </c>
      <c r="U32" s="69">
        <f t="shared" si="12"/>
        <v>426.98</v>
      </c>
      <c r="V32" s="69">
        <f t="shared" si="13"/>
        <v>2799.11</v>
      </c>
      <c r="W32" s="69">
        <f>ROUND(G32*$O$42,2)</f>
        <v>223.9</v>
      </c>
    </row>
    <row r="33" spans="1:23">
      <c r="A33" s="68">
        <v>11</v>
      </c>
      <c r="B33" s="68" t="s">
        <v>183</v>
      </c>
      <c r="C33" s="68" t="s">
        <v>184</v>
      </c>
      <c r="D33" s="68" t="s">
        <v>163</v>
      </c>
      <c r="E33" s="68" t="s">
        <v>185</v>
      </c>
      <c r="F33" s="68">
        <v>37</v>
      </c>
      <c r="G33" s="89">
        <v>89.54</v>
      </c>
      <c r="H33" s="89">
        <f t="shared" si="6"/>
        <v>3312.98</v>
      </c>
      <c r="I33" s="69">
        <v>1</v>
      </c>
      <c r="J33" s="69">
        <v>2</v>
      </c>
      <c r="K33" s="69">
        <v>2.5</v>
      </c>
      <c r="L33" s="69">
        <f t="shared" si="7"/>
        <v>3312.98</v>
      </c>
      <c r="M33" s="69">
        <f t="shared" si="1"/>
        <v>33.130000000000003</v>
      </c>
      <c r="N33" s="69">
        <f t="shared" si="8"/>
        <v>3279.85</v>
      </c>
      <c r="O33" s="69">
        <f t="shared" si="2"/>
        <v>65.599999999999994</v>
      </c>
      <c r="P33" s="69">
        <f t="shared" si="9"/>
        <v>3214.25</v>
      </c>
      <c r="Q33" s="69">
        <f t="shared" si="3"/>
        <v>80.36</v>
      </c>
      <c r="R33" s="69">
        <f t="shared" si="10"/>
        <v>179.09</v>
      </c>
      <c r="S33" s="69">
        <f t="shared" si="11"/>
        <v>3133.89</v>
      </c>
      <c r="T33" s="69">
        <v>0.18</v>
      </c>
      <c r="U33" s="69">
        <f t="shared" si="12"/>
        <v>564.1</v>
      </c>
      <c r="V33" s="69">
        <f t="shared" si="13"/>
        <v>3697.99</v>
      </c>
      <c r="W33" s="69">
        <f>ROUND(G33*$O$43,2)</f>
        <v>0.09</v>
      </c>
    </row>
    <row r="34" spans="1:23">
      <c r="A34" s="68">
        <v>12</v>
      </c>
      <c r="B34" s="68" t="s">
        <v>186</v>
      </c>
      <c r="C34" s="68" t="s">
        <v>187</v>
      </c>
      <c r="D34" s="68" t="s">
        <v>163</v>
      </c>
      <c r="E34" s="68" t="s">
        <v>185</v>
      </c>
      <c r="F34" s="68">
        <v>39</v>
      </c>
      <c r="G34" s="89">
        <v>35.200000000000003</v>
      </c>
      <c r="H34" s="89">
        <f t="shared" si="6"/>
        <v>1372.8000000000002</v>
      </c>
      <c r="I34" s="69">
        <v>1</v>
      </c>
      <c r="J34" s="69">
        <v>2</v>
      </c>
      <c r="K34" s="69">
        <v>2.5</v>
      </c>
      <c r="L34" s="69">
        <f t="shared" si="7"/>
        <v>1372.8000000000002</v>
      </c>
      <c r="M34" s="69">
        <f t="shared" si="1"/>
        <v>13.73</v>
      </c>
      <c r="N34" s="69">
        <f t="shared" si="8"/>
        <v>1359.0700000000002</v>
      </c>
      <c r="O34" s="69">
        <f t="shared" si="2"/>
        <v>27.18</v>
      </c>
      <c r="P34" s="69">
        <f t="shared" si="9"/>
        <v>1331.89</v>
      </c>
      <c r="Q34" s="69">
        <f t="shared" si="3"/>
        <v>33.299999999999997</v>
      </c>
      <c r="R34" s="69">
        <f t="shared" si="10"/>
        <v>74.209999999999994</v>
      </c>
      <c r="S34" s="69">
        <f t="shared" si="11"/>
        <v>1298.5899999999999</v>
      </c>
      <c r="T34" s="69">
        <v>0.18</v>
      </c>
      <c r="U34" s="69">
        <f t="shared" si="12"/>
        <v>233.75</v>
      </c>
      <c r="V34" s="69">
        <f t="shared" si="13"/>
        <v>1532.34</v>
      </c>
      <c r="W34" s="69">
        <f>ROUND(G34*$O$43,2)</f>
        <v>0.04</v>
      </c>
    </row>
    <row r="35" spans="1:23">
      <c r="A35" s="68">
        <v>13</v>
      </c>
      <c r="B35" s="68" t="s">
        <v>188</v>
      </c>
      <c r="C35" s="68" t="s">
        <v>189</v>
      </c>
      <c r="D35" s="68" t="s">
        <v>163</v>
      </c>
      <c r="E35" s="68" t="s">
        <v>185</v>
      </c>
      <c r="F35" s="68">
        <v>70</v>
      </c>
      <c r="G35" s="89">
        <v>102.25</v>
      </c>
      <c r="H35" s="89">
        <f t="shared" si="6"/>
        <v>7157.5</v>
      </c>
      <c r="I35" s="69">
        <v>1</v>
      </c>
      <c r="J35" s="69">
        <v>2</v>
      </c>
      <c r="K35" s="69">
        <v>2.5</v>
      </c>
      <c r="L35" s="69">
        <f t="shared" si="7"/>
        <v>7157.5</v>
      </c>
      <c r="M35" s="69">
        <f t="shared" si="1"/>
        <v>71.58</v>
      </c>
      <c r="N35" s="69">
        <f t="shared" si="8"/>
        <v>7085.92</v>
      </c>
      <c r="O35" s="69">
        <f t="shared" si="2"/>
        <v>141.72</v>
      </c>
      <c r="P35" s="69">
        <f t="shared" si="9"/>
        <v>6944.2</v>
      </c>
      <c r="Q35" s="69">
        <f t="shared" si="3"/>
        <v>173.61</v>
      </c>
      <c r="R35" s="69">
        <f t="shared" si="10"/>
        <v>386.91</v>
      </c>
      <c r="S35" s="69">
        <f t="shared" si="11"/>
        <v>6770.59</v>
      </c>
      <c r="T35" s="69">
        <v>0.18</v>
      </c>
      <c r="U35" s="69">
        <f t="shared" si="12"/>
        <v>1218.71</v>
      </c>
      <c r="V35" s="69">
        <f t="shared" si="13"/>
        <v>7989.3</v>
      </c>
      <c r="W35" s="69">
        <f>ROUND(G35*$O$43,2)</f>
        <v>0.1</v>
      </c>
    </row>
    <row r="36" spans="1:23">
      <c r="A36" s="68">
        <v>14</v>
      </c>
      <c r="B36" s="68" t="s">
        <v>190</v>
      </c>
      <c r="C36" s="68" t="s">
        <v>191</v>
      </c>
      <c r="D36" s="68" t="s">
        <v>163</v>
      </c>
      <c r="E36" s="68" t="s">
        <v>185</v>
      </c>
      <c r="F36" s="68">
        <v>100</v>
      </c>
      <c r="G36" s="89">
        <v>125.23</v>
      </c>
      <c r="H36" s="89">
        <f t="shared" si="6"/>
        <v>12523</v>
      </c>
      <c r="I36" s="69">
        <v>1</v>
      </c>
      <c r="J36" s="69">
        <v>2</v>
      </c>
      <c r="K36" s="69">
        <v>2.5</v>
      </c>
      <c r="L36" s="69">
        <f t="shared" si="7"/>
        <v>12523</v>
      </c>
      <c r="M36" s="69">
        <f t="shared" si="1"/>
        <v>125.23</v>
      </c>
      <c r="N36" s="69">
        <f t="shared" si="8"/>
        <v>12397.77</v>
      </c>
      <c r="O36" s="69">
        <f t="shared" si="2"/>
        <v>247.96</v>
      </c>
      <c r="P36" s="69">
        <f t="shared" si="9"/>
        <v>12149.81</v>
      </c>
      <c r="Q36" s="69">
        <f t="shared" si="3"/>
        <v>303.75</v>
      </c>
      <c r="R36" s="69">
        <f t="shared" si="10"/>
        <v>676.94</v>
      </c>
      <c r="S36" s="69">
        <f t="shared" si="11"/>
        <v>11846.06</v>
      </c>
      <c r="T36" s="69">
        <v>0.18</v>
      </c>
      <c r="U36" s="69">
        <f t="shared" si="12"/>
        <v>2132.29</v>
      </c>
      <c r="V36" s="69">
        <f t="shared" si="13"/>
        <v>13978.349999999999</v>
      </c>
      <c r="W36" s="69">
        <f>ROUND(G36*$O$43,2)</f>
        <v>0.13</v>
      </c>
    </row>
    <row r="37" spans="1:23">
      <c r="A37" s="68">
        <v>15</v>
      </c>
      <c r="B37" s="68" t="s">
        <v>192</v>
      </c>
      <c r="C37" s="68" t="s">
        <v>193</v>
      </c>
      <c r="D37" s="68" t="s">
        <v>163</v>
      </c>
      <c r="E37" s="68" t="s">
        <v>185</v>
      </c>
      <c r="F37" s="68">
        <v>85</v>
      </c>
      <c r="G37" s="89">
        <v>65.48</v>
      </c>
      <c r="H37" s="89">
        <f t="shared" si="6"/>
        <v>5565.8</v>
      </c>
      <c r="I37" s="69">
        <v>1</v>
      </c>
      <c r="J37" s="69">
        <v>2</v>
      </c>
      <c r="K37" s="69">
        <v>2.5</v>
      </c>
      <c r="L37" s="69">
        <f t="shared" si="7"/>
        <v>5565.8</v>
      </c>
      <c r="M37" s="69">
        <f t="shared" si="1"/>
        <v>55.66</v>
      </c>
      <c r="N37" s="69">
        <f t="shared" si="8"/>
        <v>5510.14</v>
      </c>
      <c r="O37" s="69">
        <f t="shared" si="2"/>
        <v>110.2</v>
      </c>
      <c r="P37" s="69">
        <f t="shared" si="9"/>
        <v>5399.94</v>
      </c>
      <c r="Q37" s="69">
        <f t="shared" si="3"/>
        <v>135</v>
      </c>
      <c r="R37" s="69">
        <f t="shared" si="10"/>
        <v>300.86</v>
      </c>
      <c r="S37" s="69">
        <f t="shared" si="11"/>
        <v>5264.94</v>
      </c>
      <c r="T37" s="69">
        <v>0.18</v>
      </c>
      <c r="U37" s="69">
        <f t="shared" si="12"/>
        <v>947.69</v>
      </c>
      <c r="V37" s="69">
        <f t="shared" si="13"/>
        <v>6212.6299999999992</v>
      </c>
      <c r="W37" s="69">
        <f>ROUND(G37*$O$43,2)</f>
        <v>7.0000000000000007E-2</v>
      </c>
    </row>
    <row r="38" spans="1:23">
      <c r="A38" s="66"/>
      <c r="B38" s="282" t="s">
        <v>87</v>
      </c>
      <c r="C38" s="282"/>
      <c r="D38" s="282"/>
      <c r="E38" s="282"/>
      <c r="F38" s="282"/>
      <c r="G38" s="282"/>
      <c r="H38" s="71">
        <f>SUM(H23:H37)</f>
        <v>75435.260000000009</v>
      </c>
      <c r="I38" s="68"/>
      <c r="J38" s="68"/>
      <c r="K38" s="68"/>
      <c r="L38" s="69"/>
      <c r="M38" s="69"/>
      <c r="N38" s="69"/>
      <c r="O38" s="69"/>
      <c r="P38" s="69"/>
      <c r="Q38" s="69"/>
      <c r="R38" s="77">
        <f>SUM(R23:R37)</f>
        <v>4077.7</v>
      </c>
      <c r="S38" s="77">
        <f>SUM(S23:S37)</f>
        <v>71357.56</v>
      </c>
      <c r="T38" s="77"/>
      <c r="U38" s="77">
        <f>SUM(U23:U37)</f>
        <v>12844.370000000004</v>
      </c>
      <c r="V38" s="118">
        <f t="shared" ref="V38" si="14">SUM(V23:V37)</f>
        <v>84201.93</v>
      </c>
      <c r="W38" s="118"/>
    </row>
    <row r="39" spans="1:23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</row>
    <row r="40" spans="1:23">
      <c r="A40" s="66"/>
      <c r="B40" s="66"/>
      <c r="C40" s="66"/>
      <c r="D40" s="66"/>
      <c r="E40" s="66"/>
      <c r="F40" s="66"/>
      <c r="G40" s="277" t="s">
        <v>194</v>
      </c>
      <c r="H40" s="278"/>
      <c r="I40" s="280">
        <f>H38</f>
        <v>75435.260000000009</v>
      </c>
      <c r="J40" s="280"/>
      <c r="K40" s="100"/>
      <c r="L40" s="66"/>
      <c r="M40" s="283" t="s">
        <v>195</v>
      </c>
      <c r="N40" s="284"/>
      <c r="O40" s="284"/>
      <c r="P40" s="285"/>
      <c r="Q40" s="66"/>
      <c r="R40" s="66"/>
      <c r="S40" s="66"/>
      <c r="T40" s="66"/>
      <c r="U40" s="66"/>
      <c r="V40" s="66"/>
      <c r="W40" s="66"/>
    </row>
    <row r="41" spans="1:23">
      <c r="A41" s="66"/>
      <c r="B41" s="66"/>
      <c r="C41" s="66"/>
      <c r="D41" s="66"/>
      <c r="E41" s="66"/>
      <c r="F41" s="66"/>
      <c r="G41" s="277" t="s">
        <v>196</v>
      </c>
      <c r="H41" s="278"/>
      <c r="I41" s="280">
        <f>R38</f>
        <v>4077.7</v>
      </c>
      <c r="J41" s="280"/>
      <c r="K41" s="66"/>
      <c r="L41" s="66"/>
      <c r="M41" s="101">
        <v>1</v>
      </c>
      <c r="N41" s="101" t="s">
        <v>58</v>
      </c>
      <c r="O41" s="101">
        <v>2</v>
      </c>
      <c r="P41" s="101" t="s">
        <v>163</v>
      </c>
      <c r="Q41" s="66"/>
      <c r="R41" s="66"/>
      <c r="S41" s="66"/>
      <c r="T41" s="66"/>
      <c r="U41" s="66"/>
      <c r="V41" s="66"/>
      <c r="W41" s="66"/>
    </row>
    <row r="42" spans="1:23">
      <c r="A42" s="66"/>
      <c r="B42" s="66"/>
      <c r="C42" s="66"/>
      <c r="D42" s="66"/>
      <c r="E42" s="66"/>
      <c r="F42" s="66"/>
      <c r="G42" s="277" t="s">
        <v>197</v>
      </c>
      <c r="H42" s="278"/>
      <c r="I42" s="280">
        <f>S38</f>
        <v>71357.56</v>
      </c>
      <c r="J42" s="280"/>
      <c r="K42" s="66"/>
      <c r="L42" s="66"/>
      <c r="M42" s="68">
        <v>1</v>
      </c>
      <c r="N42" s="68" t="s">
        <v>58</v>
      </c>
      <c r="O42" s="68">
        <v>2.5</v>
      </c>
      <c r="P42" s="68" t="s">
        <v>176</v>
      </c>
      <c r="Q42" s="66"/>
      <c r="R42" s="66"/>
      <c r="S42" s="66"/>
      <c r="T42" s="66"/>
      <c r="U42" s="66"/>
      <c r="V42" s="66"/>
      <c r="W42" s="66"/>
    </row>
    <row r="43" spans="1:23">
      <c r="A43" s="66"/>
      <c r="B43" s="66"/>
      <c r="C43" s="66"/>
      <c r="D43" s="66"/>
      <c r="E43" s="66"/>
      <c r="F43" s="66"/>
      <c r="G43" s="277" t="s">
        <v>198</v>
      </c>
      <c r="H43" s="278"/>
      <c r="I43" s="280">
        <f>U38</f>
        <v>12844.370000000004</v>
      </c>
      <c r="J43" s="280"/>
      <c r="K43" s="66"/>
      <c r="L43" s="66"/>
      <c r="M43" s="68">
        <v>1</v>
      </c>
      <c r="N43" s="68" t="s">
        <v>163</v>
      </c>
      <c r="O43" s="68">
        <v>1E-3</v>
      </c>
      <c r="P43" s="68" t="s">
        <v>185</v>
      </c>
      <c r="Q43" s="66"/>
      <c r="R43" s="66"/>
      <c r="S43" s="66"/>
      <c r="T43" s="66"/>
      <c r="U43" s="66"/>
      <c r="V43" s="66"/>
      <c r="W43" s="66"/>
    </row>
    <row r="44" spans="1:23">
      <c r="A44" s="66"/>
      <c r="B44" s="66"/>
      <c r="C44" s="66"/>
      <c r="D44" s="66"/>
      <c r="E44" s="66"/>
      <c r="F44" s="66"/>
      <c r="G44" s="277" t="s">
        <v>199</v>
      </c>
      <c r="H44" s="278"/>
      <c r="I44" s="279">
        <f>I42+I43</f>
        <v>84201.930000000008</v>
      </c>
      <c r="J44" s="279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</row>
  </sheetData>
  <mergeCells count="13">
    <mergeCell ref="A21:V21"/>
    <mergeCell ref="B38:G38"/>
    <mergeCell ref="G40:H40"/>
    <mergeCell ref="I40:J40"/>
    <mergeCell ref="M40:P40"/>
    <mergeCell ref="G44:H44"/>
    <mergeCell ref="I44:J44"/>
    <mergeCell ref="G41:H41"/>
    <mergeCell ref="I41:J41"/>
    <mergeCell ref="G42:H42"/>
    <mergeCell ref="I42:J42"/>
    <mergeCell ref="G43:H43"/>
    <mergeCell ref="I43:J4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4:W28"/>
  <sheetViews>
    <sheetView topLeftCell="A7" workbookViewId="0">
      <selection activeCell="A4" sqref="A4:P4"/>
    </sheetView>
  </sheetViews>
  <sheetFormatPr defaultColWidth="9" defaultRowHeight="15"/>
  <cols>
    <col min="2" max="2" width="8.5703125" customWidth="1"/>
    <col min="13" max="13" width="13.7109375" customWidth="1"/>
    <col min="14" max="14" width="9" customWidth="1"/>
    <col min="15" max="15" width="13.5703125" customWidth="1"/>
    <col min="17" max="17" width="14.42578125" customWidth="1"/>
    <col min="18" max="18" width="19.5703125" customWidth="1"/>
    <col min="19" max="19" width="7.140625" customWidth="1"/>
    <col min="20" max="21" width="11.5703125" customWidth="1"/>
    <col min="22" max="22" width="16" customWidth="1"/>
    <col min="23" max="23" width="12.42578125" customWidth="1"/>
  </cols>
  <sheetData>
    <row r="4" spans="1:23" ht="18">
      <c r="A4" s="281" t="s">
        <v>200</v>
      </c>
      <c r="B4" s="281"/>
      <c r="C4" s="281"/>
      <c r="D4" s="281"/>
      <c r="E4" s="281"/>
      <c r="F4" s="281"/>
      <c r="G4" s="281"/>
      <c r="H4" s="281"/>
      <c r="I4" s="281"/>
      <c r="J4" s="281"/>
      <c r="K4" s="281"/>
      <c r="L4" s="281"/>
      <c r="M4" s="281"/>
      <c r="N4" s="281"/>
      <c r="O4" s="281"/>
      <c r="P4" s="281"/>
      <c r="Q4" s="112" t="s">
        <v>201</v>
      </c>
      <c r="R4" s="112" t="s">
        <v>202</v>
      </c>
      <c r="S4" s="113"/>
      <c r="T4" s="112">
        <v>82.92</v>
      </c>
      <c r="U4" s="114"/>
      <c r="V4" s="115"/>
      <c r="W4" s="66"/>
    </row>
    <row r="5" spans="1:23" ht="42.75">
      <c r="A5" s="96" t="s">
        <v>155</v>
      </c>
      <c r="B5" s="96" t="s">
        <v>49</v>
      </c>
      <c r="C5" s="96" t="s">
        <v>51</v>
      </c>
      <c r="D5" s="96" t="s">
        <v>52</v>
      </c>
      <c r="E5" s="96" t="s">
        <v>53</v>
      </c>
      <c r="F5" s="96" t="s">
        <v>54</v>
      </c>
      <c r="G5" s="96" t="s">
        <v>55</v>
      </c>
      <c r="H5" s="98" t="s">
        <v>97</v>
      </c>
      <c r="I5" s="98" t="s">
        <v>99</v>
      </c>
      <c r="J5" s="98" t="s">
        <v>98</v>
      </c>
      <c r="K5" s="99" t="s">
        <v>100</v>
      </c>
      <c r="L5" s="99" t="s">
        <v>101</v>
      </c>
      <c r="M5" s="99" t="s">
        <v>104</v>
      </c>
      <c r="N5" s="99" t="s">
        <v>105</v>
      </c>
      <c r="O5" s="99" t="s">
        <v>102</v>
      </c>
      <c r="P5" s="99" t="s">
        <v>103</v>
      </c>
      <c r="Q5" s="98" t="s">
        <v>203</v>
      </c>
      <c r="R5" s="96" t="s">
        <v>204</v>
      </c>
      <c r="S5" s="102" t="s">
        <v>159</v>
      </c>
      <c r="T5" s="102" t="s">
        <v>113</v>
      </c>
      <c r="U5" s="104" t="s">
        <v>114</v>
      </c>
      <c r="V5" s="104" t="s">
        <v>205</v>
      </c>
      <c r="W5" s="105" t="s">
        <v>129</v>
      </c>
    </row>
    <row r="6" spans="1:23">
      <c r="A6" s="68">
        <v>1</v>
      </c>
      <c r="B6" s="68" t="s">
        <v>56</v>
      </c>
      <c r="C6" s="68" t="s">
        <v>58</v>
      </c>
      <c r="D6" s="68" t="s">
        <v>58</v>
      </c>
      <c r="E6" s="68">
        <v>25</v>
      </c>
      <c r="F6" s="68">
        <v>257.63</v>
      </c>
      <c r="G6" s="68">
        <f>E6*F6</f>
        <v>6440.75</v>
      </c>
      <c r="H6" s="109">
        <v>0.01</v>
      </c>
      <c r="I6" s="109">
        <v>0.02</v>
      </c>
      <c r="J6" s="117">
        <v>2.5000000000000001E-2</v>
      </c>
      <c r="K6" s="68">
        <f>G6</f>
        <v>6440.75</v>
      </c>
      <c r="L6" s="68">
        <f>ROUND(K6*H6,2)</f>
        <v>64.41</v>
      </c>
      <c r="M6" s="68">
        <f>G6-L6</f>
        <v>6376.34</v>
      </c>
      <c r="N6" s="68">
        <f>ROUND(M6*I6,2)</f>
        <v>127.53</v>
      </c>
      <c r="O6" s="68">
        <f>ROUND(M6-N6,2)</f>
        <v>6248.81</v>
      </c>
      <c r="P6" s="68">
        <f>ROUND(O6*J6,2)</f>
        <v>156.22</v>
      </c>
      <c r="Q6" s="68">
        <f>ROUND((L6+N6+P6),2)</f>
        <v>348.16</v>
      </c>
      <c r="R6" s="68">
        <f>ROUND((G6-Q6),2)</f>
        <v>6092.59</v>
      </c>
      <c r="S6" s="109">
        <v>0.18</v>
      </c>
      <c r="T6" s="68">
        <f>ROUND((R6*18%),2)</f>
        <v>1096.67</v>
      </c>
      <c r="U6" s="68">
        <f>R6+T6</f>
        <v>7189.26</v>
      </c>
      <c r="V6" s="68">
        <f>U6*$T$4</f>
        <v>596133.43920000002</v>
      </c>
      <c r="W6" s="68">
        <f>F6*$T$4</f>
        <v>21362.679599999999</v>
      </c>
    </row>
    <row r="7" spans="1:23">
      <c r="A7" s="68">
        <v>2</v>
      </c>
      <c r="B7" s="68" t="s">
        <v>59</v>
      </c>
      <c r="C7" s="68" t="s">
        <v>58</v>
      </c>
      <c r="D7" s="68" t="s">
        <v>58</v>
      </c>
      <c r="E7" s="68">
        <v>35</v>
      </c>
      <c r="F7" s="68">
        <v>125.45</v>
      </c>
      <c r="G7" s="68">
        <f>E7*F7</f>
        <v>4390.75</v>
      </c>
      <c r="H7" s="109">
        <v>0.01</v>
      </c>
      <c r="I7" s="109">
        <v>0.02</v>
      </c>
      <c r="J7" s="117">
        <v>2.5000000000000001E-2</v>
      </c>
      <c r="K7" s="68">
        <f>G7</f>
        <v>4390.75</v>
      </c>
      <c r="L7" s="68">
        <f>ROUND(K7*H7,2)</f>
        <v>43.91</v>
      </c>
      <c r="M7" s="68">
        <f>G7-L7</f>
        <v>4346.84</v>
      </c>
      <c r="N7" s="68">
        <f>ROUND(M7*I7,2)</f>
        <v>86.94</v>
      </c>
      <c r="O7" s="68">
        <f>ROUND(M7-N7,2)</f>
        <v>4259.8999999999996</v>
      </c>
      <c r="P7" s="68">
        <f>ROUND(O7*J7,2)</f>
        <v>106.5</v>
      </c>
      <c r="Q7" s="68">
        <f>ROUND((L7+N7+P7),2)</f>
        <v>237.35</v>
      </c>
      <c r="R7" s="68">
        <f>ROUND((G7-Q7),2)</f>
        <v>4153.3999999999996</v>
      </c>
      <c r="S7" s="109">
        <v>0.18</v>
      </c>
      <c r="T7" s="68">
        <f>ROUND((R7*18%),2)</f>
        <v>747.61</v>
      </c>
      <c r="U7" s="68">
        <f>R7+T7</f>
        <v>4901.0099999999993</v>
      </c>
      <c r="V7" s="68">
        <f t="shared" ref="V7:V20" si="0">U7*$T$4</f>
        <v>406391.74919999996</v>
      </c>
      <c r="W7" s="68">
        <f t="shared" ref="W7:W20" si="1">F7*$T$4</f>
        <v>10402.314</v>
      </c>
    </row>
    <row r="8" spans="1:23">
      <c r="A8" s="68">
        <v>3</v>
      </c>
      <c r="B8" s="68" t="s">
        <v>61</v>
      </c>
      <c r="C8" s="68" t="s">
        <v>58</v>
      </c>
      <c r="D8" s="68" t="s">
        <v>58</v>
      </c>
      <c r="E8" s="68">
        <v>45</v>
      </c>
      <c r="F8" s="68">
        <v>125.36</v>
      </c>
      <c r="G8" s="68">
        <f>E8*F8</f>
        <v>5641.2</v>
      </c>
      <c r="H8" s="109">
        <v>0.01</v>
      </c>
      <c r="I8" s="109">
        <v>0.02</v>
      </c>
      <c r="J8" s="117">
        <v>2.5000000000000001E-2</v>
      </c>
      <c r="K8" s="68">
        <f>G8</f>
        <v>5641.2</v>
      </c>
      <c r="L8" s="68">
        <f>ROUND(K8*H8,2)</f>
        <v>56.41</v>
      </c>
      <c r="M8" s="68">
        <f>G8-L8</f>
        <v>5584.79</v>
      </c>
      <c r="N8" s="68">
        <f>ROUND(M8*I8,2)</f>
        <v>111.7</v>
      </c>
      <c r="O8" s="68">
        <f>ROUND(M8-N8,2)</f>
        <v>5473.09</v>
      </c>
      <c r="P8" s="68">
        <f>ROUND(O8*J8,2)</f>
        <v>136.83000000000001</v>
      </c>
      <c r="Q8" s="68">
        <f>ROUND((L8+N8+P8),2)</f>
        <v>304.94</v>
      </c>
      <c r="R8" s="68">
        <f>ROUND((G8-Q8),2)</f>
        <v>5336.26</v>
      </c>
      <c r="S8" s="109">
        <v>0.18</v>
      </c>
      <c r="T8" s="68">
        <f>ROUND((R8*18%),2)</f>
        <v>960.53</v>
      </c>
      <c r="U8" s="68">
        <f>R8+T8</f>
        <v>6296.79</v>
      </c>
      <c r="V8" s="68">
        <f t="shared" si="0"/>
        <v>522129.82679999998</v>
      </c>
      <c r="W8" s="68">
        <f t="shared" si="1"/>
        <v>10394.851200000001</v>
      </c>
    </row>
    <row r="9" spans="1:23">
      <c r="A9" s="68">
        <v>4</v>
      </c>
      <c r="B9" s="68" t="s">
        <v>63</v>
      </c>
      <c r="C9" s="68" t="s">
        <v>58</v>
      </c>
      <c r="D9" s="68" t="s">
        <v>58</v>
      </c>
      <c r="E9" s="68">
        <v>55</v>
      </c>
      <c r="F9" s="68">
        <v>45.25</v>
      </c>
      <c r="G9" s="68">
        <f t="shared" ref="G9:G20" si="2">E9*F9</f>
        <v>2488.75</v>
      </c>
      <c r="H9" s="109">
        <v>0.01</v>
      </c>
      <c r="I9" s="109">
        <v>0.02</v>
      </c>
      <c r="J9" s="117">
        <v>2.5000000000000001E-2</v>
      </c>
      <c r="K9" s="68">
        <f t="shared" ref="K9:K20" si="3">G9</f>
        <v>2488.75</v>
      </c>
      <c r="L9" s="68">
        <f t="shared" ref="L9:L20" si="4">ROUND(K9*H9,2)</f>
        <v>24.89</v>
      </c>
      <c r="M9" s="68">
        <f t="shared" ref="M9:M20" si="5">G9-L9</f>
        <v>2463.86</v>
      </c>
      <c r="N9" s="68">
        <f t="shared" ref="N9:N20" si="6">ROUND(M9*I9,2)</f>
        <v>49.28</v>
      </c>
      <c r="O9" s="68">
        <f t="shared" ref="O9:O20" si="7">ROUND(M9-N9,2)</f>
        <v>2414.58</v>
      </c>
      <c r="P9" s="68">
        <f t="shared" ref="P9:P20" si="8">ROUND(O9*J9,2)</f>
        <v>60.36</v>
      </c>
      <c r="Q9" s="68">
        <f t="shared" ref="Q9:Q20" si="9">ROUND((L9+N9+P9),2)</f>
        <v>134.53</v>
      </c>
      <c r="R9" s="68">
        <f t="shared" ref="R9:R20" si="10">ROUND((G9-Q9),2)</f>
        <v>2354.2199999999998</v>
      </c>
      <c r="S9" s="109">
        <v>0.18</v>
      </c>
      <c r="T9" s="68">
        <f t="shared" ref="T9:T20" si="11">ROUND((R9*18%),2)</f>
        <v>423.76</v>
      </c>
      <c r="U9" s="68">
        <f t="shared" ref="U9:U20" si="12">R9+T9</f>
        <v>2777.9799999999996</v>
      </c>
      <c r="V9" s="68">
        <f t="shared" si="0"/>
        <v>230350.10159999997</v>
      </c>
      <c r="W9" s="68">
        <f t="shared" si="1"/>
        <v>3752.13</v>
      </c>
    </row>
    <row r="10" spans="1:23">
      <c r="A10" s="68">
        <v>5</v>
      </c>
      <c r="B10" s="68" t="s">
        <v>65</v>
      </c>
      <c r="C10" s="68" t="s">
        <v>58</v>
      </c>
      <c r="D10" s="68" t="s">
        <v>58</v>
      </c>
      <c r="E10" s="68">
        <v>60</v>
      </c>
      <c r="F10" s="68">
        <v>45.5</v>
      </c>
      <c r="G10" s="68">
        <f t="shared" si="2"/>
        <v>2730</v>
      </c>
      <c r="H10" s="109">
        <v>0.01</v>
      </c>
      <c r="I10" s="109">
        <v>0.02</v>
      </c>
      <c r="J10" s="117">
        <v>2.5000000000000001E-2</v>
      </c>
      <c r="K10" s="68">
        <f t="shared" si="3"/>
        <v>2730</v>
      </c>
      <c r="L10" s="68">
        <f t="shared" si="4"/>
        <v>27.3</v>
      </c>
      <c r="M10" s="68">
        <f t="shared" si="5"/>
        <v>2702.7</v>
      </c>
      <c r="N10" s="68">
        <f t="shared" si="6"/>
        <v>54.05</v>
      </c>
      <c r="O10" s="68">
        <f t="shared" si="7"/>
        <v>2648.65</v>
      </c>
      <c r="P10" s="68">
        <f t="shared" si="8"/>
        <v>66.22</v>
      </c>
      <c r="Q10" s="68">
        <f t="shared" si="9"/>
        <v>147.57</v>
      </c>
      <c r="R10" s="68">
        <f t="shared" si="10"/>
        <v>2582.4299999999998</v>
      </c>
      <c r="S10" s="109">
        <v>0.18</v>
      </c>
      <c r="T10" s="68">
        <f t="shared" si="11"/>
        <v>464.84</v>
      </c>
      <c r="U10" s="68">
        <f t="shared" si="12"/>
        <v>3047.27</v>
      </c>
      <c r="V10" s="68">
        <f t="shared" si="0"/>
        <v>252679.62840000002</v>
      </c>
      <c r="W10" s="68">
        <f t="shared" si="1"/>
        <v>3772.86</v>
      </c>
    </row>
    <row r="11" spans="1:23">
      <c r="A11" s="68">
        <v>6</v>
      </c>
      <c r="B11" s="68" t="s">
        <v>67</v>
      </c>
      <c r="C11" s="68" t="s">
        <v>58</v>
      </c>
      <c r="D11" s="68" t="s">
        <v>58</v>
      </c>
      <c r="E11" s="68">
        <v>75</v>
      </c>
      <c r="F11" s="68">
        <v>125.25</v>
      </c>
      <c r="G11" s="68">
        <f t="shared" si="2"/>
        <v>9393.75</v>
      </c>
      <c r="H11" s="109">
        <v>0.01</v>
      </c>
      <c r="I11" s="109">
        <v>0.02</v>
      </c>
      <c r="J11" s="117">
        <v>2.5000000000000001E-2</v>
      </c>
      <c r="K11" s="68">
        <f t="shared" si="3"/>
        <v>9393.75</v>
      </c>
      <c r="L11" s="68">
        <f t="shared" si="4"/>
        <v>93.94</v>
      </c>
      <c r="M11" s="68">
        <f t="shared" si="5"/>
        <v>9299.81</v>
      </c>
      <c r="N11" s="68">
        <f t="shared" si="6"/>
        <v>186</v>
      </c>
      <c r="O11" s="68">
        <f t="shared" si="7"/>
        <v>9113.81</v>
      </c>
      <c r="P11" s="68">
        <f t="shared" si="8"/>
        <v>227.85</v>
      </c>
      <c r="Q11" s="68">
        <f t="shared" si="9"/>
        <v>507.79</v>
      </c>
      <c r="R11" s="68">
        <f t="shared" si="10"/>
        <v>8885.9599999999991</v>
      </c>
      <c r="S11" s="109">
        <v>0.18</v>
      </c>
      <c r="T11" s="68">
        <f t="shared" si="11"/>
        <v>1599.47</v>
      </c>
      <c r="U11" s="68">
        <f t="shared" si="12"/>
        <v>10485.429999999998</v>
      </c>
      <c r="V11" s="68">
        <f t="shared" si="0"/>
        <v>869451.85559999989</v>
      </c>
      <c r="W11" s="68">
        <f t="shared" si="1"/>
        <v>10385.73</v>
      </c>
    </row>
    <row r="12" spans="1:23">
      <c r="A12" s="68">
        <v>7</v>
      </c>
      <c r="B12" s="68" t="s">
        <v>69</v>
      </c>
      <c r="C12" s="68" t="s">
        <v>58</v>
      </c>
      <c r="D12" s="68" t="s">
        <v>58</v>
      </c>
      <c r="E12" s="68">
        <v>28</v>
      </c>
      <c r="F12" s="68">
        <v>150.5</v>
      </c>
      <c r="G12" s="68">
        <f t="shared" si="2"/>
        <v>4214</v>
      </c>
      <c r="H12" s="109">
        <v>0.01</v>
      </c>
      <c r="I12" s="109">
        <v>0.02</v>
      </c>
      <c r="J12" s="117">
        <v>2.5000000000000001E-2</v>
      </c>
      <c r="K12" s="68">
        <f t="shared" si="3"/>
        <v>4214</v>
      </c>
      <c r="L12" s="68">
        <f t="shared" si="4"/>
        <v>42.14</v>
      </c>
      <c r="M12" s="68">
        <f t="shared" si="5"/>
        <v>4171.8599999999997</v>
      </c>
      <c r="N12" s="68">
        <f t="shared" si="6"/>
        <v>83.44</v>
      </c>
      <c r="O12" s="68">
        <f t="shared" si="7"/>
        <v>4088.42</v>
      </c>
      <c r="P12" s="68">
        <f t="shared" si="8"/>
        <v>102.21</v>
      </c>
      <c r="Q12" s="68">
        <f t="shared" si="9"/>
        <v>227.79</v>
      </c>
      <c r="R12" s="68">
        <f t="shared" si="10"/>
        <v>3986.21</v>
      </c>
      <c r="S12" s="109">
        <v>0.18</v>
      </c>
      <c r="T12" s="68">
        <f t="shared" si="11"/>
        <v>717.52</v>
      </c>
      <c r="U12" s="68">
        <f t="shared" si="12"/>
        <v>4703.7299999999996</v>
      </c>
      <c r="V12" s="68">
        <f t="shared" si="0"/>
        <v>390033.2916</v>
      </c>
      <c r="W12" s="68">
        <f t="shared" si="1"/>
        <v>12479.460000000001</v>
      </c>
    </row>
    <row r="13" spans="1:23">
      <c r="A13" s="68">
        <v>8</v>
      </c>
      <c r="B13" s="68" t="s">
        <v>71</v>
      </c>
      <c r="C13" s="68" t="s">
        <v>58</v>
      </c>
      <c r="D13" s="68" t="s">
        <v>58</v>
      </c>
      <c r="E13" s="68">
        <v>30</v>
      </c>
      <c r="F13" s="68">
        <v>65.319999999999993</v>
      </c>
      <c r="G13" s="68">
        <f t="shared" si="2"/>
        <v>1959.6</v>
      </c>
      <c r="H13" s="109">
        <v>0.01</v>
      </c>
      <c r="I13" s="109">
        <v>0.02</v>
      </c>
      <c r="J13" s="117">
        <v>2.5000000000000001E-2</v>
      </c>
      <c r="K13" s="68">
        <f t="shared" si="3"/>
        <v>1959.6</v>
      </c>
      <c r="L13" s="68">
        <f t="shared" si="4"/>
        <v>19.600000000000001</v>
      </c>
      <c r="M13" s="68">
        <f t="shared" si="5"/>
        <v>1940</v>
      </c>
      <c r="N13" s="68">
        <f t="shared" si="6"/>
        <v>38.799999999999997</v>
      </c>
      <c r="O13" s="68">
        <f t="shared" si="7"/>
        <v>1901.2</v>
      </c>
      <c r="P13" s="68">
        <f t="shared" si="8"/>
        <v>47.53</v>
      </c>
      <c r="Q13" s="68">
        <f t="shared" si="9"/>
        <v>105.93</v>
      </c>
      <c r="R13" s="68">
        <f t="shared" si="10"/>
        <v>1853.67</v>
      </c>
      <c r="S13" s="109">
        <v>0.18</v>
      </c>
      <c r="T13" s="68">
        <f t="shared" si="11"/>
        <v>333.66</v>
      </c>
      <c r="U13" s="68">
        <f t="shared" si="12"/>
        <v>2187.33</v>
      </c>
      <c r="V13" s="68">
        <f t="shared" si="0"/>
        <v>181373.40359999999</v>
      </c>
      <c r="W13" s="68">
        <f t="shared" si="1"/>
        <v>5416.3343999999997</v>
      </c>
    </row>
    <row r="14" spans="1:23">
      <c r="A14" s="68">
        <v>9</v>
      </c>
      <c r="B14" s="68" t="s">
        <v>73</v>
      </c>
      <c r="C14" s="68" t="s">
        <v>58</v>
      </c>
      <c r="D14" s="68" t="s">
        <v>58</v>
      </c>
      <c r="E14" s="68">
        <v>25</v>
      </c>
      <c r="F14" s="68">
        <v>74.89</v>
      </c>
      <c r="G14" s="68">
        <f t="shared" si="2"/>
        <v>1872.25</v>
      </c>
      <c r="H14" s="109">
        <v>0.01</v>
      </c>
      <c r="I14" s="109">
        <v>0.02</v>
      </c>
      <c r="J14" s="117">
        <v>2.5000000000000001E-2</v>
      </c>
      <c r="K14" s="68">
        <f t="shared" si="3"/>
        <v>1872.25</v>
      </c>
      <c r="L14" s="68">
        <f t="shared" si="4"/>
        <v>18.72</v>
      </c>
      <c r="M14" s="68">
        <f t="shared" si="5"/>
        <v>1853.53</v>
      </c>
      <c r="N14" s="68">
        <f t="shared" si="6"/>
        <v>37.07</v>
      </c>
      <c r="O14" s="68">
        <f t="shared" si="7"/>
        <v>1816.46</v>
      </c>
      <c r="P14" s="68">
        <f t="shared" si="8"/>
        <v>45.41</v>
      </c>
      <c r="Q14" s="68">
        <f t="shared" si="9"/>
        <v>101.2</v>
      </c>
      <c r="R14" s="68">
        <f t="shared" si="10"/>
        <v>1771.05</v>
      </c>
      <c r="S14" s="109">
        <v>0.18</v>
      </c>
      <c r="T14" s="68">
        <f t="shared" si="11"/>
        <v>318.79000000000002</v>
      </c>
      <c r="U14" s="68">
        <f t="shared" si="12"/>
        <v>2089.84</v>
      </c>
      <c r="V14" s="68">
        <f t="shared" si="0"/>
        <v>173289.53280000002</v>
      </c>
      <c r="W14" s="68">
        <f t="shared" si="1"/>
        <v>6209.8788000000004</v>
      </c>
    </row>
    <row r="15" spans="1:23">
      <c r="A15" s="68">
        <v>10</v>
      </c>
      <c r="B15" s="68" t="s">
        <v>75</v>
      </c>
      <c r="C15" s="68" t="s">
        <v>58</v>
      </c>
      <c r="D15" s="68" t="s">
        <v>58</v>
      </c>
      <c r="E15" s="68">
        <v>28</v>
      </c>
      <c r="F15" s="68">
        <v>89.56</v>
      </c>
      <c r="G15" s="68">
        <f t="shared" si="2"/>
        <v>2507.6800000000003</v>
      </c>
      <c r="H15" s="109">
        <v>0.01</v>
      </c>
      <c r="I15" s="109">
        <v>0.02</v>
      </c>
      <c r="J15" s="117">
        <v>2.5000000000000001E-2</v>
      </c>
      <c r="K15" s="68">
        <f t="shared" si="3"/>
        <v>2507.6800000000003</v>
      </c>
      <c r="L15" s="68">
        <f t="shared" si="4"/>
        <v>25.08</v>
      </c>
      <c r="M15" s="68">
        <f t="shared" si="5"/>
        <v>2482.6000000000004</v>
      </c>
      <c r="N15" s="68">
        <f t="shared" si="6"/>
        <v>49.65</v>
      </c>
      <c r="O15" s="68">
        <f t="shared" si="7"/>
        <v>2432.9499999999998</v>
      </c>
      <c r="P15" s="68">
        <f t="shared" si="8"/>
        <v>60.82</v>
      </c>
      <c r="Q15" s="68">
        <f t="shared" si="9"/>
        <v>135.55000000000001</v>
      </c>
      <c r="R15" s="68">
        <f t="shared" si="10"/>
        <v>2372.13</v>
      </c>
      <c r="S15" s="109">
        <v>0.18</v>
      </c>
      <c r="T15" s="68">
        <f t="shared" si="11"/>
        <v>426.98</v>
      </c>
      <c r="U15" s="68">
        <f t="shared" si="12"/>
        <v>2799.11</v>
      </c>
      <c r="V15" s="68">
        <f t="shared" si="0"/>
        <v>232102.20120000001</v>
      </c>
      <c r="W15" s="68">
        <f t="shared" si="1"/>
        <v>7426.3152</v>
      </c>
    </row>
    <row r="16" spans="1:23">
      <c r="A16" s="68">
        <v>11</v>
      </c>
      <c r="B16" s="68" t="s">
        <v>77</v>
      </c>
      <c r="C16" s="68" t="s">
        <v>58</v>
      </c>
      <c r="D16" s="68" t="s">
        <v>58</v>
      </c>
      <c r="E16" s="68">
        <v>37</v>
      </c>
      <c r="F16" s="68">
        <v>89.54</v>
      </c>
      <c r="G16" s="68">
        <f t="shared" si="2"/>
        <v>3312.98</v>
      </c>
      <c r="H16" s="109">
        <v>0.01</v>
      </c>
      <c r="I16" s="109">
        <v>0.02</v>
      </c>
      <c r="J16" s="117">
        <v>2.5000000000000001E-2</v>
      </c>
      <c r="K16" s="68">
        <f t="shared" si="3"/>
        <v>3312.98</v>
      </c>
      <c r="L16" s="68">
        <f t="shared" si="4"/>
        <v>33.130000000000003</v>
      </c>
      <c r="M16" s="68">
        <f t="shared" si="5"/>
        <v>3279.85</v>
      </c>
      <c r="N16" s="68">
        <f t="shared" si="6"/>
        <v>65.599999999999994</v>
      </c>
      <c r="O16" s="68">
        <f t="shared" si="7"/>
        <v>3214.25</v>
      </c>
      <c r="P16" s="68">
        <f t="shared" si="8"/>
        <v>80.36</v>
      </c>
      <c r="Q16" s="68">
        <f t="shared" si="9"/>
        <v>179.09</v>
      </c>
      <c r="R16" s="68">
        <f t="shared" si="10"/>
        <v>3133.89</v>
      </c>
      <c r="S16" s="109">
        <v>0.18</v>
      </c>
      <c r="T16" s="68">
        <f t="shared" si="11"/>
        <v>564.1</v>
      </c>
      <c r="U16" s="68">
        <f t="shared" si="12"/>
        <v>3697.99</v>
      </c>
      <c r="V16" s="68">
        <f t="shared" si="0"/>
        <v>306637.3308</v>
      </c>
      <c r="W16" s="68">
        <f t="shared" si="1"/>
        <v>7424.6568000000007</v>
      </c>
    </row>
    <row r="17" spans="1:23">
      <c r="A17" s="68">
        <v>12</v>
      </c>
      <c r="B17" s="68" t="s">
        <v>79</v>
      </c>
      <c r="C17" s="68" t="s">
        <v>58</v>
      </c>
      <c r="D17" s="68" t="s">
        <v>58</v>
      </c>
      <c r="E17" s="68">
        <v>39</v>
      </c>
      <c r="F17" s="68">
        <v>98.25</v>
      </c>
      <c r="G17" s="68">
        <f t="shared" si="2"/>
        <v>3831.75</v>
      </c>
      <c r="H17" s="109">
        <v>0.01</v>
      </c>
      <c r="I17" s="109">
        <v>0.02</v>
      </c>
      <c r="J17" s="117">
        <v>2.5000000000000001E-2</v>
      </c>
      <c r="K17" s="68">
        <f t="shared" si="3"/>
        <v>3831.75</v>
      </c>
      <c r="L17" s="68">
        <f t="shared" si="4"/>
        <v>38.32</v>
      </c>
      <c r="M17" s="68">
        <f t="shared" si="5"/>
        <v>3793.43</v>
      </c>
      <c r="N17" s="68">
        <f t="shared" si="6"/>
        <v>75.87</v>
      </c>
      <c r="O17" s="68">
        <f t="shared" si="7"/>
        <v>3717.56</v>
      </c>
      <c r="P17" s="68">
        <f t="shared" si="8"/>
        <v>92.94</v>
      </c>
      <c r="Q17" s="68">
        <f t="shared" si="9"/>
        <v>207.13</v>
      </c>
      <c r="R17" s="68">
        <f t="shared" si="10"/>
        <v>3624.62</v>
      </c>
      <c r="S17" s="109">
        <v>0.18</v>
      </c>
      <c r="T17" s="68">
        <f t="shared" si="11"/>
        <v>652.42999999999995</v>
      </c>
      <c r="U17" s="68">
        <f t="shared" si="12"/>
        <v>4277.05</v>
      </c>
      <c r="V17" s="68">
        <f t="shared" si="0"/>
        <v>354652.98600000003</v>
      </c>
      <c r="W17" s="68">
        <f t="shared" si="1"/>
        <v>8146.89</v>
      </c>
    </row>
    <row r="18" spans="1:23">
      <c r="A18" s="68">
        <v>13</v>
      </c>
      <c r="B18" s="68" t="s">
        <v>81</v>
      </c>
      <c r="C18" s="68" t="s">
        <v>58</v>
      </c>
      <c r="D18" s="68" t="s">
        <v>58</v>
      </c>
      <c r="E18" s="68">
        <v>70</v>
      </c>
      <c r="F18" s="68">
        <v>102.25</v>
      </c>
      <c r="G18" s="68">
        <f t="shared" si="2"/>
        <v>7157.5</v>
      </c>
      <c r="H18" s="109">
        <v>0.01</v>
      </c>
      <c r="I18" s="109">
        <v>0.02</v>
      </c>
      <c r="J18" s="117">
        <v>2.5000000000000001E-2</v>
      </c>
      <c r="K18" s="68">
        <f t="shared" si="3"/>
        <v>7157.5</v>
      </c>
      <c r="L18" s="68">
        <f t="shared" si="4"/>
        <v>71.58</v>
      </c>
      <c r="M18" s="68">
        <f t="shared" si="5"/>
        <v>7085.92</v>
      </c>
      <c r="N18" s="68">
        <f t="shared" si="6"/>
        <v>141.72</v>
      </c>
      <c r="O18" s="68">
        <f t="shared" si="7"/>
        <v>6944.2</v>
      </c>
      <c r="P18" s="68">
        <f t="shared" si="8"/>
        <v>173.61</v>
      </c>
      <c r="Q18" s="68">
        <f t="shared" si="9"/>
        <v>386.91</v>
      </c>
      <c r="R18" s="68">
        <f t="shared" si="10"/>
        <v>6770.59</v>
      </c>
      <c r="S18" s="109">
        <v>0.18</v>
      </c>
      <c r="T18" s="68">
        <f t="shared" si="11"/>
        <v>1218.71</v>
      </c>
      <c r="U18" s="68">
        <f t="shared" si="12"/>
        <v>7989.3</v>
      </c>
      <c r="V18" s="68">
        <f t="shared" si="0"/>
        <v>662472.75600000005</v>
      </c>
      <c r="W18" s="68">
        <f t="shared" si="1"/>
        <v>8478.57</v>
      </c>
    </row>
    <row r="19" spans="1:23">
      <c r="A19" s="68">
        <v>14</v>
      </c>
      <c r="B19" s="68" t="s">
        <v>83</v>
      </c>
      <c r="C19" s="68" t="s">
        <v>58</v>
      </c>
      <c r="D19" s="68" t="s">
        <v>58</v>
      </c>
      <c r="E19" s="68">
        <v>100</v>
      </c>
      <c r="F19" s="68">
        <v>103.5</v>
      </c>
      <c r="G19" s="68">
        <f t="shared" si="2"/>
        <v>10350</v>
      </c>
      <c r="H19" s="109">
        <v>0.01</v>
      </c>
      <c r="I19" s="109">
        <v>0.02</v>
      </c>
      <c r="J19" s="117">
        <v>2.5000000000000001E-2</v>
      </c>
      <c r="K19" s="68">
        <f t="shared" si="3"/>
        <v>10350</v>
      </c>
      <c r="L19" s="68">
        <f t="shared" si="4"/>
        <v>103.5</v>
      </c>
      <c r="M19" s="68">
        <f t="shared" si="5"/>
        <v>10246.5</v>
      </c>
      <c r="N19" s="68">
        <f t="shared" si="6"/>
        <v>204.93</v>
      </c>
      <c r="O19" s="68">
        <f t="shared" si="7"/>
        <v>10041.57</v>
      </c>
      <c r="P19" s="68">
        <f t="shared" si="8"/>
        <v>251.04</v>
      </c>
      <c r="Q19" s="68">
        <f t="shared" si="9"/>
        <v>559.47</v>
      </c>
      <c r="R19" s="68">
        <f t="shared" si="10"/>
        <v>9790.5300000000007</v>
      </c>
      <c r="S19" s="109">
        <v>0.18</v>
      </c>
      <c r="T19" s="68">
        <f t="shared" si="11"/>
        <v>1762.3</v>
      </c>
      <c r="U19" s="68">
        <f t="shared" si="12"/>
        <v>11552.83</v>
      </c>
      <c r="V19" s="68">
        <f t="shared" si="0"/>
        <v>957960.66359999997</v>
      </c>
      <c r="W19" s="68">
        <f t="shared" si="1"/>
        <v>8582.2199999999993</v>
      </c>
    </row>
    <row r="20" spans="1:23">
      <c r="A20" s="68">
        <v>15</v>
      </c>
      <c r="B20" s="68" t="s">
        <v>85</v>
      </c>
      <c r="C20" s="68" t="s">
        <v>58</v>
      </c>
      <c r="D20" s="68" t="s">
        <v>58</v>
      </c>
      <c r="E20" s="68">
        <v>85</v>
      </c>
      <c r="F20" s="68">
        <v>65.48</v>
      </c>
      <c r="G20" s="68">
        <f t="shared" si="2"/>
        <v>5565.8</v>
      </c>
      <c r="H20" s="109">
        <v>0.01</v>
      </c>
      <c r="I20" s="109">
        <v>0.02</v>
      </c>
      <c r="J20" s="117">
        <v>2.5000000000000001E-2</v>
      </c>
      <c r="K20" s="68">
        <f t="shared" si="3"/>
        <v>5565.8</v>
      </c>
      <c r="L20" s="68">
        <f t="shared" si="4"/>
        <v>55.66</v>
      </c>
      <c r="M20" s="68">
        <f t="shared" si="5"/>
        <v>5510.14</v>
      </c>
      <c r="N20" s="68">
        <f t="shared" si="6"/>
        <v>110.2</v>
      </c>
      <c r="O20" s="68">
        <f t="shared" si="7"/>
        <v>5399.94</v>
      </c>
      <c r="P20" s="68">
        <f t="shared" si="8"/>
        <v>135</v>
      </c>
      <c r="Q20" s="68">
        <f t="shared" si="9"/>
        <v>300.86</v>
      </c>
      <c r="R20" s="68">
        <f t="shared" si="10"/>
        <v>5264.94</v>
      </c>
      <c r="S20" s="109">
        <v>0.18</v>
      </c>
      <c r="T20" s="68">
        <f t="shared" si="11"/>
        <v>947.69</v>
      </c>
      <c r="U20" s="68">
        <f t="shared" si="12"/>
        <v>6212.6299999999992</v>
      </c>
      <c r="V20" s="68">
        <f t="shared" si="0"/>
        <v>515151.27959999995</v>
      </c>
      <c r="W20" s="68">
        <f t="shared" si="1"/>
        <v>5429.6016000000009</v>
      </c>
    </row>
    <row r="21" spans="1:23">
      <c r="A21" s="66"/>
      <c r="B21" s="282" t="s">
        <v>87</v>
      </c>
      <c r="C21" s="282"/>
      <c r="D21" s="282"/>
      <c r="E21" s="282"/>
      <c r="F21" s="282"/>
      <c r="G21" s="71">
        <f>SUM(G6:G20)</f>
        <v>71856.759999999995</v>
      </c>
      <c r="H21" s="68"/>
      <c r="I21" s="68"/>
      <c r="J21" s="68"/>
      <c r="K21" s="68"/>
      <c r="L21" s="68"/>
      <c r="M21" s="68"/>
      <c r="N21" s="68"/>
      <c r="O21" s="68"/>
      <c r="P21" s="68"/>
      <c r="Q21" s="71">
        <f>SUM(Q6:Q20)</f>
        <v>3884.27</v>
      </c>
      <c r="R21" s="71">
        <f>SUM(R6:R20)</f>
        <v>67972.490000000005</v>
      </c>
      <c r="S21" s="71"/>
      <c r="T21" s="71">
        <f>SUM(T6:T20)</f>
        <v>12235.060000000003</v>
      </c>
      <c r="U21" s="80">
        <f t="shared" ref="U21:V21" si="13">SUM(U6:U20)</f>
        <v>80207.55</v>
      </c>
      <c r="V21" s="80">
        <f t="shared" si="13"/>
        <v>6650810.0460000001</v>
      </c>
      <c r="W21" s="80"/>
    </row>
    <row r="22" spans="1:23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</row>
    <row r="23" spans="1:23">
      <c r="A23" s="66"/>
      <c r="B23" s="66"/>
      <c r="C23" s="66"/>
      <c r="D23" s="66"/>
      <c r="E23" s="66"/>
      <c r="F23" s="288" t="s">
        <v>206</v>
      </c>
      <c r="G23" s="288"/>
      <c r="H23" s="288"/>
      <c r="I23" s="288"/>
      <c r="J23" s="66"/>
      <c r="K23" s="288" t="s">
        <v>207</v>
      </c>
      <c r="L23" s="288"/>
      <c r="M23" s="288"/>
      <c r="N23" s="288"/>
      <c r="O23" s="66"/>
      <c r="P23" s="66"/>
      <c r="Q23" s="66"/>
      <c r="R23" s="66"/>
      <c r="S23" s="66"/>
      <c r="T23" s="66"/>
      <c r="U23" s="66"/>
      <c r="V23" s="66"/>
      <c r="W23" s="66"/>
    </row>
    <row r="24" spans="1:23">
      <c r="A24" s="66"/>
      <c r="B24" s="66"/>
      <c r="C24" s="66"/>
      <c r="D24" s="66"/>
      <c r="E24" s="66"/>
      <c r="F24" s="277" t="s">
        <v>194</v>
      </c>
      <c r="G24" s="278"/>
      <c r="H24" s="286">
        <f>G21</f>
        <v>71856.759999999995</v>
      </c>
      <c r="I24" s="286"/>
      <c r="J24" s="100"/>
      <c r="K24" s="277" t="s">
        <v>194</v>
      </c>
      <c r="L24" s="278"/>
      <c r="M24" s="286">
        <f>H24*$T$4</f>
        <v>5958362.5391999995</v>
      </c>
      <c r="N24" s="286"/>
      <c r="O24" s="66"/>
      <c r="P24" s="66"/>
      <c r="Q24" s="66"/>
      <c r="R24" s="66"/>
      <c r="S24" s="66"/>
      <c r="T24" s="66"/>
      <c r="U24" s="66"/>
      <c r="V24" s="66"/>
      <c r="W24" s="66"/>
    </row>
    <row r="25" spans="1:23">
      <c r="A25" s="66"/>
      <c r="B25" s="66"/>
      <c r="C25" s="66"/>
      <c r="D25" s="66"/>
      <c r="E25" s="66"/>
      <c r="F25" s="277" t="s">
        <v>196</v>
      </c>
      <c r="G25" s="278"/>
      <c r="H25" s="286">
        <f>Q21</f>
        <v>3884.27</v>
      </c>
      <c r="I25" s="286"/>
      <c r="J25" s="66"/>
      <c r="K25" s="277" t="s">
        <v>196</v>
      </c>
      <c r="L25" s="278"/>
      <c r="M25" s="286">
        <f t="shared" ref="M25:M28" si="14">H25*$T$4</f>
        <v>322083.66840000002</v>
      </c>
      <c r="N25" s="286"/>
      <c r="O25" s="66"/>
      <c r="P25" s="66"/>
      <c r="Q25" s="66"/>
      <c r="R25" s="66"/>
      <c r="S25" s="66"/>
      <c r="T25" s="66"/>
      <c r="U25" s="66"/>
      <c r="V25" s="74"/>
      <c r="W25" s="66"/>
    </row>
    <row r="26" spans="1:23">
      <c r="A26" s="66"/>
      <c r="B26" s="66"/>
      <c r="C26" s="66"/>
      <c r="D26" s="66"/>
      <c r="E26" s="66"/>
      <c r="F26" s="277" t="s">
        <v>197</v>
      </c>
      <c r="G26" s="278"/>
      <c r="H26" s="286">
        <f>R21</f>
        <v>67972.490000000005</v>
      </c>
      <c r="I26" s="286"/>
      <c r="J26" s="66"/>
      <c r="K26" s="277" t="s">
        <v>197</v>
      </c>
      <c r="L26" s="278"/>
      <c r="M26" s="286">
        <f t="shared" si="14"/>
        <v>5636278.8708000006</v>
      </c>
      <c r="N26" s="286"/>
      <c r="O26" s="66"/>
      <c r="P26" s="66"/>
      <c r="Q26" s="66"/>
      <c r="R26" s="66"/>
      <c r="S26" s="66"/>
      <c r="T26" s="66"/>
      <c r="U26" s="66"/>
      <c r="V26" s="74"/>
      <c r="W26" s="66"/>
    </row>
    <row r="27" spans="1:23">
      <c r="A27" s="66"/>
      <c r="B27" s="66"/>
      <c r="C27" s="66"/>
      <c r="D27" s="66"/>
      <c r="E27" s="66"/>
      <c r="F27" s="277" t="s">
        <v>198</v>
      </c>
      <c r="G27" s="278"/>
      <c r="H27" s="286">
        <f>T21</f>
        <v>12235.060000000003</v>
      </c>
      <c r="I27" s="286"/>
      <c r="J27" s="66"/>
      <c r="K27" s="277" t="s">
        <v>198</v>
      </c>
      <c r="L27" s="278"/>
      <c r="M27" s="286">
        <f t="shared" si="14"/>
        <v>1014531.1752000003</v>
      </c>
      <c r="N27" s="286"/>
      <c r="O27" s="66"/>
      <c r="P27" s="66"/>
      <c r="Q27" s="66"/>
      <c r="R27" s="66"/>
      <c r="S27" s="66"/>
      <c r="T27" s="66"/>
      <c r="U27" s="66"/>
      <c r="V27" s="74"/>
      <c r="W27" s="66"/>
    </row>
    <row r="28" spans="1:23">
      <c r="A28" s="66"/>
      <c r="B28" s="66"/>
      <c r="C28" s="66"/>
      <c r="D28" s="66"/>
      <c r="E28" s="66"/>
      <c r="F28" s="277" t="s">
        <v>199</v>
      </c>
      <c r="G28" s="278"/>
      <c r="H28" s="287">
        <f>H26+H27</f>
        <v>80207.55</v>
      </c>
      <c r="I28" s="287"/>
      <c r="J28" s="66"/>
      <c r="K28" s="277" t="s">
        <v>199</v>
      </c>
      <c r="L28" s="278"/>
      <c r="M28" s="287">
        <f t="shared" si="14"/>
        <v>6650810.0460000001</v>
      </c>
      <c r="N28" s="287"/>
      <c r="O28" s="66"/>
      <c r="P28" s="66"/>
      <c r="Q28" s="66"/>
      <c r="R28" s="66"/>
      <c r="S28" s="66"/>
      <c r="T28" s="66"/>
      <c r="U28" s="66"/>
      <c r="V28" s="66"/>
      <c r="W28" s="66"/>
    </row>
  </sheetData>
  <mergeCells count="24">
    <mergeCell ref="A4:P4"/>
    <mergeCell ref="B21:F21"/>
    <mergeCell ref="F23:I23"/>
    <mergeCell ref="K23:N23"/>
    <mergeCell ref="F24:G24"/>
    <mergeCell ref="H24:I24"/>
    <mergeCell ref="K24:L24"/>
    <mergeCell ref="M24:N24"/>
    <mergeCell ref="F25:G25"/>
    <mergeCell ref="H25:I25"/>
    <mergeCell ref="K25:L25"/>
    <mergeCell ref="M25:N25"/>
    <mergeCell ref="F26:G26"/>
    <mergeCell ref="H26:I26"/>
    <mergeCell ref="K26:L26"/>
    <mergeCell ref="M26:N26"/>
    <mergeCell ref="F27:G27"/>
    <mergeCell ref="H27:I27"/>
    <mergeCell ref="K27:L27"/>
    <mergeCell ref="M27:N27"/>
    <mergeCell ref="F28:G28"/>
    <mergeCell ref="H28:I28"/>
    <mergeCell ref="K28:L28"/>
    <mergeCell ref="M28:N2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25"/>
  <sheetViews>
    <sheetView topLeftCell="A7" workbookViewId="0">
      <selection activeCell="G28" sqref="G28"/>
    </sheetView>
  </sheetViews>
  <sheetFormatPr defaultColWidth="9" defaultRowHeight="15"/>
  <sheetData>
    <row r="1" spans="1:23" ht="18">
      <c r="A1" s="281" t="s">
        <v>208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112" t="s">
        <v>201</v>
      </c>
      <c r="R1" s="112" t="s">
        <v>202</v>
      </c>
      <c r="S1" s="113"/>
      <c r="T1" s="112">
        <v>82.92</v>
      </c>
      <c r="U1" s="114"/>
      <c r="V1" s="115"/>
      <c r="W1" s="66"/>
    </row>
    <row r="2" spans="1:23" ht="57">
      <c r="A2" s="96" t="s">
        <v>155</v>
      </c>
      <c r="B2" s="96" t="s">
        <v>49</v>
      </c>
      <c r="C2" s="96" t="s">
        <v>51</v>
      </c>
      <c r="D2" s="96" t="s">
        <v>52</v>
      </c>
      <c r="E2" s="96" t="s">
        <v>53</v>
      </c>
      <c r="F2" s="96" t="s">
        <v>54</v>
      </c>
      <c r="G2" s="96" t="s">
        <v>55</v>
      </c>
      <c r="H2" s="98" t="s">
        <v>97</v>
      </c>
      <c r="I2" s="98" t="s">
        <v>99</v>
      </c>
      <c r="J2" s="98" t="s">
        <v>98</v>
      </c>
      <c r="K2" s="99" t="s">
        <v>100</v>
      </c>
      <c r="L2" s="99" t="s">
        <v>101</v>
      </c>
      <c r="M2" s="99" t="s">
        <v>104</v>
      </c>
      <c r="N2" s="99" t="s">
        <v>105</v>
      </c>
      <c r="O2" s="99" t="s">
        <v>157</v>
      </c>
      <c r="P2" s="99" t="s">
        <v>103</v>
      </c>
      <c r="Q2" s="98" t="s">
        <v>203</v>
      </c>
      <c r="R2" s="96" t="s">
        <v>204</v>
      </c>
      <c r="S2" s="102" t="s">
        <v>159</v>
      </c>
      <c r="T2" s="102" t="s">
        <v>113</v>
      </c>
      <c r="U2" s="116" t="s">
        <v>209</v>
      </c>
      <c r="V2" s="116" t="s">
        <v>205</v>
      </c>
      <c r="W2" s="105" t="s">
        <v>160</v>
      </c>
    </row>
    <row r="3" spans="1:23">
      <c r="A3" s="68">
        <v>1</v>
      </c>
      <c r="B3" s="68" t="s">
        <v>56</v>
      </c>
      <c r="C3" s="68" t="s">
        <v>58</v>
      </c>
      <c r="D3" s="68" t="s">
        <v>163</v>
      </c>
      <c r="E3" s="68">
        <v>25</v>
      </c>
      <c r="F3" s="68">
        <v>257.63</v>
      </c>
      <c r="G3" s="68">
        <f>E3*F3</f>
        <v>6440.75</v>
      </c>
      <c r="H3" s="109">
        <v>0.01</v>
      </c>
      <c r="I3" s="109">
        <v>0.02</v>
      </c>
      <c r="J3" s="79">
        <v>2.5000000000000001E-2</v>
      </c>
      <c r="K3" s="68">
        <f>G3</f>
        <v>6440.75</v>
      </c>
      <c r="L3" s="68">
        <f>ROUND(K3*H3,2)</f>
        <v>64.41</v>
      </c>
      <c r="M3" s="68">
        <f>G3-L3</f>
        <v>6376.34</v>
      </c>
      <c r="N3" s="68">
        <f>ROUND(M3*I3,2)</f>
        <v>127.53</v>
      </c>
      <c r="O3" s="68">
        <f>ROUND(M3-N3,2)</f>
        <v>6248.81</v>
      </c>
      <c r="P3" s="68">
        <f>ROUND(O3*J3,2)</f>
        <v>156.22</v>
      </c>
      <c r="Q3" s="68">
        <f>ROUND((L3+N3+P3),2)</f>
        <v>348.16</v>
      </c>
      <c r="R3" s="68">
        <f>ROUND((G3-Q3),2)</f>
        <v>6092.59</v>
      </c>
      <c r="S3" s="109">
        <v>0.18</v>
      </c>
      <c r="T3" s="68">
        <f>ROUND((R3*18%),2)</f>
        <v>1096.67</v>
      </c>
      <c r="U3" s="68">
        <f>R3+T3</f>
        <v>7189.26</v>
      </c>
      <c r="V3" s="68">
        <f>U3*$T$1</f>
        <v>596133.43920000002</v>
      </c>
      <c r="W3" s="68">
        <f t="shared" ref="W3:W8" si="0">ROUND(F3*$S$21*$T$1,2)</f>
        <v>42725.36</v>
      </c>
    </row>
    <row r="4" spans="1:23">
      <c r="A4" s="68">
        <v>2</v>
      </c>
      <c r="B4" s="68" t="s">
        <v>59</v>
      </c>
      <c r="C4" s="68" t="s">
        <v>58</v>
      </c>
      <c r="D4" s="68" t="s">
        <v>163</v>
      </c>
      <c r="E4" s="68">
        <v>35</v>
      </c>
      <c r="F4" s="68">
        <v>125.45</v>
      </c>
      <c r="G4" s="68">
        <f>E4*F4</f>
        <v>4390.75</v>
      </c>
      <c r="H4" s="109">
        <v>0.01</v>
      </c>
      <c r="I4" s="109">
        <v>0.02</v>
      </c>
      <c r="J4" s="79">
        <v>2.5000000000000001E-2</v>
      </c>
      <c r="K4" s="68">
        <f>G4</f>
        <v>4390.75</v>
      </c>
      <c r="L4" s="68">
        <f>ROUND(K4*H4,2)</f>
        <v>43.91</v>
      </c>
      <c r="M4" s="68">
        <f>G4-L4</f>
        <v>4346.84</v>
      </c>
      <c r="N4" s="68">
        <f>ROUND(M4*I4,2)</f>
        <v>86.94</v>
      </c>
      <c r="O4" s="68">
        <f>ROUND(M4-N4,2)</f>
        <v>4259.8999999999996</v>
      </c>
      <c r="P4" s="68">
        <f>ROUND(O4*J4,2)</f>
        <v>106.5</v>
      </c>
      <c r="Q4" s="68">
        <f>ROUND((L4+N4+P4),2)</f>
        <v>237.35</v>
      </c>
      <c r="R4" s="68">
        <f>ROUND((G4-Q4),2)</f>
        <v>4153.3999999999996</v>
      </c>
      <c r="S4" s="109">
        <v>0.18</v>
      </c>
      <c r="T4" s="68">
        <f>ROUND((R4*18%),2)</f>
        <v>747.61</v>
      </c>
      <c r="U4" s="68">
        <f>R4+T4</f>
        <v>4901.0099999999993</v>
      </c>
      <c r="V4" s="68">
        <f t="shared" ref="V4:V17" si="1">U4*$T$1</f>
        <v>406391.74919999996</v>
      </c>
      <c r="W4" s="68">
        <f t="shared" si="0"/>
        <v>20804.63</v>
      </c>
    </row>
    <row r="5" spans="1:23">
      <c r="A5" s="68">
        <v>3</v>
      </c>
      <c r="B5" s="68" t="s">
        <v>61</v>
      </c>
      <c r="C5" s="68" t="s">
        <v>58</v>
      </c>
      <c r="D5" s="68" t="s">
        <v>163</v>
      </c>
      <c r="E5" s="68">
        <v>45</v>
      </c>
      <c r="F5" s="68">
        <v>125.36</v>
      </c>
      <c r="G5" s="68">
        <f>E5*F5</f>
        <v>5641.2</v>
      </c>
      <c r="H5" s="109">
        <v>0.01</v>
      </c>
      <c r="I5" s="109">
        <v>0.02</v>
      </c>
      <c r="J5" s="79">
        <v>2.5000000000000001E-2</v>
      </c>
      <c r="K5" s="68">
        <f>G5</f>
        <v>5641.2</v>
      </c>
      <c r="L5" s="68">
        <f>ROUND(K5*H5,2)</f>
        <v>56.41</v>
      </c>
      <c r="M5" s="68">
        <f>G5-L5</f>
        <v>5584.79</v>
      </c>
      <c r="N5" s="68">
        <f>ROUND(M5*I5,2)</f>
        <v>111.7</v>
      </c>
      <c r="O5" s="68">
        <f>ROUND(M5-N5,2)</f>
        <v>5473.09</v>
      </c>
      <c r="P5" s="68">
        <f>ROUND(O5*J5,2)</f>
        <v>136.83000000000001</v>
      </c>
      <c r="Q5" s="68">
        <f>ROUND((L5+N5+P5),2)</f>
        <v>304.94</v>
      </c>
      <c r="R5" s="68">
        <f>ROUND((G5-Q5),2)</f>
        <v>5336.26</v>
      </c>
      <c r="S5" s="109">
        <v>0.18</v>
      </c>
      <c r="T5" s="68">
        <f>ROUND((R5*18%),2)</f>
        <v>960.53</v>
      </c>
      <c r="U5" s="68">
        <f>R5+T5</f>
        <v>6296.79</v>
      </c>
      <c r="V5" s="68">
        <f t="shared" si="1"/>
        <v>522129.82679999998</v>
      </c>
      <c r="W5" s="68">
        <f t="shared" si="0"/>
        <v>20789.7</v>
      </c>
    </row>
    <row r="6" spans="1:23">
      <c r="A6" s="68">
        <v>4</v>
      </c>
      <c r="B6" s="68" t="s">
        <v>63</v>
      </c>
      <c r="C6" s="68" t="s">
        <v>58</v>
      </c>
      <c r="D6" s="68" t="s">
        <v>163</v>
      </c>
      <c r="E6" s="68">
        <v>55</v>
      </c>
      <c r="F6" s="68">
        <v>45.25</v>
      </c>
      <c r="G6" s="68">
        <f t="shared" ref="G6:G17" si="2">E6*F6</f>
        <v>2488.75</v>
      </c>
      <c r="H6" s="109">
        <v>0.01</v>
      </c>
      <c r="I6" s="109">
        <v>0.02</v>
      </c>
      <c r="J6" s="79">
        <v>2.5000000000000001E-2</v>
      </c>
      <c r="K6" s="68">
        <f t="shared" ref="K6:K17" si="3">G6</f>
        <v>2488.75</v>
      </c>
      <c r="L6" s="68">
        <f t="shared" ref="L6:L17" si="4">ROUND(K6*H6,2)</f>
        <v>24.89</v>
      </c>
      <c r="M6" s="68">
        <f t="shared" ref="M6:M17" si="5">G6-L6</f>
        <v>2463.86</v>
      </c>
      <c r="N6" s="68">
        <f t="shared" ref="N6:N17" si="6">ROUND(M6*I6,2)</f>
        <v>49.28</v>
      </c>
      <c r="O6" s="68">
        <f t="shared" ref="O6:O17" si="7">ROUND(M6-N6,2)</f>
        <v>2414.58</v>
      </c>
      <c r="P6" s="68">
        <f t="shared" ref="P6:P17" si="8">ROUND(O6*J6,2)</f>
        <v>60.36</v>
      </c>
      <c r="Q6" s="68">
        <f t="shared" ref="Q6:Q17" si="9">ROUND((L6+N6+P6),2)</f>
        <v>134.53</v>
      </c>
      <c r="R6" s="68">
        <f t="shared" ref="R6:R17" si="10">ROUND((G6-Q6),2)</f>
        <v>2354.2199999999998</v>
      </c>
      <c r="S6" s="109">
        <v>0.18</v>
      </c>
      <c r="T6" s="68">
        <f t="shared" ref="T6:T17" si="11">ROUND((R6*18%),2)</f>
        <v>423.76</v>
      </c>
      <c r="U6" s="68">
        <f t="shared" ref="U6:U17" si="12">R6+T6</f>
        <v>2777.9799999999996</v>
      </c>
      <c r="V6" s="68">
        <f t="shared" si="1"/>
        <v>230350.10159999997</v>
      </c>
      <c r="W6" s="68">
        <f t="shared" si="0"/>
        <v>7504.26</v>
      </c>
    </row>
    <row r="7" spans="1:23">
      <c r="A7" s="68">
        <v>5</v>
      </c>
      <c r="B7" s="68" t="s">
        <v>65</v>
      </c>
      <c r="C7" s="68" t="s">
        <v>58</v>
      </c>
      <c r="D7" s="68" t="s">
        <v>163</v>
      </c>
      <c r="E7" s="68">
        <v>60</v>
      </c>
      <c r="F7" s="68">
        <v>45.5</v>
      </c>
      <c r="G7" s="68">
        <f t="shared" si="2"/>
        <v>2730</v>
      </c>
      <c r="H7" s="109">
        <v>0.01</v>
      </c>
      <c r="I7" s="109">
        <v>0.02</v>
      </c>
      <c r="J7" s="79">
        <v>2.5000000000000001E-2</v>
      </c>
      <c r="K7" s="68">
        <f t="shared" si="3"/>
        <v>2730</v>
      </c>
      <c r="L7" s="68">
        <f t="shared" si="4"/>
        <v>27.3</v>
      </c>
      <c r="M7" s="68">
        <f t="shared" si="5"/>
        <v>2702.7</v>
      </c>
      <c r="N7" s="68">
        <f t="shared" si="6"/>
        <v>54.05</v>
      </c>
      <c r="O7" s="68">
        <f t="shared" si="7"/>
        <v>2648.65</v>
      </c>
      <c r="P7" s="68">
        <f t="shared" si="8"/>
        <v>66.22</v>
      </c>
      <c r="Q7" s="68">
        <f t="shared" si="9"/>
        <v>147.57</v>
      </c>
      <c r="R7" s="68">
        <f t="shared" si="10"/>
        <v>2582.4299999999998</v>
      </c>
      <c r="S7" s="109">
        <v>0.18</v>
      </c>
      <c r="T7" s="68">
        <f t="shared" si="11"/>
        <v>464.84</v>
      </c>
      <c r="U7" s="68">
        <f t="shared" si="12"/>
        <v>3047.27</v>
      </c>
      <c r="V7" s="68">
        <f t="shared" si="1"/>
        <v>252679.62840000002</v>
      </c>
      <c r="W7" s="68">
        <f t="shared" si="0"/>
        <v>7545.72</v>
      </c>
    </row>
    <row r="8" spans="1:23">
      <c r="A8" s="68">
        <v>6</v>
      </c>
      <c r="B8" s="68" t="s">
        <v>67</v>
      </c>
      <c r="C8" s="68" t="s">
        <v>58</v>
      </c>
      <c r="D8" s="68" t="s">
        <v>163</v>
      </c>
      <c r="E8" s="68">
        <v>75</v>
      </c>
      <c r="F8" s="68">
        <v>125.25</v>
      </c>
      <c r="G8" s="68">
        <f t="shared" si="2"/>
        <v>9393.75</v>
      </c>
      <c r="H8" s="109">
        <v>0.01</v>
      </c>
      <c r="I8" s="109">
        <v>0.02</v>
      </c>
      <c r="J8" s="79">
        <v>2.5000000000000001E-2</v>
      </c>
      <c r="K8" s="68">
        <f t="shared" si="3"/>
        <v>9393.75</v>
      </c>
      <c r="L8" s="68">
        <f t="shared" si="4"/>
        <v>93.94</v>
      </c>
      <c r="M8" s="68">
        <f t="shared" si="5"/>
        <v>9299.81</v>
      </c>
      <c r="N8" s="68">
        <f t="shared" si="6"/>
        <v>186</v>
      </c>
      <c r="O8" s="68">
        <f t="shared" si="7"/>
        <v>9113.81</v>
      </c>
      <c r="P8" s="68">
        <f t="shared" si="8"/>
        <v>227.85</v>
      </c>
      <c r="Q8" s="68">
        <f t="shared" si="9"/>
        <v>507.79</v>
      </c>
      <c r="R8" s="68">
        <f t="shared" si="10"/>
        <v>8885.9599999999991</v>
      </c>
      <c r="S8" s="109">
        <v>0.18</v>
      </c>
      <c r="T8" s="68">
        <f t="shared" si="11"/>
        <v>1599.47</v>
      </c>
      <c r="U8" s="68">
        <f t="shared" si="12"/>
        <v>10485.429999999998</v>
      </c>
      <c r="V8" s="68">
        <f t="shared" si="1"/>
        <v>869451.85559999989</v>
      </c>
      <c r="W8" s="68">
        <f t="shared" si="0"/>
        <v>20771.46</v>
      </c>
    </row>
    <row r="9" spans="1:23">
      <c r="A9" s="68">
        <v>7</v>
      </c>
      <c r="B9" s="68" t="s">
        <v>69</v>
      </c>
      <c r="C9" s="68" t="s">
        <v>58</v>
      </c>
      <c r="D9" s="68" t="s">
        <v>176</v>
      </c>
      <c r="E9" s="68">
        <v>28</v>
      </c>
      <c r="F9" s="68">
        <v>150.5</v>
      </c>
      <c r="G9" s="68">
        <f t="shared" si="2"/>
        <v>4214</v>
      </c>
      <c r="H9" s="109">
        <v>0.01</v>
      </c>
      <c r="I9" s="109">
        <v>0.02</v>
      </c>
      <c r="J9" s="79">
        <v>2.5000000000000001E-2</v>
      </c>
      <c r="K9" s="68">
        <f t="shared" si="3"/>
        <v>4214</v>
      </c>
      <c r="L9" s="68">
        <f t="shared" si="4"/>
        <v>42.14</v>
      </c>
      <c r="M9" s="68">
        <f t="shared" si="5"/>
        <v>4171.8599999999997</v>
      </c>
      <c r="N9" s="68">
        <f t="shared" si="6"/>
        <v>83.44</v>
      </c>
      <c r="O9" s="68">
        <f t="shared" si="7"/>
        <v>4088.42</v>
      </c>
      <c r="P9" s="68">
        <f t="shared" si="8"/>
        <v>102.21</v>
      </c>
      <c r="Q9" s="68">
        <f t="shared" si="9"/>
        <v>227.79</v>
      </c>
      <c r="R9" s="68">
        <f t="shared" si="10"/>
        <v>3986.21</v>
      </c>
      <c r="S9" s="109">
        <v>0.18</v>
      </c>
      <c r="T9" s="68">
        <f t="shared" si="11"/>
        <v>717.52</v>
      </c>
      <c r="U9" s="68">
        <f t="shared" si="12"/>
        <v>4703.7299999999996</v>
      </c>
      <c r="V9" s="68">
        <f t="shared" si="1"/>
        <v>390033.2916</v>
      </c>
      <c r="W9" s="68">
        <f>ROUND(F9*$S$22*$T$1,2)</f>
        <v>31198.65</v>
      </c>
    </row>
    <row r="10" spans="1:23">
      <c r="A10" s="68">
        <v>8</v>
      </c>
      <c r="B10" s="68" t="s">
        <v>71</v>
      </c>
      <c r="C10" s="68" t="s">
        <v>58</v>
      </c>
      <c r="D10" s="68" t="s">
        <v>176</v>
      </c>
      <c r="E10" s="68">
        <v>30</v>
      </c>
      <c r="F10" s="68">
        <v>65.319999999999993</v>
      </c>
      <c r="G10" s="68">
        <f t="shared" si="2"/>
        <v>1959.6</v>
      </c>
      <c r="H10" s="109">
        <v>0.01</v>
      </c>
      <c r="I10" s="109">
        <v>0.02</v>
      </c>
      <c r="J10" s="79">
        <v>2.5000000000000001E-2</v>
      </c>
      <c r="K10" s="68">
        <f t="shared" si="3"/>
        <v>1959.6</v>
      </c>
      <c r="L10" s="68">
        <f t="shared" si="4"/>
        <v>19.600000000000001</v>
      </c>
      <c r="M10" s="68">
        <f t="shared" si="5"/>
        <v>1940</v>
      </c>
      <c r="N10" s="68">
        <f t="shared" si="6"/>
        <v>38.799999999999997</v>
      </c>
      <c r="O10" s="68">
        <f t="shared" si="7"/>
        <v>1901.2</v>
      </c>
      <c r="P10" s="68">
        <f t="shared" si="8"/>
        <v>47.53</v>
      </c>
      <c r="Q10" s="68">
        <f t="shared" si="9"/>
        <v>105.93</v>
      </c>
      <c r="R10" s="68">
        <f t="shared" si="10"/>
        <v>1853.67</v>
      </c>
      <c r="S10" s="109">
        <v>0.18</v>
      </c>
      <c r="T10" s="68">
        <f t="shared" si="11"/>
        <v>333.66</v>
      </c>
      <c r="U10" s="68">
        <f t="shared" si="12"/>
        <v>2187.33</v>
      </c>
      <c r="V10" s="68">
        <f t="shared" si="1"/>
        <v>181373.40359999999</v>
      </c>
      <c r="W10" s="68">
        <f>ROUND(F10*$S$22*$T$1,2)</f>
        <v>13540.84</v>
      </c>
    </row>
    <row r="11" spans="1:23">
      <c r="A11" s="68">
        <v>9</v>
      </c>
      <c r="B11" s="68" t="s">
        <v>73</v>
      </c>
      <c r="C11" s="68" t="s">
        <v>58</v>
      </c>
      <c r="D11" s="68" t="s">
        <v>176</v>
      </c>
      <c r="E11" s="68">
        <v>25</v>
      </c>
      <c r="F11" s="68">
        <v>74.89</v>
      </c>
      <c r="G11" s="68">
        <f t="shared" si="2"/>
        <v>1872.25</v>
      </c>
      <c r="H11" s="109">
        <v>0.01</v>
      </c>
      <c r="I11" s="109">
        <v>0.02</v>
      </c>
      <c r="J11" s="79">
        <v>2.5000000000000001E-2</v>
      </c>
      <c r="K11" s="68">
        <f t="shared" si="3"/>
        <v>1872.25</v>
      </c>
      <c r="L11" s="68">
        <f t="shared" si="4"/>
        <v>18.72</v>
      </c>
      <c r="M11" s="68">
        <f t="shared" si="5"/>
        <v>1853.53</v>
      </c>
      <c r="N11" s="68">
        <f t="shared" si="6"/>
        <v>37.07</v>
      </c>
      <c r="O11" s="68">
        <f t="shared" si="7"/>
        <v>1816.46</v>
      </c>
      <c r="P11" s="68">
        <f t="shared" si="8"/>
        <v>45.41</v>
      </c>
      <c r="Q11" s="68">
        <f t="shared" si="9"/>
        <v>101.2</v>
      </c>
      <c r="R11" s="68">
        <f t="shared" si="10"/>
        <v>1771.05</v>
      </c>
      <c r="S11" s="109">
        <v>0.18</v>
      </c>
      <c r="T11" s="68">
        <f t="shared" si="11"/>
        <v>318.79000000000002</v>
      </c>
      <c r="U11" s="68">
        <f t="shared" si="12"/>
        <v>2089.84</v>
      </c>
      <c r="V11" s="68">
        <f t="shared" si="1"/>
        <v>173289.53280000002</v>
      </c>
      <c r="W11" s="68">
        <f>ROUND(F11*$S$22*$T$1,2)</f>
        <v>15524.7</v>
      </c>
    </row>
    <row r="12" spans="1:23">
      <c r="A12" s="68">
        <v>10</v>
      </c>
      <c r="B12" s="68" t="s">
        <v>75</v>
      </c>
      <c r="C12" s="68" t="s">
        <v>58</v>
      </c>
      <c r="D12" s="68" t="s">
        <v>176</v>
      </c>
      <c r="E12" s="68">
        <v>28</v>
      </c>
      <c r="F12" s="68">
        <v>89.56</v>
      </c>
      <c r="G12" s="68">
        <f t="shared" si="2"/>
        <v>2507.6800000000003</v>
      </c>
      <c r="H12" s="109">
        <v>0.01</v>
      </c>
      <c r="I12" s="109">
        <v>0.02</v>
      </c>
      <c r="J12" s="79">
        <v>2.5000000000000001E-2</v>
      </c>
      <c r="K12" s="68">
        <f t="shared" si="3"/>
        <v>2507.6800000000003</v>
      </c>
      <c r="L12" s="68">
        <f t="shared" si="4"/>
        <v>25.08</v>
      </c>
      <c r="M12" s="68">
        <f t="shared" si="5"/>
        <v>2482.6000000000004</v>
      </c>
      <c r="N12" s="68">
        <f t="shared" si="6"/>
        <v>49.65</v>
      </c>
      <c r="O12" s="68">
        <f t="shared" si="7"/>
        <v>2432.9499999999998</v>
      </c>
      <c r="P12" s="68">
        <f t="shared" si="8"/>
        <v>60.82</v>
      </c>
      <c r="Q12" s="68">
        <f t="shared" si="9"/>
        <v>135.55000000000001</v>
      </c>
      <c r="R12" s="68">
        <f t="shared" si="10"/>
        <v>2372.13</v>
      </c>
      <c r="S12" s="109">
        <v>0.18</v>
      </c>
      <c r="T12" s="68">
        <f t="shared" si="11"/>
        <v>426.98</v>
      </c>
      <c r="U12" s="68">
        <f t="shared" si="12"/>
        <v>2799.11</v>
      </c>
      <c r="V12" s="68">
        <f t="shared" si="1"/>
        <v>232102.20120000001</v>
      </c>
      <c r="W12" s="68">
        <f>ROUND(F12*$S$22*$T$1,2)</f>
        <v>18565.79</v>
      </c>
    </row>
    <row r="13" spans="1:23">
      <c r="A13" s="68">
        <v>11</v>
      </c>
      <c r="B13" s="68" t="s">
        <v>77</v>
      </c>
      <c r="C13" s="68" t="s">
        <v>163</v>
      </c>
      <c r="D13" s="68" t="s">
        <v>185</v>
      </c>
      <c r="E13" s="68">
        <v>37</v>
      </c>
      <c r="F13" s="68">
        <v>89.54</v>
      </c>
      <c r="G13" s="68">
        <f t="shared" si="2"/>
        <v>3312.98</v>
      </c>
      <c r="H13" s="109">
        <v>0.01</v>
      </c>
      <c r="I13" s="109">
        <v>0.02</v>
      </c>
      <c r="J13" s="79">
        <v>2.5000000000000001E-2</v>
      </c>
      <c r="K13" s="68">
        <f t="shared" si="3"/>
        <v>3312.98</v>
      </c>
      <c r="L13" s="68">
        <f t="shared" si="4"/>
        <v>33.130000000000003</v>
      </c>
      <c r="M13" s="68">
        <f t="shared" si="5"/>
        <v>3279.85</v>
      </c>
      <c r="N13" s="68">
        <f t="shared" si="6"/>
        <v>65.599999999999994</v>
      </c>
      <c r="O13" s="68">
        <f t="shared" si="7"/>
        <v>3214.25</v>
      </c>
      <c r="P13" s="68">
        <f t="shared" si="8"/>
        <v>80.36</v>
      </c>
      <c r="Q13" s="68">
        <f t="shared" si="9"/>
        <v>179.09</v>
      </c>
      <c r="R13" s="68">
        <f t="shared" si="10"/>
        <v>3133.89</v>
      </c>
      <c r="S13" s="109">
        <v>0.18</v>
      </c>
      <c r="T13" s="68">
        <f t="shared" si="11"/>
        <v>564.1</v>
      </c>
      <c r="U13" s="68">
        <f t="shared" si="12"/>
        <v>3697.99</v>
      </c>
      <c r="V13" s="68">
        <f t="shared" si="1"/>
        <v>306637.3308</v>
      </c>
      <c r="W13" s="68">
        <f>ROUND(F13*$S$23*$T$1,2)</f>
        <v>7.42</v>
      </c>
    </row>
    <row r="14" spans="1:23">
      <c r="A14" s="68">
        <v>12</v>
      </c>
      <c r="B14" s="68" t="s">
        <v>79</v>
      </c>
      <c r="C14" s="68" t="s">
        <v>163</v>
      </c>
      <c r="D14" s="68" t="s">
        <v>185</v>
      </c>
      <c r="E14" s="68">
        <v>39</v>
      </c>
      <c r="F14" s="68">
        <v>35.200000000000003</v>
      </c>
      <c r="G14" s="68">
        <f t="shared" si="2"/>
        <v>1372.8000000000002</v>
      </c>
      <c r="H14" s="109">
        <v>0.01</v>
      </c>
      <c r="I14" s="109">
        <v>0.02</v>
      </c>
      <c r="J14" s="79">
        <v>2.5000000000000001E-2</v>
      </c>
      <c r="K14" s="68">
        <f t="shared" si="3"/>
        <v>1372.8000000000002</v>
      </c>
      <c r="L14" s="68">
        <f t="shared" si="4"/>
        <v>13.73</v>
      </c>
      <c r="M14" s="68">
        <f t="shared" si="5"/>
        <v>1359.0700000000002</v>
      </c>
      <c r="N14" s="68">
        <f t="shared" si="6"/>
        <v>27.18</v>
      </c>
      <c r="O14" s="68">
        <f t="shared" si="7"/>
        <v>1331.89</v>
      </c>
      <c r="P14" s="68">
        <f t="shared" si="8"/>
        <v>33.299999999999997</v>
      </c>
      <c r="Q14" s="68">
        <f t="shared" si="9"/>
        <v>74.209999999999994</v>
      </c>
      <c r="R14" s="68">
        <f t="shared" si="10"/>
        <v>1298.5899999999999</v>
      </c>
      <c r="S14" s="109">
        <v>0.18</v>
      </c>
      <c r="T14" s="68">
        <f t="shared" si="11"/>
        <v>233.75</v>
      </c>
      <c r="U14" s="68">
        <f t="shared" si="12"/>
        <v>1532.34</v>
      </c>
      <c r="V14" s="68">
        <f t="shared" si="1"/>
        <v>127061.63279999999</v>
      </c>
      <c r="W14" s="68">
        <f>ROUND(F14*$S$23*$T$1,2)</f>
        <v>2.92</v>
      </c>
    </row>
    <row r="15" spans="1:23">
      <c r="A15" s="68">
        <v>13</v>
      </c>
      <c r="B15" s="68" t="s">
        <v>81</v>
      </c>
      <c r="C15" s="68" t="s">
        <v>163</v>
      </c>
      <c r="D15" s="68" t="s">
        <v>185</v>
      </c>
      <c r="E15" s="68">
        <v>70</v>
      </c>
      <c r="F15" s="68">
        <v>102.25</v>
      </c>
      <c r="G15" s="68">
        <f t="shared" si="2"/>
        <v>7157.5</v>
      </c>
      <c r="H15" s="109">
        <v>0.01</v>
      </c>
      <c r="I15" s="109">
        <v>0.02</v>
      </c>
      <c r="J15" s="79">
        <v>2.5000000000000001E-2</v>
      </c>
      <c r="K15" s="68">
        <f t="shared" si="3"/>
        <v>7157.5</v>
      </c>
      <c r="L15" s="68">
        <f t="shared" si="4"/>
        <v>71.58</v>
      </c>
      <c r="M15" s="68">
        <f t="shared" si="5"/>
        <v>7085.92</v>
      </c>
      <c r="N15" s="68">
        <f t="shared" si="6"/>
        <v>141.72</v>
      </c>
      <c r="O15" s="68">
        <f t="shared" si="7"/>
        <v>6944.2</v>
      </c>
      <c r="P15" s="68">
        <f t="shared" si="8"/>
        <v>173.61</v>
      </c>
      <c r="Q15" s="68">
        <f t="shared" si="9"/>
        <v>386.91</v>
      </c>
      <c r="R15" s="68">
        <f t="shared" si="10"/>
        <v>6770.59</v>
      </c>
      <c r="S15" s="109">
        <v>0.18</v>
      </c>
      <c r="T15" s="68">
        <f t="shared" si="11"/>
        <v>1218.71</v>
      </c>
      <c r="U15" s="68">
        <f t="shared" si="12"/>
        <v>7989.3</v>
      </c>
      <c r="V15" s="68">
        <f t="shared" si="1"/>
        <v>662472.75600000005</v>
      </c>
      <c r="W15" s="68">
        <f>ROUND(F15*$S$23*$T$1,2)</f>
        <v>8.48</v>
      </c>
    </row>
    <row r="16" spans="1:23">
      <c r="A16" s="68">
        <v>14</v>
      </c>
      <c r="B16" s="68" t="s">
        <v>83</v>
      </c>
      <c r="C16" s="68" t="s">
        <v>163</v>
      </c>
      <c r="D16" s="68" t="s">
        <v>185</v>
      </c>
      <c r="E16" s="68">
        <v>100</v>
      </c>
      <c r="F16" s="68">
        <v>125.23</v>
      </c>
      <c r="G16" s="68">
        <f t="shared" si="2"/>
        <v>12523</v>
      </c>
      <c r="H16" s="109">
        <v>0.01</v>
      </c>
      <c r="I16" s="109">
        <v>0.02</v>
      </c>
      <c r="J16" s="79">
        <v>2.5000000000000001E-2</v>
      </c>
      <c r="K16" s="68">
        <f t="shared" si="3"/>
        <v>12523</v>
      </c>
      <c r="L16" s="68">
        <f t="shared" si="4"/>
        <v>125.23</v>
      </c>
      <c r="M16" s="68">
        <f t="shared" si="5"/>
        <v>12397.77</v>
      </c>
      <c r="N16" s="68">
        <f t="shared" si="6"/>
        <v>247.96</v>
      </c>
      <c r="O16" s="68">
        <f t="shared" si="7"/>
        <v>12149.81</v>
      </c>
      <c r="P16" s="68">
        <f t="shared" si="8"/>
        <v>303.75</v>
      </c>
      <c r="Q16" s="68">
        <f t="shared" si="9"/>
        <v>676.94</v>
      </c>
      <c r="R16" s="68">
        <f t="shared" si="10"/>
        <v>11846.06</v>
      </c>
      <c r="S16" s="109">
        <v>0.18</v>
      </c>
      <c r="T16" s="68">
        <f t="shared" si="11"/>
        <v>2132.29</v>
      </c>
      <c r="U16" s="68">
        <f t="shared" si="12"/>
        <v>13978.349999999999</v>
      </c>
      <c r="V16" s="68">
        <f t="shared" si="1"/>
        <v>1159084.7819999999</v>
      </c>
      <c r="W16" s="68">
        <f>ROUND(F16*$S$23*$T$1,2)</f>
        <v>10.38</v>
      </c>
    </row>
    <row r="17" spans="1:23">
      <c r="A17" s="68">
        <v>15</v>
      </c>
      <c r="B17" s="68" t="s">
        <v>85</v>
      </c>
      <c r="C17" s="68" t="s">
        <v>163</v>
      </c>
      <c r="D17" s="68" t="s">
        <v>185</v>
      </c>
      <c r="E17" s="68">
        <v>85</v>
      </c>
      <c r="F17" s="68">
        <v>65.48</v>
      </c>
      <c r="G17" s="68">
        <f t="shared" si="2"/>
        <v>5565.8</v>
      </c>
      <c r="H17" s="109">
        <v>0.01</v>
      </c>
      <c r="I17" s="109">
        <v>0.02</v>
      </c>
      <c r="J17" s="79">
        <v>2.5000000000000001E-2</v>
      </c>
      <c r="K17" s="68">
        <f t="shared" si="3"/>
        <v>5565.8</v>
      </c>
      <c r="L17" s="68">
        <f t="shared" si="4"/>
        <v>55.66</v>
      </c>
      <c r="M17" s="68">
        <f t="shared" si="5"/>
        <v>5510.14</v>
      </c>
      <c r="N17" s="68">
        <f t="shared" si="6"/>
        <v>110.2</v>
      </c>
      <c r="O17" s="68">
        <f t="shared" si="7"/>
        <v>5399.94</v>
      </c>
      <c r="P17" s="68">
        <f t="shared" si="8"/>
        <v>135</v>
      </c>
      <c r="Q17" s="68">
        <f t="shared" si="9"/>
        <v>300.86</v>
      </c>
      <c r="R17" s="68">
        <f t="shared" si="10"/>
        <v>5264.94</v>
      </c>
      <c r="S17" s="109">
        <v>0.18</v>
      </c>
      <c r="T17" s="68">
        <f t="shared" si="11"/>
        <v>947.69</v>
      </c>
      <c r="U17" s="68">
        <f t="shared" si="12"/>
        <v>6212.6299999999992</v>
      </c>
      <c r="V17" s="68">
        <f t="shared" si="1"/>
        <v>515151.27959999995</v>
      </c>
      <c r="W17" s="68">
        <f>ROUND(F17*$S$23*$T$1,2)</f>
        <v>5.43</v>
      </c>
    </row>
    <row r="18" spans="1:23">
      <c r="A18" s="66"/>
      <c r="B18" s="282" t="s">
        <v>87</v>
      </c>
      <c r="C18" s="282"/>
      <c r="D18" s="282"/>
      <c r="E18" s="282"/>
      <c r="F18" s="282"/>
      <c r="G18" s="71">
        <f>SUM(G3:G17)</f>
        <v>71570.810000000012</v>
      </c>
      <c r="H18" s="68"/>
      <c r="I18" s="68"/>
      <c r="J18" s="68"/>
      <c r="K18" s="68"/>
      <c r="L18" s="68"/>
      <c r="M18" s="68"/>
      <c r="N18" s="68"/>
      <c r="O18" s="68"/>
      <c r="P18" s="68"/>
      <c r="Q18" s="71">
        <f>SUM(Q3:Q17)</f>
        <v>3868.82</v>
      </c>
      <c r="R18" s="71">
        <f>SUM(R3:R17)</f>
        <v>67701.989999999991</v>
      </c>
      <c r="S18" s="71"/>
      <c r="T18" s="71">
        <f>SUM(T3:T17)</f>
        <v>12186.370000000004</v>
      </c>
      <c r="U18" s="80">
        <f t="shared" ref="U18:W18" si="13">SUM(U3:U17)</f>
        <v>79888.36</v>
      </c>
      <c r="V18" s="80">
        <f t="shared" si="13"/>
        <v>6624342.8112000003</v>
      </c>
      <c r="W18" s="80">
        <f t="shared" si="13"/>
        <v>199005.74000000005</v>
      </c>
    </row>
    <row r="19" spans="1:23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</row>
    <row r="20" spans="1:23">
      <c r="A20" s="66"/>
      <c r="B20" s="66"/>
      <c r="C20" s="66"/>
      <c r="D20" s="66"/>
      <c r="E20" s="66"/>
      <c r="F20" s="288" t="s">
        <v>206</v>
      </c>
      <c r="G20" s="288"/>
      <c r="H20" s="288"/>
      <c r="I20" s="288"/>
      <c r="J20" s="66"/>
      <c r="K20" s="288" t="s">
        <v>207</v>
      </c>
      <c r="L20" s="288"/>
      <c r="M20" s="288"/>
      <c r="N20" s="288"/>
      <c r="O20" s="66"/>
      <c r="P20" s="66"/>
      <c r="Q20" s="283" t="s">
        <v>195</v>
      </c>
      <c r="R20" s="284"/>
      <c r="S20" s="284"/>
      <c r="T20" s="285"/>
      <c r="U20" s="66"/>
      <c r="V20" s="66"/>
      <c r="W20" s="66"/>
    </row>
    <row r="21" spans="1:23">
      <c r="A21" s="66"/>
      <c r="B21" s="66"/>
      <c r="C21" s="66"/>
      <c r="D21" s="66"/>
      <c r="E21" s="66"/>
      <c r="F21" s="277" t="s">
        <v>194</v>
      </c>
      <c r="G21" s="278"/>
      <c r="H21" s="286">
        <f>G18</f>
        <v>71570.810000000012</v>
      </c>
      <c r="I21" s="286"/>
      <c r="J21" s="100"/>
      <c r="K21" s="277" t="s">
        <v>194</v>
      </c>
      <c r="L21" s="278"/>
      <c r="M21" s="286">
        <f>H21*$T$1</f>
        <v>5934651.565200001</v>
      </c>
      <c r="N21" s="286"/>
      <c r="O21" s="66"/>
      <c r="P21" s="66"/>
      <c r="Q21" s="101">
        <v>1</v>
      </c>
      <c r="R21" s="101" t="s">
        <v>58</v>
      </c>
      <c r="S21" s="101">
        <v>2</v>
      </c>
      <c r="T21" s="101" t="s">
        <v>163</v>
      </c>
      <c r="U21" s="66"/>
      <c r="V21" s="74"/>
      <c r="W21" s="66"/>
    </row>
    <row r="22" spans="1:23">
      <c r="A22" s="66"/>
      <c r="B22" s="66"/>
      <c r="C22" s="66"/>
      <c r="D22" s="66"/>
      <c r="E22" s="66"/>
      <c r="F22" s="277" t="s">
        <v>196</v>
      </c>
      <c r="G22" s="278"/>
      <c r="H22" s="286">
        <f>Q18</f>
        <v>3868.82</v>
      </c>
      <c r="I22" s="286"/>
      <c r="J22" s="66"/>
      <c r="K22" s="277" t="s">
        <v>196</v>
      </c>
      <c r="L22" s="278"/>
      <c r="M22" s="286">
        <f t="shared" ref="M22:M25" si="14">H22*$T$1</f>
        <v>320802.55440000002</v>
      </c>
      <c r="N22" s="286"/>
      <c r="O22" s="66"/>
      <c r="P22" s="66"/>
      <c r="Q22" s="68">
        <v>1</v>
      </c>
      <c r="R22" s="68" t="s">
        <v>58</v>
      </c>
      <c r="S22" s="68">
        <v>2.5</v>
      </c>
      <c r="T22" s="68" t="s">
        <v>176</v>
      </c>
      <c r="U22" s="66"/>
      <c r="V22" s="74"/>
      <c r="W22" s="66"/>
    </row>
    <row r="23" spans="1:23">
      <c r="A23" s="66"/>
      <c r="B23" s="66"/>
      <c r="C23" s="66"/>
      <c r="D23" s="66"/>
      <c r="E23" s="66"/>
      <c r="F23" s="277" t="s">
        <v>197</v>
      </c>
      <c r="G23" s="278"/>
      <c r="H23" s="286">
        <f>R18</f>
        <v>67701.989999999991</v>
      </c>
      <c r="I23" s="286"/>
      <c r="J23" s="66"/>
      <c r="K23" s="277" t="s">
        <v>197</v>
      </c>
      <c r="L23" s="278"/>
      <c r="M23" s="286">
        <f t="shared" si="14"/>
        <v>5613849.0107999993</v>
      </c>
      <c r="N23" s="286"/>
      <c r="O23" s="66"/>
      <c r="P23" s="66"/>
      <c r="Q23" s="68">
        <v>1</v>
      </c>
      <c r="R23" s="68" t="s">
        <v>163</v>
      </c>
      <c r="S23" s="68">
        <v>1E-3</v>
      </c>
      <c r="T23" s="68" t="s">
        <v>185</v>
      </c>
      <c r="U23" s="66"/>
      <c r="V23" s="74"/>
      <c r="W23" s="66"/>
    </row>
    <row r="24" spans="1:23">
      <c r="A24" s="66"/>
      <c r="B24" s="66"/>
      <c r="C24" s="66"/>
      <c r="D24" s="66"/>
      <c r="E24" s="66"/>
      <c r="F24" s="277" t="s">
        <v>198</v>
      </c>
      <c r="G24" s="278"/>
      <c r="H24" s="286">
        <f>T18</f>
        <v>12186.370000000004</v>
      </c>
      <c r="I24" s="286"/>
      <c r="J24" s="66"/>
      <c r="K24" s="277" t="s">
        <v>198</v>
      </c>
      <c r="L24" s="278"/>
      <c r="M24" s="286">
        <f t="shared" si="14"/>
        <v>1010493.8004000004</v>
      </c>
      <c r="N24" s="286"/>
      <c r="O24" s="66"/>
      <c r="P24" s="66"/>
      <c r="Q24" s="66"/>
      <c r="R24" s="66"/>
      <c r="S24" s="66"/>
      <c r="T24" s="66"/>
      <c r="U24" s="66"/>
      <c r="V24" s="74"/>
      <c r="W24" s="66"/>
    </row>
    <row r="25" spans="1:23">
      <c r="A25" s="66"/>
      <c r="B25" s="66"/>
      <c r="C25" s="66"/>
      <c r="D25" s="66"/>
      <c r="E25" s="66"/>
      <c r="F25" s="277" t="s">
        <v>199</v>
      </c>
      <c r="G25" s="278"/>
      <c r="H25" s="287">
        <f>H23+H24</f>
        <v>79888.36</v>
      </c>
      <c r="I25" s="287"/>
      <c r="J25" s="66"/>
      <c r="K25" s="277" t="s">
        <v>199</v>
      </c>
      <c r="L25" s="278"/>
      <c r="M25" s="287">
        <f t="shared" si="14"/>
        <v>6624342.8112000003</v>
      </c>
      <c r="N25" s="287"/>
      <c r="O25" s="66"/>
      <c r="P25" s="66"/>
      <c r="Q25" s="66"/>
      <c r="R25" s="66"/>
      <c r="S25" s="66"/>
      <c r="T25" s="66"/>
      <c r="U25" s="66"/>
      <c r="V25" s="74"/>
      <c r="W25" s="66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5:G25"/>
    <mergeCell ref="H25:I25"/>
    <mergeCell ref="K25:L25"/>
    <mergeCell ref="M25:N25"/>
    <mergeCell ref="F23:G23"/>
    <mergeCell ref="H23:I23"/>
    <mergeCell ref="K23:L23"/>
    <mergeCell ref="M23:N23"/>
    <mergeCell ref="F24:G24"/>
    <mergeCell ref="H24:I24"/>
    <mergeCell ref="K24:L24"/>
    <mergeCell ref="M24:N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553.02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2" sqref="D2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84.36</v>
      </c>
      <c r="AC23" s="69">
        <f>IF($V21=1,S23+AB23,S23)</f>
        <v>553.02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37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2.5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12.02</v>
      </c>
      <c r="R24" s="69">
        <f>M24+O24+Q24</f>
        <v>31.84</v>
      </c>
      <c r="S24" s="69">
        <f>(H24-R24)</f>
        <v>468.66</v>
      </c>
      <c r="T24" s="69" t="s">
        <v>146</v>
      </c>
      <c r="U24" s="69">
        <v>0.18</v>
      </c>
      <c r="V24" s="69">
        <f>IF(OR($C$21=1,$C$21=4),ROUND(((S24*U24)/2),2),0)</f>
        <v>42.18</v>
      </c>
      <c r="W24" s="69">
        <f>IF($C$21=1,ROUND(((S24*U24)/2),2),0)</f>
        <v>42.18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84.36</v>
      </c>
      <c r="AC24" s="69">
        <f>IF($V22=1,S24+AB24,S24)</f>
        <v>468.66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23433</v>
      </c>
      <c r="AJ24" s="69">
        <f t="shared" ref="AJ24" si="5">IF($C$21=3,0,AG24+AH24)</f>
        <v>0</v>
      </c>
      <c r="AK24" s="69">
        <f t="shared" ref="AK24" si="6">IF($C$21=3,AE24+AG24+AH24,0)</f>
        <v>0</v>
      </c>
      <c r="AL24" s="69">
        <v>1</v>
      </c>
      <c r="AM24" s="69">
        <f t="shared" ref="AM24" si="7">F24/AL24</f>
        <v>2</v>
      </c>
      <c r="AN24" s="69">
        <f>AI24/AM24</f>
        <v>11716.5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11716.5</v>
      </c>
      <c r="AS24" s="83" t="s">
        <v>222</v>
      </c>
      <c r="AT24" s="83" t="s">
        <v>58</v>
      </c>
      <c r="AU24" t="s">
        <v>223</v>
      </c>
      <c r="AV24" t="s">
        <v>224</v>
      </c>
      <c r="AW24" s="83">
        <f>AM24</f>
        <v>2</v>
      </c>
      <c r="AX24" s="83">
        <f>AR24</f>
        <v>11716.5</v>
      </c>
      <c r="AY24" s="83">
        <f>AU24+AW24</f>
        <v>4</v>
      </c>
      <c r="AZ24" s="83">
        <f>ROUND(((AU24*AV24)+(AW24*AX24))/(AU24+AW24),5)</f>
        <v>5975.415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</v>
      </c>
      <c r="BM24" t="s">
        <v>225</v>
      </c>
      <c r="BN24" t="s">
        <v>226</v>
      </c>
      <c r="BO24" s="83">
        <f>ROUND((((AW24*AZ24)+(BN24*BM24))/(AW24+BN24)),5)</f>
        <v>4534.2855</v>
      </c>
      <c r="BP24" s="87">
        <f>BN24+AW24</f>
        <v>12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31.84</v>
      </c>
      <c r="S25" s="77">
        <f>SUM(S23:S23)</f>
        <v>468.66</v>
      </c>
      <c r="T25" s="71"/>
      <c r="U25" s="71"/>
      <c r="V25" s="78">
        <f t="shared" ref="V25:AE25" si="8">SUM(V23:V23)</f>
        <v>42.18</v>
      </c>
      <c r="W25" s="78">
        <f t="shared" si="8"/>
        <v>42.18</v>
      </c>
      <c r="X25" s="78">
        <f t="shared" si="8"/>
        <v>0</v>
      </c>
      <c r="Y25" s="78"/>
      <c r="Z25" s="78"/>
      <c r="AA25" s="78"/>
      <c r="AB25" s="71">
        <f t="shared" si="8"/>
        <v>84.36</v>
      </c>
      <c r="AC25" s="80">
        <f t="shared" si="8"/>
        <v>553.02</v>
      </c>
      <c r="AD25" s="81">
        <f t="shared" si="8"/>
        <v>120</v>
      </c>
      <c r="AE25" s="81">
        <f t="shared" si="8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23433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dimension ref="A1:BR25"/>
  <sheetViews>
    <sheetView topLeftCell="E10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15.4</v>
      </c>
      <c r="R23" s="69">
        <f>M23+O23+Q23</f>
        <v>45.43</v>
      </c>
      <c r="S23" s="69">
        <f>(H23-R23)</f>
        <v>754.57</v>
      </c>
      <c r="T23" s="69" t="s">
        <v>146</v>
      </c>
      <c r="U23" s="69">
        <v>0.18</v>
      </c>
      <c r="V23" s="69">
        <f>IF(OR($C$21=1,$C$21=4),ROUND(((S23*U23)/2),2),0)</f>
        <v>67.91</v>
      </c>
      <c r="W23" s="69">
        <f>IF($C$21=1,ROUND(((S23*U23)/2),2),0)</f>
        <v>67.91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135.82</v>
      </c>
      <c r="AC23" s="69">
        <f>IF($V21=1,S23+AB23,S23)</f>
        <v>890.3900000000001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37728.5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18864.25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18864.25</v>
      </c>
      <c r="AS23" s="83" t="s">
        <v>229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18864.25</v>
      </c>
      <c r="AY23" s="83">
        <f>AU23+AW23</f>
        <v>4</v>
      </c>
      <c r="AZ23" s="83">
        <f>ROUND(((AU23*AV23)+(AW23*AX23))/(AU23+AW23),5)</f>
        <v>9549.2900000000009</v>
      </c>
      <c r="BA23" s="85"/>
      <c r="BB23" s="85" t="s">
        <v>149</v>
      </c>
      <c r="BC23" s="86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225</v>
      </c>
      <c r="BN23" t="s">
        <v>226</v>
      </c>
      <c r="BO23" s="83">
        <f>ROUND((((AW23*AZ23)+(BN23*BM23))/(AW23+BN23)),5)</f>
        <v>5129.9313300000003</v>
      </c>
      <c r="BP23" s="87">
        <f>BN23+AW23</f>
        <v>12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45.43</v>
      </c>
      <c r="S24" s="77">
        <f>SUM(S23:S23)</f>
        <v>754.57</v>
      </c>
      <c r="T24" s="71"/>
      <c r="U24" s="71"/>
      <c r="V24" s="78">
        <f t="shared" ref="V24:AE24" si="5">SUM(V23:V23)</f>
        <v>67.91</v>
      </c>
      <c r="W24" s="78">
        <f t="shared" si="5"/>
        <v>67.91</v>
      </c>
      <c r="X24" s="78">
        <f t="shared" si="5"/>
        <v>0</v>
      </c>
      <c r="Y24" s="78"/>
      <c r="Z24" s="78"/>
      <c r="AA24" s="78"/>
      <c r="AB24" s="71">
        <f t="shared" si="5"/>
        <v>135.82</v>
      </c>
      <c r="AC24" s="80">
        <f t="shared" si="5"/>
        <v>890.3900000000001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37728.5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K23" sqref="K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2</v>
      </c>
      <c r="K23" s="69">
        <v>2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9.8000000000000007</v>
      </c>
      <c r="P23" s="69">
        <f>ROUND(N23-O23,2)</f>
        <v>480.2</v>
      </c>
      <c r="Q23" s="69">
        <f>ROUND(P23*K23%,2)</f>
        <v>9.6</v>
      </c>
      <c r="R23" s="69">
        <f>M23+O23+Q23</f>
        <v>29.4</v>
      </c>
      <c r="S23" s="69">
        <f>(H23-R23)</f>
        <v>470.6</v>
      </c>
      <c r="T23" s="69" t="s">
        <v>146</v>
      </c>
      <c r="U23" s="69">
        <v>0.18</v>
      </c>
      <c r="V23" s="69">
        <f>IF(OR($C$21=1,$C$21=4),ROUND(((S23*U23)/2),2),0)</f>
        <v>42.35</v>
      </c>
      <c r="W23" s="69">
        <f>IF($C$21=1,ROUND(((S23*U23)/2),2),0)</f>
        <v>42.35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84.7</v>
      </c>
      <c r="AC23" s="69">
        <f>IF($V21=1,S23+AB23,S23)</f>
        <v>555.30000000000007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470.6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235.3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235.3</v>
      </c>
      <c r="AS23" s="83" t="s">
        <v>229</v>
      </c>
      <c r="AT23" s="83" t="s">
        <v>58</v>
      </c>
      <c r="AW23" s="83">
        <f>AM23</f>
        <v>2</v>
      </c>
      <c r="AX23" s="83">
        <f>AR23</f>
        <v>235.3</v>
      </c>
      <c r="AY23" s="83">
        <f>AU23+AW23</f>
        <v>2</v>
      </c>
      <c r="AZ23" s="83">
        <f>ROUND(((AU23*AV23)+(AW23*AX23))/(AU23+AW23),5)</f>
        <v>235.3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O23" s="83">
        <f>ROUND((((AW23*AZ23)+(BN23*BM23))/(AW23+BN23)),5)</f>
        <v>235.3</v>
      </c>
      <c r="BP23" s="87">
        <f>BN23+AW23</f>
        <v>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29.4</v>
      </c>
      <c r="S24" s="77">
        <f>SUM(S23:S23)</f>
        <v>470.6</v>
      </c>
      <c r="T24" s="71"/>
      <c r="U24" s="71"/>
      <c r="V24" s="78">
        <f>SUM(V23:V23)</f>
        <v>42.35</v>
      </c>
      <c r="W24" s="78">
        <f>SUM(W23:W23)</f>
        <v>42.35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84.7</v>
      </c>
      <c r="AC24" s="80">
        <f>SUM(AC23:AC23)</f>
        <v>555.30000000000007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470.6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R25"/>
  <sheetViews>
    <sheetView topLeftCell="BK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235</v>
      </c>
      <c r="AV23" t="s">
        <v>236</v>
      </c>
      <c r="AW23" s="83">
        <f>AM23</f>
        <v>2</v>
      </c>
      <c r="AX23" s="83">
        <f>AR23</f>
        <v>188.24</v>
      </c>
      <c r="AY23" s="83">
        <f>AU23+AW23</f>
        <v>14092</v>
      </c>
      <c r="AZ23" s="83">
        <f>ROUND(((AU23*AV23)+(AW23*AX23))/(AU23+AW23),5)</f>
        <v>121.1908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237</v>
      </c>
      <c r="BN23" t="s">
        <v>238</v>
      </c>
      <c r="BO23" s="83">
        <f>ROUND((((AW23*AZ23)+(BN23*BM23))/(AW23+BN23)),5)</f>
        <v>146.93406999999999</v>
      </c>
      <c r="BP23" s="87">
        <f>BN23+AW23</f>
        <v>689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 t="shared" ref="V24:AE24" si="5">SUM(V23:V23)</f>
        <v>33.880000000000003</v>
      </c>
      <c r="W24" s="78">
        <f t="shared" si="5"/>
        <v>33.880000000000003</v>
      </c>
      <c r="X24" s="78">
        <f t="shared" si="5"/>
        <v>0</v>
      </c>
      <c r="Y24" s="78"/>
      <c r="Z24" s="78"/>
      <c r="AA24" s="78"/>
      <c r="AB24" s="71">
        <f t="shared" si="5"/>
        <v>67.760000000000005</v>
      </c>
      <c r="AC24" s="80">
        <f t="shared" si="5"/>
        <v>444.24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10" sqref="D10"/>
    </sheetView>
  </sheetViews>
  <sheetFormatPr defaultColWidth="9" defaultRowHeight="15"/>
  <cols>
    <col min="2" max="2" width="33.28515625" bestFit="1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195"/>
      <c r="AE1" s="195"/>
      <c r="AF1" s="195"/>
      <c r="AG1" s="195"/>
      <c r="AH1" s="195"/>
      <c r="AI1" s="195"/>
      <c r="AJ1" s="195"/>
      <c r="AK1" s="195"/>
      <c r="AL1" s="195"/>
      <c r="AM1" s="195"/>
      <c r="AN1" s="195"/>
      <c r="AO1" s="195"/>
      <c r="AP1" s="195"/>
      <c r="AQ1" s="195"/>
      <c r="AR1" s="66"/>
      <c r="AS1" s="66"/>
    </row>
    <row r="2" spans="1:45" ht="18.75" thickBot="1">
      <c r="A2" s="195" t="s">
        <v>47</v>
      </c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  <c r="AL2" s="195"/>
      <c r="AM2" s="195"/>
      <c r="AN2" s="195"/>
      <c r="AO2" s="195"/>
      <c r="AP2" s="195"/>
      <c r="AQ2" s="195"/>
      <c r="AR2" s="66"/>
      <c r="AS2" s="66"/>
    </row>
    <row r="3" spans="1:45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 ht="15.75" thickTop="1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 ht="15.75" thickBot="1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85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8.5" thickTop="1" thickBot="1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 ht="15.75" thickBot="1">
      <c r="A23" s="68">
        <v>1</v>
      </c>
      <c r="B23" s="68" t="s">
        <v>548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0</v>
      </c>
      <c r="AC23" s="69">
        <f>IF($V21=1,S23+AB23,S23)</f>
        <v>471.07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40040.949999999997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20020.474999999999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20020.474999999999</v>
      </c>
      <c r="AS23" s="83" t="s">
        <v>229</v>
      </c>
      <c r="AT23" s="83" t="s">
        <v>58</v>
      </c>
      <c r="AW23" s="83">
        <f>AM23</f>
        <v>2</v>
      </c>
      <c r="AX23" s="83">
        <f>AR23</f>
        <v>20020.474999999999</v>
      </c>
      <c r="AY23" s="83">
        <f>AU23+AW23</f>
        <v>2</v>
      </c>
      <c r="AZ23" s="83">
        <f>ROUND(((AU23*AV23)+(AW23*AX23))/(AU23+AW23),5)</f>
        <v>20020.474999999999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239</v>
      </c>
      <c r="BN23" t="s">
        <v>239</v>
      </c>
      <c r="BO23" s="83">
        <f>ROUND((((AW23*AZ23)+(BN23*BM23))/(AW23+BN23)),5)</f>
        <v>20020.474999999999</v>
      </c>
      <c r="BP23" s="87">
        <f>BN23+AW23</f>
        <v>2</v>
      </c>
      <c r="BQ23" s="88">
        <v>88363222</v>
      </c>
      <c r="BR23" s="87"/>
    </row>
    <row r="24" spans="1:70" ht="15.75" thickBot="1">
      <c r="A24" s="68">
        <v>2</v>
      </c>
      <c r="B24" s="68" t="s">
        <v>549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0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40040.949999999997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20020.474999999999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20020.474999999999</v>
      </c>
      <c r="AS24" s="83" t="s">
        <v>229</v>
      </c>
      <c r="AT24" s="83" t="s">
        <v>58</v>
      </c>
      <c r="AW24" s="83">
        <f>AM24</f>
        <v>2</v>
      </c>
      <c r="AX24" s="83">
        <f>AR24</f>
        <v>20020.474999999999</v>
      </c>
      <c r="AY24" s="83">
        <f>AU24+AW24</f>
        <v>2</v>
      </c>
      <c r="AZ24" s="83">
        <f>ROUND(((AU24*AV24)+(AW24*AX24))/(AU24+AW24),5)</f>
        <v>20020.474999999999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20020.474999999999</v>
      </c>
      <c r="BP24" s="87">
        <f>BN24+AW24</f>
        <v>2</v>
      </c>
      <c r="BQ24" s="88">
        <v>88363222</v>
      </c>
      <c r="BR24" s="87"/>
    </row>
    <row r="25" spans="1:70" ht="15.75" thickBot="1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0</v>
      </c>
      <c r="W25" s="78">
        <f t="shared" si="5"/>
        <v>0</v>
      </c>
      <c r="X25" s="78">
        <f t="shared" si="5"/>
        <v>0</v>
      </c>
      <c r="Y25" s="78"/>
      <c r="Z25" s="78"/>
      <c r="AA25" s="78"/>
      <c r="AB25" s="71">
        <f t="shared" si="5"/>
        <v>0</v>
      </c>
      <c r="AC25" s="80">
        <f t="shared" si="5"/>
        <v>471.07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40040.949999999997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activeCell="B26" sqref="B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539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9.61</v>
      </c>
      <c r="R23" s="69">
        <f>M23+O23+Q23</f>
        <v>29.43</v>
      </c>
      <c r="S23" s="69">
        <f>(H23-R23)</f>
        <v>471.07</v>
      </c>
      <c r="T23" s="69" t="s">
        <v>146</v>
      </c>
      <c r="U23" s="69">
        <v>0.18</v>
      </c>
      <c r="V23" s="69">
        <f>IF(OR($C$21=1,$C$21=4),ROUND(((S23*U23)/2),2),0)</f>
        <v>42.4</v>
      </c>
      <c r="W23" s="69">
        <f>IF($C$21=1,ROUND(((S23*U23)/2),2),0)</f>
        <v>42.4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84.8</v>
      </c>
      <c r="AC23" s="69">
        <f>IF($V21=1,S23+AB23,S23)</f>
        <v>555.87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471.07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235.535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235.535</v>
      </c>
      <c r="AS23" s="83" t="s">
        <v>229</v>
      </c>
      <c r="AT23" s="83" t="s">
        <v>58</v>
      </c>
      <c r="AU23" t="s">
        <v>239</v>
      </c>
      <c r="AV23" t="s">
        <v>240</v>
      </c>
      <c r="AW23" s="83">
        <f>AM23</f>
        <v>2</v>
      </c>
      <c r="AX23" s="83">
        <f>AR23</f>
        <v>235.535</v>
      </c>
      <c r="AY23" s="83">
        <f>AU23+AW23</f>
        <v>2</v>
      </c>
      <c r="AZ23" s="83">
        <f>ROUND(((AU23*AV23)+(AW23*AX23))/(AU23+AW23),5)</f>
        <v>235.535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241</v>
      </c>
      <c r="BN23" t="s">
        <v>242</v>
      </c>
      <c r="BO23" s="83">
        <f>ROUND((((AW23*AZ23)+(BN23*BM23))/(AW23+BN23)),5)</f>
        <v>278.73038000000003</v>
      </c>
      <c r="BP23" s="87">
        <f>BN23+AW23</f>
        <v>26</v>
      </c>
      <c r="BQ23" s="88">
        <v>88363222</v>
      </c>
      <c r="BR23" s="87"/>
    </row>
    <row r="24" spans="1:70">
      <c r="A24" s="68">
        <v>2</v>
      </c>
      <c r="B24" s="68" t="s">
        <v>540</v>
      </c>
      <c r="C24" s="68" t="s">
        <v>57</v>
      </c>
      <c r="D24" s="68" t="s">
        <v>58</v>
      </c>
      <c r="E24" s="68" t="s">
        <v>58</v>
      </c>
      <c r="F24" s="69">
        <v>2</v>
      </c>
      <c r="G24" s="69">
        <v>250.25</v>
      </c>
      <c r="H24" s="69">
        <f>F24*G24</f>
        <v>500.5</v>
      </c>
      <c r="I24" s="69">
        <v>2.21</v>
      </c>
      <c r="J24" s="69">
        <v>1.79</v>
      </c>
      <c r="K24" s="69">
        <v>2</v>
      </c>
      <c r="L24" s="69">
        <f>H24</f>
        <v>500.5</v>
      </c>
      <c r="M24" s="69">
        <f>ROUND(L24*I24%,2)</f>
        <v>11.06</v>
      </c>
      <c r="N24" s="69">
        <f>H24-M24</f>
        <v>489.44</v>
      </c>
      <c r="O24" s="69">
        <f>ROUND(N24*J24%,2)</f>
        <v>8.76</v>
      </c>
      <c r="P24" s="69">
        <f>ROUND(N24-O24,2)</f>
        <v>480.68</v>
      </c>
      <c r="Q24" s="69">
        <f>ROUND(P24*K24%,2)</f>
        <v>9.61</v>
      </c>
      <c r="R24" s="69">
        <f>M24+O24+Q24</f>
        <v>29.43</v>
      </c>
      <c r="S24" s="69">
        <f>(H24-R24)</f>
        <v>471.07</v>
      </c>
      <c r="T24" s="69" t="s">
        <v>146</v>
      </c>
      <c r="U24" s="69">
        <v>0.18</v>
      </c>
      <c r="V24" s="69">
        <f>IF(OR($C$21=1,$C$21=4),ROUND(((S24*U24)/2),2),0)</f>
        <v>42.4</v>
      </c>
      <c r="W24" s="69">
        <f>IF($C$21=1,ROUND(((S24*U24)/2),2),0)</f>
        <v>42.4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84.8</v>
      </c>
      <c r="AC24" s="69">
        <f>IF($V22=1,S24+AB24,S24)</f>
        <v>471.07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471.07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235.535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235.535</v>
      </c>
      <c r="AS24" s="83" t="s">
        <v>229</v>
      </c>
      <c r="AT24" s="83" t="s">
        <v>58</v>
      </c>
      <c r="AU24" t="s">
        <v>239</v>
      </c>
      <c r="AV24" t="s">
        <v>243</v>
      </c>
      <c r="AW24" s="83">
        <f>AM24</f>
        <v>2</v>
      </c>
      <c r="AX24" s="83">
        <f>AR24</f>
        <v>235.535</v>
      </c>
      <c r="AY24" s="83">
        <f>AU24+AW24</f>
        <v>2</v>
      </c>
      <c r="AZ24" s="83">
        <f>ROUND(((AU24*AV24)+(AW24*AX24))/(AU24+AW24),5)</f>
        <v>235.535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239</v>
      </c>
      <c r="BN24" t="s">
        <v>239</v>
      </c>
      <c r="BO24" s="83">
        <f>ROUND((((AW24*AZ24)+(BN24*BM24))/(AW24+BN24)),5)</f>
        <v>235.535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500.5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29.43</v>
      </c>
      <c r="S25" s="77">
        <f>SUM(S23:S23)</f>
        <v>471.07</v>
      </c>
      <c r="T25" s="71"/>
      <c r="U25" s="71"/>
      <c r="V25" s="78">
        <f t="shared" ref="V25:AE25" si="5">SUM(V23:V23)</f>
        <v>42.4</v>
      </c>
      <c r="W25" s="78">
        <f t="shared" si="5"/>
        <v>42.4</v>
      </c>
      <c r="X25" s="78">
        <f t="shared" si="5"/>
        <v>0</v>
      </c>
      <c r="Y25" s="78"/>
      <c r="Z25" s="78"/>
      <c r="AA25" s="78"/>
      <c r="AB25" s="71">
        <f t="shared" si="5"/>
        <v>84.8</v>
      </c>
      <c r="AC25" s="80">
        <f t="shared" si="5"/>
        <v>555.87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471.07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>S23*$M$21</f>
        <v>375.36</v>
      </c>
      <c r="AJ23" s="69">
        <f t="shared" ref="AJ23:AJ24" si="1">IF($C$21=3,0,AG23+AH23)</f>
        <v>0</v>
      </c>
      <c r="AK23" s="69">
        <f t="shared" ref="AK23:AK24" si="2">IF($C$21=3,AE23+AG23+AH23,0)</f>
        <v>0</v>
      </c>
      <c r="AL23" s="69">
        <v>1</v>
      </c>
      <c r="AM23" s="69">
        <f t="shared" ref="AM23:AM24" si="3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246</v>
      </c>
      <c r="BN23" t="s">
        <v>247</v>
      </c>
      <c r="BO23" s="83">
        <f>ROUND((((AW23*AZ23)+(BN23*BM23))/(AW23+BN23)),5)</f>
        <v>187.06066000000001</v>
      </c>
      <c r="BP23" s="87">
        <f>BN23+AW23</f>
        <v>62</v>
      </c>
      <c r="BQ23" s="88">
        <v>88363222</v>
      </c>
      <c r="BR23" s="87"/>
    </row>
    <row r="24" spans="1:70">
      <c r="A24" s="68">
        <v>2</v>
      </c>
      <c r="B24" s="68" t="s">
        <v>248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223</v>
      </c>
      <c r="J24" s="69">
        <v>1.79</v>
      </c>
      <c r="K24" s="69">
        <v>2.5</v>
      </c>
      <c r="L24" s="69">
        <f>H24</f>
        <v>800</v>
      </c>
      <c r="M24" s="69">
        <f>ROUND(L24*I24%,2)</f>
        <v>16</v>
      </c>
      <c r="N24" s="69">
        <f>H24-M24</f>
        <v>784</v>
      </c>
      <c r="O24" s="69">
        <f>ROUND(N24*J24%,2)</f>
        <v>14.03</v>
      </c>
      <c r="P24" s="69">
        <f>ROUND(N24-O24,2)</f>
        <v>769.97</v>
      </c>
      <c r="Q24" s="69">
        <f>ROUND(P24*K24%,2)</f>
        <v>19.25</v>
      </c>
      <c r="R24" s="69">
        <f>M24+O24+Q24</f>
        <v>49.28</v>
      </c>
      <c r="S24" s="69">
        <f>(H24-R24)</f>
        <v>750.72</v>
      </c>
      <c r="T24" s="69" t="s">
        <v>146</v>
      </c>
      <c r="U24" s="69">
        <v>0.18</v>
      </c>
      <c r="V24" s="69">
        <f>IF(OR($C$21=1,$C$21=4),ROUND(((S24*U24)/2),2),0)</f>
        <v>67.56</v>
      </c>
      <c r="W24" s="69">
        <f>IF($C$21=1,ROUND(((S24*U24)/2),2),0)</f>
        <v>67.56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135.12</v>
      </c>
      <c r="AC24" s="69">
        <f>IF($V22=1,S24+AB24,S24)</f>
        <v>750.72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ref="AI24" si="4">S24*$M$21</f>
        <v>750.72</v>
      </c>
      <c r="AJ24" s="69">
        <f t="shared" si="1"/>
        <v>0</v>
      </c>
      <c r="AK24" s="69">
        <f t="shared" si="2"/>
        <v>0</v>
      </c>
      <c r="AL24" s="69">
        <v>1</v>
      </c>
      <c r="AM24" s="69">
        <f t="shared" si="3"/>
        <v>2</v>
      </c>
      <c r="AN24" s="69">
        <f>AI24/AM24</f>
        <v>375.36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375.36</v>
      </c>
      <c r="AS24" s="83" t="s">
        <v>229</v>
      </c>
      <c r="AT24" s="83" t="s">
        <v>58</v>
      </c>
      <c r="AU24" t="s">
        <v>239</v>
      </c>
      <c r="AV24" t="s">
        <v>249</v>
      </c>
      <c r="AW24" s="83">
        <f>AM24</f>
        <v>2</v>
      </c>
      <c r="AX24" s="83">
        <f>AR24</f>
        <v>375.36</v>
      </c>
      <c r="AY24" s="83">
        <f>AU24+AW24</f>
        <v>2</v>
      </c>
      <c r="AZ24" s="83">
        <f>ROUND(((AU24*AV24)+(AW24*AX24))/(AU24+AW24),5)</f>
        <v>375.36</v>
      </c>
      <c r="BA24" s="85"/>
      <c r="BB24" s="85" t="s">
        <v>149</v>
      </c>
      <c r="BC24" s="86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249</v>
      </c>
      <c r="BN24" t="s">
        <v>226</v>
      </c>
      <c r="BO24" s="83">
        <f>ROUND((((AW24*AZ24)+(BN24*BM24))/(AW24+BN24)),5)</f>
        <v>375.36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SUM(H23:H23)</f>
        <v>400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SUM(R23:R23)</f>
        <v>24.64</v>
      </c>
      <c r="S25" s="77">
        <f>SUM(S23:S23)</f>
        <v>375.36</v>
      </c>
      <c r="T25" s="71"/>
      <c r="U25" s="71"/>
      <c r="V25" s="78">
        <f t="shared" ref="V25:AE25" si="5">SUM(V23:V23)</f>
        <v>33.78</v>
      </c>
      <c r="W25" s="78">
        <f t="shared" si="5"/>
        <v>33.78</v>
      </c>
      <c r="X25" s="78">
        <f t="shared" si="5"/>
        <v>0</v>
      </c>
      <c r="Y25" s="78"/>
      <c r="Z25" s="78"/>
      <c r="AA25" s="78"/>
      <c r="AB25" s="71">
        <f t="shared" si="5"/>
        <v>67.56</v>
      </c>
      <c r="AC25" s="80">
        <f t="shared" si="5"/>
        <v>442.92</v>
      </c>
      <c r="AD25" s="81">
        <f t="shared" si="5"/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SUM(AI23:AI23)</f>
        <v>375.36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R26"/>
  <sheetViews>
    <sheetView topLeftCell="AS14" workbookViewId="0">
      <selection activeCell="AW24" sqref="AW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 t="s">
        <v>223</v>
      </c>
      <c r="J23" s="69">
        <v>1.79</v>
      </c>
      <c r="K23" s="69">
        <v>2.5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15.96</v>
      </c>
      <c r="P23" s="69">
        <f>ROUND(N23-O23,2)</f>
        <v>875.84</v>
      </c>
      <c r="Q23" s="69">
        <f>ROUND(P23*K23%,2)</f>
        <v>21.9</v>
      </c>
      <c r="R23" s="69">
        <f>M23+O23+Q23</f>
        <v>56.059999999999995</v>
      </c>
      <c r="S23" s="69">
        <f>(H23-R23)</f>
        <v>853.94</v>
      </c>
      <c r="T23" s="69" t="s">
        <v>146</v>
      </c>
      <c r="U23" s="69">
        <v>0.18</v>
      </c>
      <c r="V23" s="69">
        <f>IF(OR($C$21=1,$C$21=4),ROUND(((S23*U23)/2),2),0)</f>
        <v>76.849999999999994</v>
      </c>
      <c r="W23" s="69">
        <f>IF($C$21=1,ROUND(((S23*U23)/2),2),0)</f>
        <v>76.849999999999994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153.69999999999999</v>
      </c>
      <c r="AC23" s="69">
        <f>IF($V21=1,S23+AB23,S23)</f>
        <v>1007.6400000000001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853.94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426.97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426.97</v>
      </c>
      <c r="AS23" s="83" t="s">
        <v>229</v>
      </c>
      <c r="AT23" s="83" t="s">
        <v>58</v>
      </c>
      <c r="AU23" t="s">
        <v>651</v>
      </c>
      <c r="AV23" t="s">
        <v>652</v>
      </c>
      <c r="AW23" s="83">
        <f>AM23</f>
        <v>2</v>
      </c>
      <c r="AX23" s="83">
        <f>AR23</f>
        <v>426.97</v>
      </c>
      <c r="AY23" s="83">
        <f>AU23+AW23</f>
        <v>70</v>
      </c>
      <c r="AZ23" s="83">
        <f>ROUND(((AU23*AV23)+(AW23*AX23))/(AU23+AW23),5)</f>
        <v>426.97014000000001</v>
      </c>
      <c r="BA23" s="85"/>
      <c r="BB23" s="85" t="s">
        <v>149</v>
      </c>
      <c r="BC23" s="92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252</v>
      </c>
      <c r="BN23" t="s">
        <v>654</v>
      </c>
      <c r="BO23" s="83">
        <f>ROUND((((AW23*AZ23)+(BN23*BM23))/(AW23+BN23)),5)</f>
        <v>426.97</v>
      </c>
      <c r="BP23" s="87">
        <f>BN23+AW23</f>
        <v>326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84.46</v>
      </c>
      <c r="W24" s="69">
        <f>IF($C$21=1,ROUND(((S24*U24)/2),2),0)</f>
        <v>84.46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168.92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229</v>
      </c>
      <c r="AT24" s="83" t="s">
        <v>58</v>
      </c>
      <c r="AU24" t="s">
        <v>653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92</v>
      </c>
      <c r="AZ24" s="83">
        <f>ROUND(((AU24*AV24)+(AW24*AX24))/(AU24+AW24),5)</f>
        <v>469.2</v>
      </c>
      <c r="BA24" s="85"/>
      <c r="BB24" s="85" t="s">
        <v>149</v>
      </c>
      <c r="BC24" s="92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256</v>
      </c>
      <c r="BN24" t="s">
        <v>655</v>
      </c>
      <c r="BO24" s="83">
        <f>ROUND((((AW24*AZ24)+(BN24*BM24))/(AW24+BN24)),5)</f>
        <v>469.2</v>
      </c>
      <c r="BP24" s="87">
        <f>BN24+AW24</f>
        <v>310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1910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117.66</v>
      </c>
      <c r="S25" s="77">
        <f>SUM(S23:S24)</f>
        <v>1792.3400000000001</v>
      </c>
      <c r="T25" s="71"/>
      <c r="U25" s="71"/>
      <c r="V25" s="78">
        <f>SUM(V23:V24)</f>
        <v>161.31</v>
      </c>
      <c r="W25" s="78">
        <f>SUM(W23:W24)</f>
        <v>161.31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322.62</v>
      </c>
      <c r="AC25" s="80">
        <f>SUM(AC23:AC24)</f>
        <v>1946.04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1792.3400000000001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4" sqref="B24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258</v>
      </c>
      <c r="H23" s="69">
        <f>F23*G23</f>
        <v>1756</v>
      </c>
      <c r="I23" t="s">
        <v>259</v>
      </c>
      <c r="J23" s="69">
        <v>1.79</v>
      </c>
      <c r="K23" s="69">
        <v>2.5</v>
      </c>
      <c r="L23" s="69">
        <f>H23</f>
        <v>1756</v>
      </c>
      <c r="M23" s="69">
        <f>ROUND(L23*I23%,2)</f>
        <v>41.09</v>
      </c>
      <c r="N23" s="69">
        <f>H23-M23</f>
        <v>1714.91</v>
      </c>
      <c r="O23" s="69">
        <f>ROUND(N23*J23%,2)</f>
        <v>30.7</v>
      </c>
      <c r="P23" s="69">
        <f>ROUND(N23-O23,2)</f>
        <v>1684.21</v>
      </c>
      <c r="Q23" s="69">
        <f>ROUND(P23*K23%,2)</f>
        <v>42.11</v>
      </c>
      <c r="R23" s="69">
        <f>M23+O23+Q23</f>
        <v>113.9</v>
      </c>
      <c r="S23" s="69">
        <f>(H23-R23)</f>
        <v>1642.1</v>
      </c>
      <c r="T23" s="69" t="s">
        <v>146</v>
      </c>
      <c r="U23" s="69">
        <v>0.18</v>
      </c>
      <c r="V23" s="69">
        <f>IF(OR($C$21=1,$C$21=4),ROUND(((S23*U23)/2),2),0)</f>
        <v>147.79</v>
      </c>
      <c r="W23" s="69">
        <f>IF($C$21=1,ROUND(((S23*U23)/2),2),0)</f>
        <v>147.79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295.58</v>
      </c>
      <c r="AC23" s="69">
        <f>IF($V21=1,S23+AB23,S23)</f>
        <v>1937.6799999999998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1642.1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821.05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821.05</v>
      </c>
      <c r="AS23" s="83" t="s">
        <v>229</v>
      </c>
      <c r="AT23" s="83" t="s">
        <v>58</v>
      </c>
      <c r="AU23" t="s">
        <v>239</v>
      </c>
      <c r="AV23" t="s">
        <v>260</v>
      </c>
      <c r="AW23" s="83">
        <f>AM23</f>
        <v>2</v>
      </c>
      <c r="AX23" s="83">
        <f>AR23</f>
        <v>821.05</v>
      </c>
      <c r="AY23" s="83">
        <f>AU23+AW23</f>
        <v>2</v>
      </c>
      <c r="AZ23" s="83">
        <f>ROUND(((AU23*AV23)+(AW23*AX23))/(AU23+AW23),5)</f>
        <v>821.05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230</v>
      </c>
      <c r="BM23" t="s">
        <v>260</v>
      </c>
      <c r="BN23" t="s">
        <v>226</v>
      </c>
      <c r="BO23" s="83">
        <f>ROUND((((AW23*AZ23)+(BN23*BM23))/(AW23+BN23)),5)</f>
        <v>821.05</v>
      </c>
      <c r="BP23" s="87">
        <f>BN23+AW23</f>
        <v>12</v>
      </c>
      <c r="BQ23" s="88">
        <v>88363222</v>
      </c>
      <c r="BR23" s="87"/>
    </row>
    <row r="24" spans="1:70">
      <c r="A24" s="68">
        <v>2</v>
      </c>
      <c r="B24" s="68" t="s">
        <v>542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261</v>
      </c>
      <c r="H24" s="69">
        <f>F24*G24</f>
        <v>486</v>
      </c>
      <c r="I24" t="s">
        <v>262</v>
      </c>
      <c r="J24" s="69">
        <v>1.79</v>
      </c>
      <c r="K24" s="69">
        <v>2.5</v>
      </c>
      <c r="L24" s="69">
        <f>H24</f>
        <v>486</v>
      </c>
      <c r="M24" s="69">
        <f>ROUND(L24*I24%,2)</f>
        <v>16.52</v>
      </c>
      <c r="N24" s="69">
        <f>H24-M24</f>
        <v>469.48</v>
      </c>
      <c r="O24" s="69">
        <f>ROUND(N24*J24%,2)</f>
        <v>8.4</v>
      </c>
      <c r="P24" s="69">
        <f>ROUND(N24-O24,2)</f>
        <v>461.08</v>
      </c>
      <c r="Q24" s="69">
        <f>ROUND(P24*K24%,2)</f>
        <v>11.53</v>
      </c>
      <c r="R24" s="69">
        <f>M24+O24+Q24</f>
        <v>36.450000000000003</v>
      </c>
      <c r="S24" s="69">
        <f>(H24-R24)</f>
        <v>449.55</v>
      </c>
      <c r="T24" s="69" t="s">
        <v>146</v>
      </c>
      <c r="U24" s="69">
        <v>0.18</v>
      </c>
      <c r="V24" s="69">
        <f>IF(OR($C$21=1,$C$21=4),ROUND(((S24*U24)/2),2),0)</f>
        <v>40.46</v>
      </c>
      <c r="W24" s="69">
        <f>IF($C$21=1,ROUND(((S24*U24)/2),2),0)</f>
        <v>40.46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80.92</v>
      </c>
      <c r="AC24" s="69">
        <f>IF($V22=1,S24+AB24,S24)</f>
        <v>449.55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449.55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224.77500000000001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224.77500000000001</v>
      </c>
      <c r="AS24" s="83" t="s">
        <v>229</v>
      </c>
      <c r="AT24" s="83" t="s">
        <v>58</v>
      </c>
      <c r="AU24" t="s">
        <v>263</v>
      </c>
      <c r="AV24" t="s">
        <v>264</v>
      </c>
      <c r="AW24" s="83">
        <f>AM24</f>
        <v>2</v>
      </c>
      <c r="AX24" s="83">
        <f>AR24</f>
        <v>224.77500000000001</v>
      </c>
      <c r="AY24" s="83">
        <f>AU24+AW24</f>
        <v>5</v>
      </c>
      <c r="AZ24" s="83">
        <f>ROUND(((AU24*AV24)+(AW24*AX24))/(AU24+AW24),5)</f>
        <v>224.80717999999999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230</v>
      </c>
      <c r="BM24" t="s">
        <v>265</v>
      </c>
      <c r="BN24" t="s">
        <v>266</v>
      </c>
      <c r="BO24" s="83">
        <f>ROUND((((AW24*AZ24)+(BN24*BM24))/(AW24+BN24)),5)</f>
        <v>224.92775</v>
      </c>
      <c r="BP24" s="87">
        <f>BN24+AW24</f>
        <v>14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2242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150.35000000000002</v>
      </c>
      <c r="S25" s="77">
        <f>SUM(S23:S24)</f>
        <v>2091.65</v>
      </c>
      <c r="T25" s="71"/>
      <c r="U25" s="71"/>
      <c r="V25" s="78">
        <f>SUM(V23:V24)</f>
        <v>188.25</v>
      </c>
      <c r="W25" s="78">
        <f>SUM(W23:W24)</f>
        <v>188.25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376.5</v>
      </c>
      <c r="AC25" s="80">
        <f>SUM(AC23:AC24)</f>
        <v>2387.23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2091.65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267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IF($C21=3,0,S23*Z23)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222</v>
      </c>
      <c r="AT23" s="83" t="s">
        <v>58</v>
      </c>
      <c r="AU23" t="s">
        <v>270</v>
      </c>
      <c r="AV23" t="s">
        <v>271</v>
      </c>
      <c r="AW23" s="83">
        <f>AM23</f>
        <v>2</v>
      </c>
      <c r="AX23" s="83">
        <f>AR23</f>
        <v>1166.0050000000001</v>
      </c>
      <c r="AY23" s="83">
        <f>AU23+AW23</f>
        <v>432</v>
      </c>
      <c r="AZ23" s="83">
        <f>ROUND(((AU23*AV23)+(AW23*AX23))/(AU23+AW23),5)</f>
        <v>1186.77845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94" t="s">
        <v>31</v>
      </c>
      <c r="BM23" t="s">
        <v>272</v>
      </c>
      <c r="BN23" t="s">
        <v>273</v>
      </c>
      <c r="BO23" s="83">
        <f>ROUND((((AW23*AZ23)+(BN23*BM23))/(AW23+BN23)),5)</f>
        <v>1162.7759599999999</v>
      </c>
      <c r="BP23" s="87">
        <f>BN23+AW23</f>
        <v>238</v>
      </c>
      <c r="BQ23" s="88">
        <v>123562</v>
      </c>
      <c r="BR23" s="87"/>
    </row>
    <row r="24" spans="1:70">
      <c r="A24" s="68">
        <v>2</v>
      </c>
      <c r="B24" s="68" t="s">
        <v>274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0.05</v>
      </c>
      <c r="V24" s="69">
        <f>IF(OR($C$21=1,$C$21=4),ROUND(((S24*U24)/2),2),0)</f>
        <v>11.99</v>
      </c>
      <c r="W24" s="69">
        <f>IF($C$21=1,ROUND(((S24*U24)/2),2),0)</f>
        <v>11.99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IF($C22=3,0,S24*Z24)</f>
        <v>0</v>
      </c>
      <c r="AB24" s="69">
        <f>V24+W24+X24+Y24+AA24</f>
        <v>23.98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222</v>
      </c>
      <c r="AT24" s="83" t="s">
        <v>58</v>
      </c>
      <c r="AU24" t="s">
        <v>276</v>
      </c>
      <c r="AV24" t="s">
        <v>277</v>
      </c>
      <c r="AW24" s="83">
        <f>AM24</f>
        <v>2</v>
      </c>
      <c r="AX24" s="83">
        <f>AR24</f>
        <v>239.83500000000001</v>
      </c>
      <c r="AY24" s="83">
        <f>AU24+AW24</f>
        <v>342</v>
      </c>
      <c r="AZ24" s="83">
        <f>ROUND(((AU24*AV24)+(AW24*AX24))/(AU24+AW24),5)</f>
        <v>248.07693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94" t="s">
        <v>31</v>
      </c>
      <c r="BM24" t="s">
        <v>278</v>
      </c>
      <c r="BN24" t="s">
        <v>279</v>
      </c>
      <c r="BO24" s="83">
        <f>ROUND((((AW24*AZ24)+(BN24*BM24))/(AW24+BN24)),5)</f>
        <v>247.59741</v>
      </c>
      <c r="BP24" s="87">
        <f>BN24+AW24</f>
        <v>359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221.87</v>
      </c>
      <c r="W25" s="78">
        <f>SUM(W23:W24)</f>
        <v>221.87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443.74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N33"/>
  <sheetViews>
    <sheetView topLeftCell="AZ7" workbookViewId="0">
      <selection activeCell="BI23" sqref="BI23:BI24"/>
    </sheetView>
  </sheetViews>
  <sheetFormatPr defaultColWidth="9" defaultRowHeight="15"/>
  <cols>
    <col min="2" max="2" width="19.71093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8" max="8" width="11.85546875" customWidth="1"/>
    <col min="10" max="10" width="6.140625" customWidth="1"/>
    <col min="11" max="11" width="6.28515625" customWidth="1"/>
    <col min="12" max="12" width="13.85546875" customWidth="1"/>
    <col min="42" max="42" width="9.425781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4" max="54" width="12.42578125" customWidth="1"/>
    <col min="55" max="55" width="12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6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6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6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6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6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6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6">
      <c r="A23" s="68">
        <v>1</v>
      </c>
      <c r="B23" s="68" t="s">
        <v>280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281</v>
      </c>
      <c r="H23" s="69">
        <f>F23*G23</f>
        <v>1048</v>
      </c>
      <c r="I23" t="s">
        <v>223</v>
      </c>
      <c r="J23" s="69">
        <v>1.79</v>
      </c>
      <c r="K23" s="69">
        <v>2.5</v>
      </c>
      <c r="L23" s="69">
        <f>H23</f>
        <v>1048</v>
      </c>
      <c r="M23" s="69">
        <f>ROUND(L23*I23%,2)</f>
        <v>20.96</v>
      </c>
      <c r="N23" s="69">
        <f>H23-M23</f>
        <v>1027.04</v>
      </c>
      <c r="O23" s="69">
        <f>ROUND(N23*J23%,2)</f>
        <v>18.38</v>
      </c>
      <c r="P23" s="69">
        <f>ROUND(N23-O23,2)</f>
        <v>1008.66</v>
      </c>
      <c r="Q23" s="69">
        <f>ROUND(P23*K23%,2)</f>
        <v>25.22</v>
      </c>
      <c r="R23" s="69">
        <f>M23+O23+Q23</f>
        <v>64.56</v>
      </c>
      <c r="S23" s="69">
        <f>(H23-R23)</f>
        <v>983.44</v>
      </c>
      <c r="T23" s="69" t="s">
        <v>146</v>
      </c>
      <c r="U23" s="69">
        <v>0.18</v>
      </c>
      <c r="V23" s="69">
        <f>IF($C$21=1,ROUND(((S23*U23)/2),2),0)</f>
        <v>88.51</v>
      </c>
      <c r="W23" s="69">
        <f>IF($C$21=1,ROUND(((S23*U23)/2),2),0)</f>
        <v>88.51</v>
      </c>
      <c r="X23" s="69">
        <f>IF($C$21=2,ROUND(((S23*U23)),2),0)</f>
        <v>0</v>
      </c>
      <c r="Y23" s="69">
        <f>V23+W23+X23</f>
        <v>177.02</v>
      </c>
      <c r="Z23" s="69">
        <f t="shared" ref="Z23:Z24" si="1">S23+Y23</f>
        <v>1160.46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983.44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491.72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491.72</v>
      </c>
      <c r="AP23" s="83" t="s">
        <v>222</v>
      </c>
      <c r="AQ23" s="83" t="s">
        <v>58</v>
      </c>
      <c r="AR23" t="s">
        <v>282</v>
      </c>
      <c r="AS23" t="s">
        <v>283</v>
      </c>
      <c r="AT23" s="83">
        <f>AJ23</f>
        <v>2</v>
      </c>
      <c r="AU23" s="83">
        <f>AO23</f>
        <v>491.72</v>
      </c>
      <c r="AV23" s="83">
        <f>AR23+AT23</f>
        <v>16389</v>
      </c>
      <c r="AW23" s="83">
        <f>ROUND(((AR23*AS23)+(AT23*AU23))/(AR23+AT23),5)</f>
        <v>509.24844000000002</v>
      </c>
      <c r="AX23" s="85"/>
      <c r="AY23" s="85" t="s">
        <v>149</v>
      </c>
      <c r="AZ23" s="95" t="s">
        <v>45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284</v>
      </c>
      <c r="BK23" t="s">
        <v>285</v>
      </c>
      <c r="BL23" s="83">
        <f>ROUND((((AT23*AW23)+(BK23*BJ23))/(AT23+BK23)),5)</f>
        <v>513.21429000000001</v>
      </c>
      <c r="BM23" s="87">
        <f>BK23+AT23</f>
        <v>204</v>
      </c>
      <c r="BN23" s="87"/>
    </row>
    <row r="24" spans="1:66">
      <c r="A24" s="68">
        <v>3</v>
      </c>
      <c r="B24" s="68" t="s">
        <v>286</v>
      </c>
      <c r="C24" s="68" t="s">
        <v>62</v>
      </c>
      <c r="D24" s="68" t="s">
        <v>58</v>
      </c>
      <c r="E24" s="68" t="s">
        <v>58</v>
      </c>
      <c r="F24" s="69">
        <v>3</v>
      </c>
      <c r="G24" t="s">
        <v>287</v>
      </c>
      <c r="H24" s="69">
        <f>F24*G24</f>
        <v>696</v>
      </c>
      <c r="I24" t="s">
        <v>288</v>
      </c>
      <c r="J24" s="69">
        <v>0.25</v>
      </c>
      <c r="K24" s="69">
        <v>2.5</v>
      </c>
      <c r="L24" s="69">
        <f>H24</f>
        <v>696</v>
      </c>
      <c r="M24" s="69">
        <f>ROUND(L24*I24%,2)</f>
        <v>16.149999999999999</v>
      </c>
      <c r="N24" s="69">
        <f t="shared" ref="N24" si="6">H24-M24</f>
        <v>679.85</v>
      </c>
      <c r="O24" s="69">
        <f t="shared" ref="O24" si="7">ROUND(N24*J24%,2)</f>
        <v>1.7</v>
      </c>
      <c r="P24" s="69">
        <f t="shared" ref="P24" si="8">ROUND(N24-O24,2)</f>
        <v>678.15</v>
      </c>
      <c r="Q24" s="69">
        <f t="shared" ref="Q24" si="9">ROUND(P24*K24%,2)</f>
        <v>16.95</v>
      </c>
      <c r="R24" s="69">
        <f t="shared" ref="R24" si="10">M24+O24+Q24</f>
        <v>34.799999999999997</v>
      </c>
      <c r="S24" s="69">
        <f t="shared" ref="S24" si="11">(H24-R24)</f>
        <v>661.2</v>
      </c>
      <c r="T24" s="69" t="s">
        <v>146</v>
      </c>
      <c r="U24" s="69">
        <v>0.18</v>
      </c>
      <c r="V24" s="69">
        <f t="shared" ref="V24" si="12">IF($C$21=1,ROUND(((S24*U24)/2),2),0)</f>
        <v>59.51</v>
      </c>
      <c r="W24" s="69">
        <f t="shared" ref="W24" si="13">IF($C$21=1,ROUND(((S24*U24)/2),2),0)</f>
        <v>59.51</v>
      </c>
      <c r="X24" s="69">
        <f t="shared" ref="X24" si="14">IF($C$21=2,ROUND(((S24*U24)),2),0)</f>
        <v>0</v>
      </c>
      <c r="Y24" s="69">
        <f t="shared" ref="Y24" si="15">V24+W24+X24</f>
        <v>119.02</v>
      </c>
      <c r="Z24" s="69">
        <f t="shared" si="1"/>
        <v>780.22</v>
      </c>
      <c r="AA24" s="69">
        <v>150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661.2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6">AF24/AJ24</f>
        <v>220.4</v>
      </c>
      <c r="AL24" s="69">
        <f t="shared" ref="AL24" si="17">AG24/AJ24</f>
        <v>0</v>
      </c>
      <c r="AM24" s="69">
        <f t="shared" ref="AM24" si="18">AH24/AJ24</f>
        <v>0</v>
      </c>
      <c r="AN24" s="69" t="s">
        <v>58</v>
      </c>
      <c r="AO24" s="69">
        <f t="shared" ref="AO24" si="19">AK24+AL24+AM24</f>
        <v>220.4</v>
      </c>
      <c r="AP24" s="83" t="s">
        <v>222</v>
      </c>
      <c r="AQ24" s="83" t="s">
        <v>58</v>
      </c>
      <c r="AR24" t="s">
        <v>289</v>
      </c>
      <c r="AS24" t="s">
        <v>290</v>
      </c>
      <c r="AT24" s="83">
        <f t="shared" ref="AT24" si="20">AJ24</f>
        <v>3</v>
      </c>
      <c r="AU24" s="83">
        <f>AO24</f>
        <v>220.4</v>
      </c>
      <c r="AV24" s="83">
        <f t="shared" ref="AV24" si="21">AR24+AT24</f>
        <v>12249</v>
      </c>
      <c r="AW24" s="83">
        <f t="shared" ref="AW24" si="22">ROUND(((AR24*AS24)+(AT24*AU24))/(AR24+AT24),5)</f>
        <v>225.95932999999999</v>
      </c>
      <c r="AX24" s="85"/>
      <c r="AY24" s="85"/>
      <c r="AZ24" s="92" t="s">
        <v>29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292</v>
      </c>
      <c r="BK24" t="s">
        <v>293</v>
      </c>
      <c r="BL24" s="83">
        <f t="shared" ref="BL24" si="23">ROUND((((AT24*AW24)+(BK24*BJ24))/(AT24+BK24)),5)</f>
        <v>226.54366999999999</v>
      </c>
      <c r="BM24" s="87">
        <f t="shared" ref="BM24" si="24">BK24+AT24</f>
        <v>3572</v>
      </c>
      <c r="BN24" s="87"/>
    </row>
    <row r="25" spans="1:66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1744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99.36</v>
      </c>
      <c r="S25" s="77">
        <f>SUM(S23:S24)</f>
        <v>1644.64</v>
      </c>
      <c r="T25" s="71"/>
      <c r="U25" s="71"/>
      <c r="V25" s="78">
        <f t="shared" ref="V25:AB25" si="25">SUM(V23:V24)</f>
        <v>148.02000000000001</v>
      </c>
      <c r="W25" s="78">
        <f t="shared" si="25"/>
        <v>148.02000000000001</v>
      </c>
      <c r="X25" s="78">
        <f t="shared" si="25"/>
        <v>0</v>
      </c>
      <c r="Y25" s="71">
        <f t="shared" si="25"/>
        <v>296.04000000000002</v>
      </c>
      <c r="Z25" s="80">
        <f t="shared" si="25"/>
        <v>1940.68</v>
      </c>
      <c r="AA25" s="81">
        <f t="shared" si="25"/>
        <v>270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1644.64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7" spans="1:66">
      <c r="AS27" t="s">
        <v>294</v>
      </c>
      <c r="AT27" t="s">
        <v>295</v>
      </c>
    </row>
    <row r="28" spans="1:66">
      <c r="AS28">
        <v>1473.6849999999999</v>
      </c>
      <c r="AT28">
        <v>1281.64708</v>
      </c>
      <c r="AU28" s="83">
        <f t="shared" ref="AU28" si="26">AK28</f>
        <v>0</v>
      </c>
    </row>
    <row r="31" spans="1:66">
      <c r="AV31" t="s">
        <v>296</v>
      </c>
    </row>
    <row r="32" spans="1:66">
      <c r="AV32">
        <v>513.38841000000002</v>
      </c>
    </row>
    <row r="33" spans="48:48">
      <c r="AV33">
        <f>AV31-AV32</f>
        <v>3.2499999999799911E-3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6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469.2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229</v>
      </c>
      <c r="AT23" s="83" t="s">
        <v>58</v>
      </c>
      <c r="AU23" t="s">
        <v>223</v>
      </c>
      <c r="AV23" t="s">
        <v>298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234.6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298</v>
      </c>
      <c r="BN23" t="s">
        <v>223</v>
      </c>
      <c r="BO23" s="83">
        <f>ROUND((((AW23*AZ23)+(BN23*BM23))/(AW23+BN23)),5)</f>
        <v>234.6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301</v>
      </c>
      <c r="J24" s="69">
        <v>1.79</v>
      </c>
      <c r="K24" s="69">
        <v>2.5</v>
      </c>
      <c r="L24" s="69">
        <f>H24</f>
        <v>468</v>
      </c>
      <c r="M24" s="69">
        <f>ROUND(L24*I24%,2)</f>
        <v>18.72</v>
      </c>
      <c r="N24" s="69">
        <f>H24-M24</f>
        <v>449.28</v>
      </c>
      <c r="O24" s="69">
        <f>ROUND(N24*J24%,2)</f>
        <v>8.0399999999999991</v>
      </c>
      <c r="P24" s="69">
        <f>ROUND(N24-O24,2)</f>
        <v>441.24</v>
      </c>
      <c r="Q24" s="69">
        <f>ROUND(P24*K24%,2)</f>
        <v>11.03</v>
      </c>
      <c r="R24" s="69">
        <f>M24+O24+Q24</f>
        <v>37.79</v>
      </c>
      <c r="S24" s="69">
        <f>(H24-R24)</f>
        <v>430.21</v>
      </c>
      <c r="T24" s="69" t="s">
        <v>146</v>
      </c>
      <c r="U24" s="69">
        <v>0.18</v>
      </c>
      <c r="V24" s="69">
        <f>IF(OR($C$21=1,$C$21=4),ROUND(((S24*U24)/2),2),0)</f>
        <v>38.72</v>
      </c>
      <c r="W24" s="69">
        <f>IF($C$21=1,ROUND(((S24*U24)/2),2),0)</f>
        <v>38.72</v>
      </c>
      <c r="X24" s="69">
        <f>IF($C$21=2,ROUND(((S24*U24)),2),0)</f>
        <v>0</v>
      </c>
      <c r="Y24" s="69">
        <f>IF($C$21=4,ROUND(((S24*U24)/2),2),0)</f>
        <v>0</v>
      </c>
      <c r="Z24" s="69">
        <v>0</v>
      </c>
      <c r="AA24" s="69">
        <f>IF($C22=3,0,ROUND(S24*Z24,2))</f>
        <v>0</v>
      </c>
      <c r="AB24" s="69">
        <f>V24+W24+X24+Y24+AA24</f>
        <v>77.44</v>
      </c>
      <c r="AC24" s="69">
        <f>IF($V22=1,S24+AB24,S24)</f>
        <v>430.21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430.21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215.10499999999999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215.10499999999999</v>
      </c>
      <c r="AS24" s="83" t="s">
        <v>229</v>
      </c>
      <c r="AT24" s="83" t="s">
        <v>58</v>
      </c>
      <c r="AU24" t="s">
        <v>223</v>
      </c>
      <c r="AV24" t="s">
        <v>302</v>
      </c>
      <c r="AW24" s="83">
        <f>AM24</f>
        <v>2</v>
      </c>
      <c r="AX24" s="83">
        <f>AR24</f>
        <v>215.10499999999999</v>
      </c>
      <c r="AY24" s="83">
        <f>AU24+AW24</f>
        <v>4</v>
      </c>
      <c r="AZ24" s="83">
        <f>ROUND(((AU24*AV24)+(AW24*AX24))/(AU24+AW24),5)</f>
        <v>215.11060000000001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303</v>
      </c>
      <c r="BN24" t="s">
        <v>223</v>
      </c>
      <c r="BO24" s="83">
        <f>ROUND((((AW24*AZ24)+(BN24*BM24))/(AW24+BN24)),5)</f>
        <v>215.1078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968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68.59</v>
      </c>
      <c r="S25" s="77">
        <f>SUM(S23:S24)</f>
        <v>899.41</v>
      </c>
      <c r="T25" s="71"/>
      <c r="U25" s="71"/>
      <c r="V25" s="78">
        <f>SUM(V23:V24)</f>
        <v>80.949999999999989</v>
      </c>
      <c r="W25" s="78">
        <f>SUM(W23:W24)</f>
        <v>80.949999999999989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161.89999999999998</v>
      </c>
      <c r="AC25" s="80">
        <f>SUM(AC23:AC24)</f>
        <v>983.86999999999989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899.41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R25"/>
  <sheetViews>
    <sheetView topLeftCell="D13" workbookViewId="0">
      <selection activeCell="M21" sqref="M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75.69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69">
        <f>IF($C21=3,0,ROUND(S23*Z23,2))</f>
        <v>0</v>
      </c>
      <c r="AB23" s="69">
        <f>V23+W23+X23+Y23+AA23</f>
        <v>0</v>
      </c>
      <c r="AC23" s="69">
        <f>IF($V21=1,S23+AB23,S23)</f>
        <v>469.2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35513.748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17756.874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17756.874</v>
      </c>
      <c r="AS23" s="83" t="s">
        <v>222</v>
      </c>
      <c r="AT23" s="83" t="s">
        <v>58</v>
      </c>
      <c r="AU23" t="s">
        <v>223</v>
      </c>
      <c r="AV23" t="s">
        <v>305</v>
      </c>
      <c r="AW23" s="83">
        <f>AM23</f>
        <v>2</v>
      </c>
      <c r="AX23" s="83">
        <f>AR23</f>
        <v>17756.874</v>
      </c>
      <c r="AY23" s="83">
        <f>AU23+AW23</f>
        <v>4</v>
      </c>
      <c r="AZ23" s="83">
        <f>ROUND(((AU23*AV23)+(AW23*AX23))/(AU23+AW23),5)</f>
        <v>9003.0645000000004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306</v>
      </c>
      <c r="BN23" t="s">
        <v>307</v>
      </c>
      <c r="BO23" s="83">
        <f>ROUND((((AW23*AZ23)+(BN23*BM23))/(AW23+BN23)),5)</f>
        <v>3121.1477500000001</v>
      </c>
      <c r="BP23" s="87">
        <f>BN23+AW23</f>
        <v>20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0</v>
      </c>
      <c r="AC24" s="80">
        <f>SUM(AC23:AC23)</f>
        <v>469.2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35513.748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BR26"/>
  <sheetViews>
    <sheetView topLeftCell="A19" workbookViewId="0">
      <selection activeCell="C32" sqref="C32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250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308</v>
      </c>
      <c r="H23" s="69">
        <f>F23*G23</f>
        <v>200</v>
      </c>
      <c r="I23" t="s">
        <v>223</v>
      </c>
      <c r="J23" s="69">
        <v>1.79</v>
      </c>
      <c r="K23" s="69">
        <v>2.5</v>
      </c>
      <c r="L23" s="69">
        <f>H23</f>
        <v>200</v>
      </c>
      <c r="M23" s="69">
        <f>ROUND(L23*I23%,2)</f>
        <v>4</v>
      </c>
      <c r="N23" s="69">
        <f>H23-M23</f>
        <v>196</v>
      </c>
      <c r="O23" s="69">
        <f>ROUND(N23*J23%,2)</f>
        <v>3.51</v>
      </c>
      <c r="P23" s="69">
        <f>ROUND(N23-O23,2)</f>
        <v>192.49</v>
      </c>
      <c r="Q23" s="69">
        <f>ROUND(P23*K23%,2)</f>
        <v>4.8099999999999996</v>
      </c>
      <c r="R23" s="69">
        <f>M23+O23+Q23</f>
        <v>12.32</v>
      </c>
      <c r="S23" s="69">
        <f>(H23-R23)</f>
        <v>187.68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33.78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33.78</v>
      </c>
      <c r="AC23" s="69">
        <f>IF($V21=1,S23+AB23,S23)</f>
        <v>221.46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187.68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93.84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93.84</v>
      </c>
      <c r="AS23" s="83" t="s">
        <v>309</v>
      </c>
      <c r="AT23" s="83" t="s">
        <v>58</v>
      </c>
      <c r="AU23" t="s">
        <v>223</v>
      </c>
      <c r="AV23" t="s">
        <v>310</v>
      </c>
      <c r="AW23" s="83">
        <f>AM23</f>
        <v>2</v>
      </c>
      <c r="AX23" s="83">
        <f>AR23</f>
        <v>93.84</v>
      </c>
      <c r="AY23" s="83">
        <f>AU23+AW23</f>
        <v>4</v>
      </c>
      <c r="AZ23" s="83">
        <f>ROUND(((AU23*AV23)+(AW23*AX23))/(AU23+AW23),5)</f>
        <v>93.84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310</v>
      </c>
      <c r="BN23" t="s">
        <v>301</v>
      </c>
      <c r="BO23" s="83">
        <f>ROUND((((AW23*AZ23)+(BN23*BM23))/(AW23+BN23)),5)</f>
        <v>93.84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253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234</v>
      </c>
      <c r="H24" s="69">
        <f>F24*G24</f>
        <v>400</v>
      </c>
      <c r="I24" t="s">
        <v>223</v>
      </c>
      <c r="J24" s="69">
        <v>1.79</v>
      </c>
      <c r="K24" s="69">
        <v>2.5</v>
      </c>
      <c r="L24" s="69">
        <f>H24</f>
        <v>400</v>
      </c>
      <c r="M24" s="69">
        <f>ROUND(L24*I24%,2)</f>
        <v>8</v>
      </c>
      <c r="N24" s="69">
        <f>H24-M24</f>
        <v>392</v>
      </c>
      <c r="O24" s="69">
        <f>ROUND(N24*J24%,2)</f>
        <v>7.02</v>
      </c>
      <c r="P24" s="69">
        <f>ROUND(N24-O24,2)</f>
        <v>384.98</v>
      </c>
      <c r="Q24" s="69">
        <f>ROUND(P24*K24%,2)</f>
        <v>9.6199999999999992</v>
      </c>
      <c r="R24" s="69">
        <f>M24+O24+Q24</f>
        <v>24.64</v>
      </c>
      <c r="S24" s="69">
        <f>(H24-R24)</f>
        <v>375.36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67.56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67.56</v>
      </c>
      <c r="AC24" s="69">
        <f>IF($V22=1,S24+AB24,S24)</f>
        <v>375.36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375.36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187.68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187.68</v>
      </c>
      <c r="AS24" s="83" t="s">
        <v>309</v>
      </c>
      <c r="AT24" s="83" t="s">
        <v>58</v>
      </c>
      <c r="AU24" t="s">
        <v>301</v>
      </c>
      <c r="AV24" t="s">
        <v>312</v>
      </c>
      <c r="AW24" s="83">
        <f>AM24</f>
        <v>2</v>
      </c>
      <c r="AX24" s="83">
        <f>AR24</f>
        <v>187.68</v>
      </c>
      <c r="AY24" s="83">
        <f>AU24+AW24</f>
        <v>6</v>
      </c>
      <c r="AZ24" s="83">
        <f>ROUND(((AU24*AV24)+(AW24*AX24))/(AU24+AW24),5)</f>
        <v>187.68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312</v>
      </c>
      <c r="BN24" t="s">
        <v>223</v>
      </c>
      <c r="BO24" s="83">
        <f>ROUND((((AW24*AZ24)+(BN24*BM24))/(AW24+BN24)),5)</f>
        <v>187.68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36.96</v>
      </c>
      <c r="S25" s="77">
        <f>SUM(S23:S24)</f>
        <v>563.04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101.34</v>
      </c>
      <c r="Y25" s="78">
        <f>SUM(Y23:Y24)</f>
        <v>0</v>
      </c>
      <c r="Z25" s="78"/>
      <c r="AA25" s="78">
        <f>SUM(AA23:AA24)</f>
        <v>0</v>
      </c>
      <c r="AB25" s="71">
        <f>SUM(AB23:AB24)</f>
        <v>101.34</v>
      </c>
      <c r="AC25" s="80">
        <f>SUM(AC23:AC24)</f>
        <v>596.82000000000005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563.04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dimension ref="A1:BR26"/>
  <sheetViews>
    <sheetView topLeftCell="AJ16" workbookViewId="0">
      <selection activeCell="AR24" sqref="AR24"/>
    </sheetView>
  </sheetViews>
  <sheetFormatPr defaultColWidth="9" defaultRowHeight="15"/>
  <cols>
    <col min="2" max="2" width="31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297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313</v>
      </c>
      <c r="J23" s="69">
        <v>1.79</v>
      </c>
      <c r="K23" s="69">
        <v>2.5</v>
      </c>
      <c r="L23" s="69">
        <f>H23</f>
        <v>2460</v>
      </c>
      <c r="M23" s="69">
        <f>ROUND(L23*I23%,2)</f>
        <v>51.66</v>
      </c>
      <c r="N23" s="69">
        <f>H23-M23</f>
        <v>2408.34</v>
      </c>
      <c r="O23" s="69">
        <f>ROUND(N23*J23%,2)</f>
        <v>43.11</v>
      </c>
      <c r="P23" s="69">
        <f>ROUND(N23-O23,2)</f>
        <v>2365.23</v>
      </c>
      <c r="Q23" s="69">
        <f>ROUND(P23*K23%,2)</f>
        <v>59.13</v>
      </c>
      <c r="R23" s="69">
        <f>M23+O23+Q23</f>
        <v>153.9</v>
      </c>
      <c r="S23" s="69">
        <f>(H23-R23)</f>
        <v>2306.1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415.1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415.1</v>
      </c>
      <c r="AC23" s="69">
        <f>IF($V21=1,S23+AB23,S23)</f>
        <v>2721.2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2306.1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1153.05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1153.05</v>
      </c>
      <c r="AS23" s="83" t="s">
        <v>309</v>
      </c>
      <c r="AT23" s="83" t="s">
        <v>58</v>
      </c>
      <c r="AW23" s="83">
        <f>AM23</f>
        <v>2</v>
      </c>
      <c r="AX23" s="83">
        <f>AR23</f>
        <v>1153.05</v>
      </c>
      <c r="AY23" s="83">
        <f>AU23+AW23</f>
        <v>2</v>
      </c>
      <c r="AZ23" s="83">
        <f>ROUND(((AU23*AV23)+(AW23*AX23))/(AU23+AW23),5)</f>
        <v>1153.05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239</v>
      </c>
      <c r="BN23" t="s">
        <v>239</v>
      </c>
      <c r="BO23" s="83">
        <f>ROUND((((AW23*AZ23)+(BN23*BM23))/(AW23+BN23)),5)</f>
        <v>1153.05</v>
      </c>
      <c r="BP23" s="87">
        <f>BN23+AW23</f>
        <v>2</v>
      </c>
      <c r="BQ23" s="88">
        <v>88363222</v>
      </c>
      <c r="BR23" s="87"/>
    </row>
    <row r="24" spans="1:70">
      <c r="A24" s="68">
        <v>2</v>
      </c>
      <c r="B24" s="68" t="s">
        <v>299</v>
      </c>
      <c r="C24" s="68" t="s">
        <v>57</v>
      </c>
      <c r="D24" s="68" t="s">
        <v>58</v>
      </c>
      <c r="E24" s="68" t="s">
        <v>58</v>
      </c>
      <c r="F24" s="69">
        <v>2</v>
      </c>
      <c r="G24">
        <v>1243</v>
      </c>
      <c r="H24" s="69">
        <f>F24*G24</f>
        <v>2486</v>
      </c>
      <c r="I24">
        <v>2</v>
      </c>
      <c r="J24" s="69">
        <v>1.79</v>
      </c>
      <c r="K24" s="69">
        <v>2.5</v>
      </c>
      <c r="L24" s="69">
        <f>H24</f>
        <v>2486</v>
      </c>
      <c r="M24" s="69">
        <f>ROUND(L24*I24%,2)</f>
        <v>49.72</v>
      </c>
      <c r="N24" s="69">
        <f>H24-M24</f>
        <v>2436.2800000000002</v>
      </c>
      <c r="O24" s="69">
        <f>ROUND(N24*J24%,2)</f>
        <v>43.61</v>
      </c>
      <c r="P24" s="69">
        <f>ROUND(N24-O24,2)</f>
        <v>2392.67</v>
      </c>
      <c r="Q24" s="69">
        <f>ROUND(P24*K24%,2)</f>
        <v>59.82</v>
      </c>
      <c r="R24" s="69">
        <f>M24+O24+Q24</f>
        <v>153.15</v>
      </c>
      <c r="S24" s="69">
        <f>(H24-R24)</f>
        <v>2332.85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419.91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419.91</v>
      </c>
      <c r="AC24" s="69">
        <f>IF($V22=1,S24+AB24,S24)</f>
        <v>2332.85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2332.85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1166.425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1166.425</v>
      </c>
      <c r="AS24" s="83" t="s">
        <v>309</v>
      </c>
      <c r="AT24" s="83" t="s">
        <v>58</v>
      </c>
      <c r="AW24" s="83">
        <f>AM24</f>
        <v>2</v>
      </c>
      <c r="AX24" s="83">
        <f>AR24</f>
        <v>1166.425</v>
      </c>
      <c r="AY24" s="83">
        <f>AU24+AW24</f>
        <v>2</v>
      </c>
      <c r="AZ24" s="83">
        <f>ROUND(((AU24*AV24)+(AW24*AX24))/(AU24+AW24),5)</f>
        <v>1166.425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1166.425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4946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307.05</v>
      </c>
      <c r="S25" s="77">
        <f>SUM(S23:S24)</f>
        <v>4638.95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835.01</v>
      </c>
      <c r="Y25" s="78">
        <f>SUM(Y23:Y24)</f>
        <v>0</v>
      </c>
      <c r="Z25" s="78"/>
      <c r="AA25" s="78">
        <f>SUM(AA23:AA24)</f>
        <v>0</v>
      </c>
      <c r="AB25" s="71">
        <f>SUM(AB23:AB24)</f>
        <v>835.01</v>
      </c>
      <c r="AC25" s="80">
        <f>SUM(AC23:AC24)</f>
        <v>5054.0499999999993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4638.95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40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233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BR25"/>
  <sheetViews>
    <sheetView topLeftCell="BG13" workbookViewId="0">
      <selection activeCell="BQ23" sqref="BQ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221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251</v>
      </c>
      <c r="H23" s="69">
        <f>F23*G23</f>
        <v>910</v>
      </c>
      <c r="I23">
        <v>2</v>
      </c>
      <c r="J23" s="69">
        <v>2</v>
      </c>
      <c r="K23" s="69">
        <v>3</v>
      </c>
      <c r="L23" s="69">
        <f>H23</f>
        <v>910</v>
      </c>
      <c r="M23" s="69">
        <f>ROUND(L23*I23%,2)</f>
        <v>18.2</v>
      </c>
      <c r="N23" s="69">
        <f>H23-M23</f>
        <v>891.8</v>
      </c>
      <c r="O23" s="69">
        <f>ROUND(N23*J23%,2)</f>
        <v>17.84</v>
      </c>
      <c r="P23" s="69">
        <f>ROUND(N23-O23,2)</f>
        <v>873.96</v>
      </c>
      <c r="Q23" s="69">
        <f>ROUND(P23*K23%,2)</f>
        <v>26.22</v>
      </c>
      <c r="R23" s="69">
        <f>M23+O23+Q23</f>
        <v>62.26</v>
      </c>
      <c r="S23" s="69">
        <f>(H23-R23)</f>
        <v>847.74</v>
      </c>
      <c r="T23" s="69" t="s">
        <v>146</v>
      </c>
      <c r="U23" s="69">
        <v>0.18</v>
      </c>
      <c r="V23" s="69">
        <f>IF(OR($C$21=1,$C$21=4),ROUND(((S23*U23)/2),2),0)</f>
        <v>76.3</v>
      </c>
      <c r="W23" s="69">
        <f>IF($C$21=1,ROUND(((S23*U23)/2),2),0)</f>
        <v>76.3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152.6</v>
      </c>
      <c r="AC23" s="69">
        <f>IF($V21=1,S23+AB23,S23)</f>
        <v>1000.34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847.74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423.87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423.87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423.87</v>
      </c>
      <c r="AY23" s="83">
        <f>AU23+AW23</f>
        <v>4</v>
      </c>
      <c r="AZ23" s="83">
        <f>ROUND(((AU23*AV23)+(AW23*AX23))/(AU23+AW23),5)</f>
        <v>377.42813000000001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277.52168</v>
      </c>
      <c r="BP23" s="87">
        <f>BN23+AW23</f>
        <v>26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910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62.26</v>
      </c>
      <c r="S24" s="77">
        <f>SUM(S23:S23)</f>
        <v>847.74</v>
      </c>
      <c r="T24" s="71"/>
      <c r="U24" s="71"/>
      <c r="V24" s="78">
        <f>SUM(V23:V23)</f>
        <v>76.3</v>
      </c>
      <c r="W24" s="78">
        <f>SUM(W23:W23)</f>
        <v>76.3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152.6</v>
      </c>
      <c r="AC24" s="80">
        <f>SUM(AC23:AC23)</f>
        <v>1000.34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847.74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C31" sqref="C31"/>
    </sheetView>
  </sheetViews>
  <sheetFormatPr defaultColWidth="9" defaultRowHeight="15"/>
  <cols>
    <col min="2" max="2" width="34.57031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257</v>
      </c>
      <c r="C23" s="68" t="s">
        <v>257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239</v>
      </c>
      <c r="AV23" t="s">
        <v>312</v>
      </c>
      <c r="AW23" s="83">
        <f>AM23</f>
        <v>2</v>
      </c>
      <c r="AX23" s="83">
        <f>AR23</f>
        <v>187.68</v>
      </c>
      <c r="AY23" s="83">
        <f>AU23+AW23</f>
        <v>2</v>
      </c>
      <c r="AZ23" s="83">
        <f>ROUND(((AU23*AV23)+(AW23*AX23))/(AU23+AW23),5)</f>
        <v>187.68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316</v>
      </c>
      <c r="BN23" t="s">
        <v>317</v>
      </c>
      <c r="BO23" s="83">
        <f>ROUND((((AW23*AZ23)+(BN23*BM23))/(AW23+BN23)),5)</f>
        <v>186.91705999999999</v>
      </c>
      <c r="BP23" s="87">
        <f>BN23+AW23</f>
        <v>82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23" sqref="A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244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229</v>
      </c>
      <c r="AT23" s="83" t="s">
        <v>58</v>
      </c>
      <c r="AU23" t="s">
        <v>239</v>
      </c>
      <c r="AV23" t="s">
        <v>245</v>
      </c>
      <c r="AW23" s="83">
        <f>AM23</f>
        <v>2</v>
      </c>
      <c r="AX23" s="83">
        <f>AR23</f>
        <v>188.24</v>
      </c>
      <c r="AY23" s="83">
        <f>AU23+AW23</f>
        <v>2</v>
      </c>
      <c r="AZ23" s="83">
        <f>ROUND(((AU23*AV23)+(AW23*AX23))/(AU23+AW23),5)</f>
        <v>188.24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245</v>
      </c>
      <c r="BN23" t="s">
        <v>301</v>
      </c>
      <c r="BO23" s="83">
        <f>ROUND((((AW23*AZ23)+(BN23*BM23))/(AW23+BN23)),5)</f>
        <v>186.96</v>
      </c>
      <c r="BP23" s="87">
        <f>BN23+AW23</f>
        <v>6</v>
      </c>
      <c r="BQ23" s="88">
        <v>88363222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dimension ref="A1:BR25"/>
  <sheetViews>
    <sheetView topLeftCell="BK16" workbookViewId="0">
      <selection activeCell="BQ23" sqref="BQ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2</v>
      </c>
      <c r="K23" s="69">
        <v>2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7.84</v>
      </c>
      <c r="P23" s="69">
        <f>ROUND(N23-O23,2)</f>
        <v>384.16</v>
      </c>
      <c r="Q23" s="69">
        <f>ROUND(P23*K23%,2)</f>
        <v>7.68</v>
      </c>
      <c r="R23" s="69">
        <f>M23+O23+Q23</f>
        <v>23.52</v>
      </c>
      <c r="S23" s="69">
        <f>(H23-R23)</f>
        <v>376.48</v>
      </c>
      <c r="T23" s="69" t="s">
        <v>146</v>
      </c>
      <c r="U23" s="69">
        <v>0.18</v>
      </c>
      <c r="V23" s="69">
        <f>IF(OR($C$21=1,$C$21=4),ROUND(((S23*U23)/2),2),0)</f>
        <v>33.880000000000003</v>
      </c>
      <c r="W23" s="69">
        <f>IF($C$21=1,ROUND(((S23*U23)/2),2),0)</f>
        <v>33.880000000000003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67.760000000000005</v>
      </c>
      <c r="AC23" s="69">
        <f>IF($V21=1,S23+AB23,S23)</f>
        <v>444.24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376.48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188.24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188.24</v>
      </c>
      <c r="AS23" s="83" t="s">
        <v>222</v>
      </c>
      <c r="AT23" s="83" t="s">
        <v>58</v>
      </c>
      <c r="AU23" t="s">
        <v>319</v>
      </c>
      <c r="AV23" t="s">
        <v>320</v>
      </c>
      <c r="AW23" s="83">
        <f>AM23</f>
        <v>2</v>
      </c>
      <c r="AX23" s="83">
        <f>AR23</f>
        <v>188.24</v>
      </c>
      <c r="AY23" s="83">
        <f>AU23+AW23</f>
        <v>18</v>
      </c>
      <c r="AZ23" s="83">
        <f>ROUND(((AU23*AV23)+(AW23*AX23))/(AU23+AW23),5)</f>
        <v>186.08428000000001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321</v>
      </c>
      <c r="BN23" t="s">
        <v>307</v>
      </c>
      <c r="BO23" s="83">
        <f>ROUND((((AW23*AZ23)+(BN23*BM23))/(AW23+BN23)),5)</f>
        <v>184.80457999999999</v>
      </c>
      <c r="BP23" s="87">
        <f>BN23+AW23</f>
        <v>20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23.52</v>
      </c>
      <c r="S24" s="77">
        <f>SUM(S23:S23)</f>
        <v>376.48</v>
      </c>
      <c r="T24" s="71"/>
      <c r="U24" s="71"/>
      <c r="V24" s="78">
        <f>SUM(V23:V23)</f>
        <v>33.880000000000003</v>
      </c>
      <c r="W24" s="78">
        <f>SUM(W23:W23)</f>
        <v>33.880000000000003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67.760000000000005</v>
      </c>
      <c r="AC24" s="80">
        <f>SUM(AC23:AC23)</f>
        <v>444.24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376.48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A34" sqref="A3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322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232</v>
      </c>
      <c r="H23" s="69">
        <f>F23*G23</f>
        <v>500</v>
      </c>
      <c r="I23" t="s">
        <v>223</v>
      </c>
      <c r="J23" s="69">
        <v>1.79</v>
      </c>
      <c r="K23" s="69">
        <v>2.5</v>
      </c>
      <c r="L23" s="69">
        <f>H23</f>
        <v>500</v>
      </c>
      <c r="M23" s="69">
        <f>ROUND(L23*I23%,2)</f>
        <v>10</v>
      </c>
      <c r="N23" s="69">
        <f>H23-M23</f>
        <v>490</v>
      </c>
      <c r="O23" s="69">
        <f>ROUND(N23*J23%,2)</f>
        <v>8.77</v>
      </c>
      <c r="P23" s="69">
        <f>ROUND(N23-O23,2)</f>
        <v>481.23</v>
      </c>
      <c r="Q23" s="69">
        <f>ROUND(P23*K23%,2)</f>
        <v>12.03</v>
      </c>
      <c r="R23" s="69">
        <f>M23+O23+Q23</f>
        <v>30.799999999999997</v>
      </c>
      <c r="S23" s="69">
        <f>(H23-R23)</f>
        <v>469.2</v>
      </c>
      <c r="T23" s="69" t="s">
        <v>146</v>
      </c>
      <c r="U23" s="69">
        <v>0.18</v>
      </c>
      <c r="V23" s="69">
        <f>IF(OR($C$21=1,$C$21=4),ROUND(((S23*U23)/2),2),0)</f>
        <v>42.23</v>
      </c>
      <c r="W23" s="69">
        <f>IF($C$21=1,ROUND(((S23*U23)/2),2),0)</f>
        <v>42.23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84.46</v>
      </c>
      <c r="AC23" s="69">
        <f>IF($V21=1,S23+AB23,S23)</f>
        <v>553.66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469.2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234.6</v>
      </c>
      <c r="AS23" s="83" t="s">
        <v>222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234.6</v>
      </c>
      <c r="AY23" s="83">
        <f>AU23+AW23</f>
        <v>4</v>
      </c>
      <c r="AZ23" s="83">
        <f>ROUND(((AU23*AV23)+(AW23*AX23))/(AU23+AW23),5)</f>
        <v>282.79313000000002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315</v>
      </c>
      <c r="BN23" t="s">
        <v>242</v>
      </c>
      <c r="BO23" s="83">
        <f>ROUND((((AW23*AZ23)+(BN23*BM23))/(AW23+BN23)),5)</f>
        <v>270.24205999999998</v>
      </c>
      <c r="BP23" s="87">
        <f>BN23+AW23</f>
        <v>26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30.799999999999997</v>
      </c>
      <c r="S24" s="77">
        <f>SUM(S23:S23)</f>
        <v>469.2</v>
      </c>
      <c r="T24" s="71"/>
      <c r="U24" s="71"/>
      <c r="V24" s="78">
        <f>SUM(V23:V23)</f>
        <v>42.23</v>
      </c>
      <c r="W24" s="78">
        <f>SUM(W23:W23)</f>
        <v>42.23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84.46</v>
      </c>
      <c r="AC24" s="80">
        <f>SUM(AC23:AC23)</f>
        <v>553.66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469.2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R26"/>
  <sheetViews>
    <sheetView topLeftCell="E16" workbookViewId="0">
      <selection activeCell="L30" sqref="L30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263</v>
      </c>
      <c r="J23" s="69">
        <v>1.79</v>
      </c>
      <c r="K23" s="69">
        <v>2.5</v>
      </c>
      <c r="L23" s="69">
        <f>H23</f>
        <v>800</v>
      </c>
      <c r="M23" s="69">
        <f>ROUND(L23*I23%,2)</f>
        <v>24</v>
      </c>
      <c r="N23" s="69">
        <f>H23-M23</f>
        <v>776</v>
      </c>
      <c r="O23" s="69">
        <f>ROUND(N23*J23%,2)</f>
        <v>13.89</v>
      </c>
      <c r="P23" s="69">
        <f>ROUND(N23-O23,2)</f>
        <v>762.11</v>
      </c>
      <c r="Q23" s="69">
        <f>ROUND(P23*K23%,2)</f>
        <v>19.05</v>
      </c>
      <c r="R23" s="69">
        <f>M23+O23+Q23</f>
        <v>56.94</v>
      </c>
      <c r="S23" s="69">
        <f>(H23-R23)</f>
        <v>743.06</v>
      </c>
      <c r="T23" s="69" t="s">
        <v>146</v>
      </c>
      <c r="U23" s="69">
        <v>0.18</v>
      </c>
      <c r="V23" s="69">
        <f>IF(OR($C$21=1,$C$21=4),ROUND(((S23*U23)/2),2),0)</f>
        <v>66.88</v>
      </c>
      <c r="W23" s="69">
        <f>IF($C$21=1,ROUND(((S23*U23)/2),2),0)</f>
        <v>66.88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133.76</v>
      </c>
      <c r="AC23" s="69">
        <f>IF($V21=1,S23+AB23,S23)</f>
        <v>876.81999999999994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743.06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371.53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371.53</v>
      </c>
      <c r="AS23" s="83" t="s">
        <v>229</v>
      </c>
      <c r="AT23" s="83" t="s">
        <v>58</v>
      </c>
      <c r="AU23" t="s">
        <v>266</v>
      </c>
      <c r="AV23" t="s">
        <v>324</v>
      </c>
      <c r="AW23" s="83">
        <f>AM23</f>
        <v>2</v>
      </c>
      <c r="AX23" s="83">
        <f>AR23</f>
        <v>371.53</v>
      </c>
      <c r="AY23" s="83">
        <f>AU23+AW23</f>
        <v>14</v>
      </c>
      <c r="AZ23" s="83">
        <f>ROUND(((AU23*AV23)+(AW23*AX23))/(AU23+AW23),5)</f>
        <v>361.87054999999998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325</v>
      </c>
      <c r="BN23" t="s">
        <v>307</v>
      </c>
      <c r="BO23" s="83">
        <f>ROUND((((AW23*AZ23)+(BN23*BM23))/(AW23+BN23)),5)</f>
        <v>341.64568000000003</v>
      </c>
      <c r="BP23" s="87">
        <f>BN23+AW23</f>
        <v>20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228</v>
      </c>
      <c r="H24" s="69">
        <f>F24*G24</f>
        <v>800</v>
      </c>
      <c r="I24" t="s">
        <v>301</v>
      </c>
      <c r="J24" s="69">
        <v>1.79</v>
      </c>
      <c r="K24" s="69">
        <v>2.5</v>
      </c>
      <c r="L24" s="69">
        <f>H24</f>
        <v>800</v>
      </c>
      <c r="M24" s="69">
        <f>ROUND(L24*I24%,2)</f>
        <v>32</v>
      </c>
      <c r="N24" s="69">
        <f>H24-M24</f>
        <v>768</v>
      </c>
      <c r="O24" s="69">
        <f>ROUND(N24*J24%,2)</f>
        <v>13.75</v>
      </c>
      <c r="P24" s="69">
        <f>ROUND(N24-O24,2)</f>
        <v>754.25</v>
      </c>
      <c r="Q24" s="69">
        <f>ROUND(P24*K24%,2)</f>
        <v>18.86</v>
      </c>
      <c r="R24" s="69">
        <f>M24+O24+Q24</f>
        <v>64.61</v>
      </c>
      <c r="S24" s="69">
        <f>(H24-R24)</f>
        <v>735.39</v>
      </c>
      <c r="T24" s="69" t="s">
        <v>146</v>
      </c>
      <c r="U24" s="69">
        <v>0.18</v>
      </c>
      <c r="V24" s="69">
        <f>IF(OR($C$21=1,$C$21=4),ROUND(((S24*U24)/2),2),0)</f>
        <v>66.19</v>
      </c>
      <c r="W24" s="69">
        <f>IF($C$21=1,ROUND(((S24*U24)/2),2),0)</f>
        <v>66.19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132.38</v>
      </c>
      <c r="AC24" s="69">
        <f>IF($V22=1,S24+AB24,S24)</f>
        <v>735.39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735.39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367.69499999999999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367.69499999999999</v>
      </c>
      <c r="AS24" s="83" t="s">
        <v>229</v>
      </c>
      <c r="AT24" s="83" t="s">
        <v>58</v>
      </c>
      <c r="AU24" t="s">
        <v>301</v>
      </c>
      <c r="AV24" t="s">
        <v>327</v>
      </c>
      <c r="AW24" s="83">
        <f>AM24</f>
        <v>2</v>
      </c>
      <c r="AX24" s="83">
        <f>AR24</f>
        <v>367.69499999999999</v>
      </c>
      <c r="AY24" s="83">
        <f>AU24+AW24</f>
        <v>6</v>
      </c>
      <c r="AZ24" s="83">
        <f>ROUND(((AU24*AV24)+(AW24*AX24))/(AU24+AW24),5)</f>
        <v>367.69499999999999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327</v>
      </c>
      <c r="BN24" t="s">
        <v>307</v>
      </c>
      <c r="BO24" s="83">
        <f>ROUND((((AW24*AZ24)+(BN24*BM24))/(AW24+BN24)),5)</f>
        <v>367.69499999999999</v>
      </c>
      <c r="BP24" s="87">
        <f>BN24+AW24</f>
        <v>20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121.55</v>
      </c>
      <c r="S25" s="77">
        <f>SUM(S23:S24)</f>
        <v>1478.4499999999998</v>
      </c>
      <c r="T25" s="71"/>
      <c r="U25" s="71"/>
      <c r="V25" s="78">
        <f>SUM(V23:V24)</f>
        <v>133.07</v>
      </c>
      <c r="W25" s="78">
        <f>SUM(W23:W24)</f>
        <v>133.07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266.14</v>
      </c>
      <c r="AC25" s="80">
        <f>SUM(AC23:AC24)</f>
        <v>1612.21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1478.4499999999998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332</v>
      </c>
      <c r="BN23" t="s">
        <v>226</v>
      </c>
      <c r="BO23" s="83">
        <f>ROUND((((AW23*AZ23)+(BN23*BM23))/(AW23+BN23)),5)</f>
        <v>855.44667000000004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333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335</v>
      </c>
      <c r="BN24" t="s">
        <v>266</v>
      </c>
      <c r="BO24" s="83">
        <f>ROUND((((AW24*AZ24)+(BN24*BM24))/(AW24+BN24)),5)</f>
        <v>189.89286000000001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R26"/>
  <sheetViews>
    <sheetView topLeftCell="A16" zoomScale="115" zoomScaleNormal="115" workbookViewId="0">
      <selection activeCell="B24" sqref="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69" max="69" width="10.1406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546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209.88</v>
      </c>
      <c r="W23" s="69">
        <f>IF($C$21=1,ROUND(((S23*U23)/2),2),0)</f>
        <v>209.88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229</v>
      </c>
      <c r="AT23" s="83" t="s">
        <v>58</v>
      </c>
      <c r="AU23" t="s">
        <v>239</v>
      </c>
      <c r="AV23" t="s">
        <v>336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336</v>
      </c>
      <c r="BN23" t="s">
        <v>337</v>
      </c>
      <c r="BO23" s="83">
        <f>ROUND((((AW23*AZ23)+(BN23*BM23))/(AW23+BN23)),5)</f>
        <v>567.67899999999997</v>
      </c>
      <c r="BP23" s="87">
        <f>BN23+AW23</f>
        <v>10</v>
      </c>
      <c r="BQ23" s="88">
        <v>88363222</v>
      </c>
      <c r="BR23" s="87"/>
    </row>
    <row r="24" spans="1:70">
      <c r="A24" s="68">
        <v>2</v>
      </c>
      <c r="B24" s="68" t="s">
        <v>547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43.17</v>
      </c>
      <c r="W24" s="69">
        <f>IF($C$21=1,ROUND(((S24*U24)/2),2),0)</f>
        <v>43.17</v>
      </c>
      <c r="X24" s="69">
        <f>IF($C$21=2,ROUND(((S24*U24)),2),0)</f>
        <v>0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229</v>
      </c>
      <c r="AT24" s="83" t="s">
        <v>58</v>
      </c>
      <c r="AU24" t="s">
        <v>239</v>
      </c>
      <c r="AV24" t="s">
        <v>338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230</v>
      </c>
      <c r="BM24" t="s">
        <v>338</v>
      </c>
      <c r="BN24" t="s">
        <v>226</v>
      </c>
      <c r="BO24" s="83">
        <f>ROUND((((AW24*AZ24)+(BN24*BM24))/(AW24+BN24)),5)</f>
        <v>305.25749999999999</v>
      </c>
      <c r="BP24" s="87">
        <f>BN24+AW24</f>
        <v>12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253.05</v>
      </c>
      <c r="W25" s="78">
        <f>SUM(W23:W24)</f>
        <v>253.05</v>
      </c>
      <c r="X25" s="78">
        <f>SUM(X23:X24)</f>
        <v>0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B23" sqref="B23:B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339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223</v>
      </c>
      <c r="J23" s="69">
        <v>1.79</v>
      </c>
      <c r="K23" s="69">
        <v>2.5</v>
      </c>
      <c r="L23" s="69">
        <f>H23</f>
        <v>488</v>
      </c>
      <c r="M23" s="69">
        <f>ROUND(L23*I23%,2)</f>
        <v>9.76</v>
      </c>
      <c r="N23" s="69">
        <f>H23-M23</f>
        <v>478.24</v>
      </c>
      <c r="O23" s="69">
        <f>ROUND(N23*J23%,2)</f>
        <v>8.56</v>
      </c>
      <c r="P23" s="69">
        <f>ROUND(N23-O23,2)</f>
        <v>469.68</v>
      </c>
      <c r="Q23" s="69">
        <f>ROUND(P23*K23%,2)</f>
        <v>11.74</v>
      </c>
      <c r="R23" s="69">
        <f>M23+O23+Q23</f>
        <v>30.060000000000002</v>
      </c>
      <c r="S23" s="69">
        <f>(H23-R23)</f>
        <v>457.94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82.43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82.43</v>
      </c>
      <c r="AC23" s="69">
        <f>IF($V21=1,S23+AB23,S23)</f>
        <v>540.37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457.94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228.97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228.97</v>
      </c>
      <c r="AS23" s="83" t="s">
        <v>329</v>
      </c>
      <c r="AT23" s="83" t="s">
        <v>58</v>
      </c>
      <c r="AU23" t="s">
        <v>239</v>
      </c>
      <c r="AV23" t="s">
        <v>341</v>
      </c>
      <c r="AW23" s="83">
        <f>AM23</f>
        <v>2</v>
      </c>
      <c r="AX23" s="83">
        <f>AR23</f>
        <v>228.97</v>
      </c>
      <c r="AY23" s="83">
        <f>AU23+AW23</f>
        <v>2</v>
      </c>
      <c r="AZ23" s="83">
        <f>ROUND(((AU23*AV23)+(AW23*AX23))/(AU23+AW23),5)</f>
        <v>228.97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341</v>
      </c>
      <c r="BN23" t="s">
        <v>226</v>
      </c>
      <c r="BO23" s="83">
        <f>ROUND((((AW23*AZ23)+(BN23*BM23))/(AW23+BN23)),5)</f>
        <v>228.97</v>
      </c>
      <c r="BP23" s="87">
        <f>BN23+AW23</f>
        <v>12</v>
      </c>
      <c r="BQ23" s="88">
        <v>123562</v>
      </c>
      <c r="BR23" s="87"/>
    </row>
    <row r="24" spans="1:70">
      <c r="A24" s="68">
        <v>2</v>
      </c>
      <c r="B24" s="68" t="s">
        <v>342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343</v>
      </c>
      <c r="H24" s="69">
        <f>F24*G24</f>
        <v>688</v>
      </c>
      <c r="I24" t="s">
        <v>263</v>
      </c>
      <c r="J24" s="69">
        <v>1.79</v>
      </c>
      <c r="K24" s="69">
        <v>2.5</v>
      </c>
      <c r="L24" s="69">
        <f>H24</f>
        <v>688</v>
      </c>
      <c r="M24" s="69">
        <f>ROUND(L24*I24%,2)</f>
        <v>20.64</v>
      </c>
      <c r="N24" s="69">
        <f>H24-M24</f>
        <v>667.36</v>
      </c>
      <c r="O24" s="69">
        <f>ROUND(N24*J24%,2)</f>
        <v>11.95</v>
      </c>
      <c r="P24" s="69">
        <f>ROUND(N24-O24,2)</f>
        <v>655.41</v>
      </c>
      <c r="Q24" s="69">
        <f>ROUND(P24*K24%,2)</f>
        <v>16.39</v>
      </c>
      <c r="R24" s="69">
        <f>M24+O24+Q24</f>
        <v>48.980000000000004</v>
      </c>
      <c r="S24" s="69">
        <f>(H24-R24)</f>
        <v>639.02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115.02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115.02</v>
      </c>
      <c r="AC24" s="69">
        <f>IF($V22=1,S24+AB24,S24)</f>
        <v>639.02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639.02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319.51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319.51</v>
      </c>
      <c r="AS24" s="83" t="s">
        <v>329</v>
      </c>
      <c r="AT24" s="83" t="s">
        <v>58</v>
      </c>
      <c r="AU24" t="s">
        <v>239</v>
      </c>
      <c r="AV24" t="s">
        <v>344</v>
      </c>
      <c r="AW24" s="83">
        <f>AM24</f>
        <v>2</v>
      </c>
      <c r="AX24" s="83">
        <f>AR24</f>
        <v>319.51</v>
      </c>
      <c r="AY24" s="83">
        <f>AU24+AW24</f>
        <v>2</v>
      </c>
      <c r="AZ24" s="83">
        <f>ROUND(((AU24*AV24)+(AW24*AX24))/(AU24+AW24),5)</f>
        <v>319.51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345</v>
      </c>
      <c r="BN24" t="s">
        <v>266</v>
      </c>
      <c r="BO24" s="83">
        <f>ROUND((((AW24*AZ24)+(BN24*BM24))/(AW24+BN24)),5)</f>
        <v>319.76857000000001</v>
      </c>
      <c r="BP24" s="87">
        <f>BN24+AW24</f>
        <v>14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1176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79.040000000000006</v>
      </c>
      <c r="S25" s="77">
        <f>SUM(S23:S24)</f>
        <v>1096.96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197.45</v>
      </c>
      <c r="Y25" s="78">
        <f>SUM(Y23:Y24)</f>
        <v>0</v>
      </c>
      <c r="Z25" s="78"/>
      <c r="AA25" s="78">
        <f>SUM(AA23:AA24)</f>
        <v>0</v>
      </c>
      <c r="AB25" s="71">
        <f>SUM(AB23:AB24)</f>
        <v>197.45</v>
      </c>
      <c r="AC25" s="80">
        <f>SUM(AC23:AC24)</f>
        <v>1179.3899999999999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1096.96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R25"/>
  <sheetViews>
    <sheetView topLeftCell="AW16" workbookViewId="0">
      <selection activeCell="BC23" sqref="BC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346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2332.0100000000002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347</v>
      </c>
      <c r="AT23" s="83" t="s">
        <v>58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1166.0050000000001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2460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127.99</v>
      </c>
      <c r="S24" s="77">
        <f>SUM(S23:S23)</f>
        <v>2332.0100000000002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419.76</v>
      </c>
      <c r="Y24" s="78">
        <f>SUM(Y23:Y23)</f>
        <v>0</v>
      </c>
      <c r="Z24" s="78"/>
      <c r="AA24" s="78">
        <f>SUM(AA23:AA23)</f>
        <v>0</v>
      </c>
      <c r="AB24" s="71">
        <f>SUM(AB23:AB23)</f>
        <v>419.76</v>
      </c>
      <c r="AC24" s="80">
        <f>SUM(AC23:AC23)</f>
        <v>2751.7700000000004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2332.0100000000002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349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268</v>
      </c>
      <c r="H23" s="69">
        <f>F23*G23</f>
        <v>2460</v>
      </c>
      <c r="I23" t="s">
        <v>269</v>
      </c>
      <c r="J23" s="69">
        <v>1.79</v>
      </c>
      <c r="K23" s="69">
        <v>2.5</v>
      </c>
      <c r="L23" s="69">
        <f>H23</f>
        <v>2460</v>
      </c>
      <c r="M23" s="69">
        <f>ROUND(L23*I23%,2)</f>
        <v>24.6</v>
      </c>
      <c r="N23" s="69">
        <f>H23-M23</f>
        <v>2435.4</v>
      </c>
      <c r="O23" s="69">
        <f>ROUND(N23*J23%,2)</f>
        <v>43.59</v>
      </c>
      <c r="P23" s="69">
        <f>ROUND(N23-O23,2)</f>
        <v>2391.81</v>
      </c>
      <c r="Q23" s="69">
        <f>ROUND(P23*K23%,2)</f>
        <v>59.8</v>
      </c>
      <c r="R23" s="69">
        <f>M23+O23+Q23</f>
        <v>127.99</v>
      </c>
      <c r="S23" s="69">
        <f>(H23-R23)</f>
        <v>2332.0100000000002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419.76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419.76</v>
      </c>
      <c r="AC23" s="69">
        <f>IF($V21=1,S23+AB23,S23)</f>
        <v>2751.7700000000004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2332.0100000000002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1166.0050000000001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1166.0050000000001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1166.0050000000001</v>
      </c>
      <c r="AY23" s="83">
        <f>AU23+AW23</f>
        <v>2</v>
      </c>
      <c r="AZ23" s="83">
        <f>ROUND(((AU23*AV23)+(AW23*AX23))/(AU23+AW23),5)</f>
        <v>1166.0050000000001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700.16750000000002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351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275</v>
      </c>
      <c r="H24" s="69">
        <f>F24*G24</f>
        <v>506</v>
      </c>
      <c r="I24" t="s">
        <v>269</v>
      </c>
      <c r="J24" s="69">
        <v>1.79</v>
      </c>
      <c r="K24" s="69">
        <v>2.5</v>
      </c>
      <c r="L24" s="69">
        <f>H24</f>
        <v>506</v>
      </c>
      <c r="M24" s="69">
        <f>ROUND(L24*I24%,2)</f>
        <v>5.0599999999999996</v>
      </c>
      <c r="N24" s="69">
        <f>H24-M24</f>
        <v>500.94</v>
      </c>
      <c r="O24" s="69">
        <f>ROUND(N24*J24%,2)</f>
        <v>8.9700000000000006</v>
      </c>
      <c r="P24" s="69">
        <f>ROUND(N24-O24,2)</f>
        <v>491.97</v>
      </c>
      <c r="Q24" s="69">
        <f>ROUND(P24*K24%,2)</f>
        <v>12.3</v>
      </c>
      <c r="R24" s="69">
        <f>M24+O24+Q24</f>
        <v>26.330000000000002</v>
      </c>
      <c r="S24" s="69">
        <f>(H24-R24)</f>
        <v>479.67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86.34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86.34</v>
      </c>
      <c r="AC24" s="69">
        <f>IF($V22=1,S24+AB24,S24)</f>
        <v>479.67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479.67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239.83500000000001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239.83500000000001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239.83500000000001</v>
      </c>
      <c r="AY24" s="83">
        <f>AU24+AW24</f>
        <v>2</v>
      </c>
      <c r="AZ24" s="83">
        <f>ROUND(((AU24*AV24)+(AW24*AX24))/(AU24+AW24),5)</f>
        <v>239.83500000000001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169.916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2966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154.32</v>
      </c>
      <c r="S25" s="77">
        <f>SUM(S23:S24)</f>
        <v>2811.6800000000003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506.1</v>
      </c>
      <c r="Y25" s="78">
        <f>SUM(Y23:Y24)</f>
        <v>0</v>
      </c>
      <c r="Z25" s="78"/>
      <c r="AA25" s="78">
        <f>SUM(AA23:AA24)</f>
        <v>0</v>
      </c>
      <c r="AB25" s="71">
        <f>SUM(AB23:AB24)</f>
        <v>506.1</v>
      </c>
      <c r="AC25" s="80">
        <f>SUM(AC23:AC24)</f>
        <v>3231.4400000000005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2811.6800000000003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R26"/>
  <sheetViews>
    <sheetView topLeftCell="A13" workbookViewId="0">
      <selection activeCell="D23" sqref="D23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353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340</v>
      </c>
      <c r="H23" s="69">
        <f>F23*G23</f>
        <v>488</v>
      </c>
      <c r="I23" t="s">
        <v>354</v>
      </c>
      <c r="J23" s="69">
        <v>1.79</v>
      </c>
      <c r="K23" s="69">
        <v>2.5</v>
      </c>
      <c r="L23" s="69">
        <f>H23</f>
        <v>488</v>
      </c>
      <c r="M23" s="69">
        <f>ROUND(L23*I23%,2)</f>
        <v>11.22</v>
      </c>
      <c r="N23" s="69">
        <f>H23-M23</f>
        <v>476.78</v>
      </c>
      <c r="O23" s="69">
        <f>ROUND(N23*J23%,2)</f>
        <v>8.5299999999999994</v>
      </c>
      <c r="P23" s="69">
        <f>ROUND(N23-O23,2)</f>
        <v>468.25</v>
      </c>
      <c r="Q23" s="69">
        <f>ROUND(P23*K23%,2)</f>
        <v>11.71</v>
      </c>
      <c r="R23" s="69">
        <f>M23+O23+Q23</f>
        <v>31.46</v>
      </c>
      <c r="S23" s="69">
        <f>(H23-R23)</f>
        <v>456.54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82.18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82.18</v>
      </c>
      <c r="AC23" s="69">
        <f>IF($V21=1,S23+AB23,S23)</f>
        <v>538.72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456.54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228.27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228.27</v>
      </c>
      <c r="AS23" s="83" t="s">
        <v>329</v>
      </c>
      <c r="AT23" s="83" t="s">
        <v>58</v>
      </c>
      <c r="AU23" t="s">
        <v>239</v>
      </c>
      <c r="AV23" t="s">
        <v>330</v>
      </c>
      <c r="AW23" s="83">
        <f>AM23</f>
        <v>2</v>
      </c>
      <c r="AX23" s="83">
        <f>AR23</f>
        <v>228.27</v>
      </c>
      <c r="AY23" s="83">
        <f>AU23+AW23</f>
        <v>2</v>
      </c>
      <c r="AZ23" s="83">
        <f>ROUND(((AU23*AV23)+(AW23*AX23))/(AU23+AW23),5)</f>
        <v>228.27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331</v>
      </c>
      <c r="BM23" t="s">
        <v>350</v>
      </c>
      <c r="BN23" t="s">
        <v>255</v>
      </c>
      <c r="BO23" s="83">
        <f>ROUND((((AW23*AZ23)+(BN23*BM23))/(AW23+BN23)),5)</f>
        <v>465.73374999999999</v>
      </c>
      <c r="BP23" s="87">
        <f>BN23+AW23</f>
        <v>8</v>
      </c>
      <c r="BQ23" s="88">
        <v>123562</v>
      </c>
      <c r="BR23" s="87"/>
    </row>
    <row r="24" spans="1:70">
      <c r="A24" s="68">
        <v>2</v>
      </c>
      <c r="B24" s="68" t="s">
        <v>355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300</v>
      </c>
      <c r="H24" s="69">
        <f>F24*G24</f>
        <v>468</v>
      </c>
      <c r="I24" t="s">
        <v>356</v>
      </c>
      <c r="J24" s="69">
        <v>1.79</v>
      </c>
      <c r="K24" s="69">
        <v>2.5</v>
      </c>
      <c r="L24" s="69">
        <f>H24</f>
        <v>468</v>
      </c>
      <c r="M24" s="69">
        <f>ROUND(L24*I24%,2)</f>
        <v>11.7</v>
      </c>
      <c r="N24" s="69">
        <f>H24-M24</f>
        <v>456.3</v>
      </c>
      <c r="O24" s="69">
        <f>ROUND(N24*J24%,2)</f>
        <v>8.17</v>
      </c>
      <c r="P24" s="69">
        <f>ROUND(N24-O24,2)</f>
        <v>448.13</v>
      </c>
      <c r="Q24" s="69">
        <f>ROUND(P24*K24%,2)</f>
        <v>11.2</v>
      </c>
      <c r="R24" s="69">
        <f>M24+O24+Q24</f>
        <v>31.069999999999997</v>
      </c>
      <c r="S24" s="69">
        <f>(H24-R24)</f>
        <v>436.93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78.650000000000006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78.650000000000006</v>
      </c>
      <c r="AC24" s="69">
        <f>IF($V22=1,S24+AB24,S24)</f>
        <v>436.93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436.93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218.465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218.465</v>
      </c>
      <c r="AS24" s="83" t="s">
        <v>329</v>
      </c>
      <c r="AT24" s="83" t="s">
        <v>58</v>
      </c>
      <c r="AU24" t="s">
        <v>239</v>
      </c>
      <c r="AV24" t="s">
        <v>334</v>
      </c>
      <c r="AW24" s="83">
        <f>AM24</f>
        <v>2</v>
      </c>
      <c r="AX24" s="83">
        <f>AR24</f>
        <v>218.465</v>
      </c>
      <c r="AY24" s="83">
        <f>AU24+AW24</f>
        <v>2</v>
      </c>
      <c r="AZ24" s="83">
        <f>ROUND(((AU24*AV24)+(AW24*AX24))/(AU24+AW24),5)</f>
        <v>218.465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331</v>
      </c>
      <c r="BM24" t="s">
        <v>352</v>
      </c>
      <c r="BN24" t="s">
        <v>337</v>
      </c>
      <c r="BO24" s="83">
        <f>ROUND((((AW24*AZ24)+(BN24*BM24))/(AW24+BN24)),5)</f>
        <v>165.642</v>
      </c>
      <c r="BP24" s="87">
        <f>BN24+AW24</f>
        <v>10</v>
      </c>
      <c r="BQ24" s="88">
        <v>123562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956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62.53</v>
      </c>
      <c r="S25" s="77">
        <f>SUM(S23:S24)</f>
        <v>893.47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160.83000000000001</v>
      </c>
      <c r="Y25" s="78">
        <f>SUM(Y23:Y24)</f>
        <v>0</v>
      </c>
      <c r="Z25" s="78"/>
      <c r="AA25" s="78">
        <f>SUM(AA23:AA24)</f>
        <v>0</v>
      </c>
      <c r="AB25" s="71">
        <f>SUM(AB23:AB24)</f>
        <v>160.83000000000001</v>
      </c>
      <c r="AC25" s="80">
        <f>SUM(AC23:AC24)</f>
        <v>975.65000000000009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893.47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B23" sqref="B23"/>
    </sheetView>
  </sheetViews>
  <sheetFormatPr defaultColWidth="9" defaultRowHeight="15"/>
  <cols>
    <col min="2" max="2" width="34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318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234</v>
      </c>
      <c r="H23" s="69">
        <f>F23*G23</f>
        <v>400</v>
      </c>
      <c r="I23" t="s">
        <v>223</v>
      </c>
      <c r="J23" s="69">
        <v>1.79</v>
      </c>
      <c r="K23" s="69">
        <v>2.5</v>
      </c>
      <c r="L23" s="69">
        <f>H23</f>
        <v>400</v>
      </c>
      <c r="M23" s="69">
        <f>ROUND(L23*I23%,2)</f>
        <v>8</v>
      </c>
      <c r="N23" s="69">
        <f>H23-M23</f>
        <v>392</v>
      </c>
      <c r="O23" s="69">
        <f>ROUND(N23*J23%,2)</f>
        <v>7.02</v>
      </c>
      <c r="P23" s="69">
        <f>ROUND(N23-O23,2)</f>
        <v>384.98</v>
      </c>
      <c r="Q23" s="69">
        <f>ROUND(P23*K23%,2)</f>
        <v>9.6199999999999992</v>
      </c>
      <c r="R23" s="69">
        <f>M23+O23+Q23</f>
        <v>24.64</v>
      </c>
      <c r="S23" s="69">
        <f>(H23-R23)</f>
        <v>375.36</v>
      </c>
      <c r="T23" s="69" t="s">
        <v>146</v>
      </c>
      <c r="U23" s="69">
        <v>0.18</v>
      </c>
      <c r="V23" s="69">
        <f>IF(OR($C$21=1,$C$21=4),ROUND(((S23*U23)/2),2),0)</f>
        <v>33.78</v>
      </c>
      <c r="W23" s="69">
        <f>IF($C$21=1,ROUND(((S23*U23)/2),2),0)</f>
        <v>33.78</v>
      </c>
      <c r="X23" s="69">
        <f>IF($C$21=2,ROUND(((S23*U23)),2),0)</f>
        <v>0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67.56</v>
      </c>
      <c r="AC23" s="69">
        <f>IF($V21=1,S23+AB23,S23)</f>
        <v>442.92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375.36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187.68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187.68</v>
      </c>
      <c r="AS23" s="83" t="s">
        <v>229</v>
      </c>
      <c r="AT23" s="83" t="s">
        <v>58</v>
      </c>
      <c r="AU23" t="s">
        <v>223</v>
      </c>
      <c r="AV23" t="s">
        <v>314</v>
      </c>
      <c r="AW23" s="83">
        <f>AM23</f>
        <v>2</v>
      </c>
      <c r="AX23" s="83">
        <f>AR23</f>
        <v>187.68</v>
      </c>
      <c r="AY23" s="83">
        <f>AU23+AW23</f>
        <v>4</v>
      </c>
      <c r="AZ23" s="83">
        <f>ROUND(((AU23*AV23)+(AW23*AX23))/(AU23+AW23),5)</f>
        <v>259.33312999999998</v>
      </c>
      <c r="BA23" s="85"/>
      <c r="BB23" s="85" t="s">
        <v>149</v>
      </c>
      <c r="BC23" s="95" t="s">
        <v>29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230</v>
      </c>
      <c r="BM23" t="s">
        <v>315</v>
      </c>
      <c r="BN23" t="s">
        <v>242</v>
      </c>
      <c r="BO23" s="83">
        <f>ROUND((((AW23*AZ23)+(BN23*BM23))/(AW23+BN23)),5)</f>
        <v>268.43745000000001</v>
      </c>
      <c r="BP23" s="87">
        <f>BN23+AW23</f>
        <v>26</v>
      </c>
      <c r="BQ23" s="88">
        <v>88363221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24.64</v>
      </c>
      <c r="S24" s="77">
        <f>SUM(S23:S23)</f>
        <v>375.36</v>
      </c>
      <c r="T24" s="71"/>
      <c r="U24" s="71"/>
      <c r="V24" s="78">
        <f>SUM(V23:V23)</f>
        <v>33.78</v>
      </c>
      <c r="W24" s="78">
        <f>SUM(W23:W23)</f>
        <v>33.78</v>
      </c>
      <c r="X24" s="78">
        <f>SUM(X23:X23)</f>
        <v>0</v>
      </c>
      <c r="Y24" s="78">
        <f>SUM(Y23:Y23)</f>
        <v>0</v>
      </c>
      <c r="Z24" s="78"/>
      <c r="AA24" s="78">
        <f>SUM(AA23:AA23)</f>
        <v>0</v>
      </c>
      <c r="AB24" s="71">
        <f>SUM(AB23:AB23)</f>
        <v>67.56</v>
      </c>
      <c r="AC24" s="80">
        <f>SUM(AC23:AC23)</f>
        <v>442.92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375.36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D24" sqref="D24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323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254</v>
      </c>
      <c r="H23" s="69">
        <f>F23*G23</f>
        <v>1000</v>
      </c>
      <c r="I23" t="s">
        <v>357</v>
      </c>
      <c r="J23" s="69">
        <v>1.79</v>
      </c>
      <c r="K23" s="69">
        <v>2.5</v>
      </c>
      <c r="L23" s="69">
        <f>H23</f>
        <v>1000</v>
      </c>
      <c r="M23" s="69">
        <f>ROUND(L23*I23%,2)</f>
        <v>50</v>
      </c>
      <c r="N23" s="69">
        <f>H23-M23</f>
        <v>950</v>
      </c>
      <c r="O23" s="69">
        <f>ROUND(N23*J23%,2)</f>
        <v>17.010000000000002</v>
      </c>
      <c r="P23" s="69">
        <f>ROUND(N23-O23,2)</f>
        <v>932.99</v>
      </c>
      <c r="Q23" s="69">
        <f>ROUND(P23*K23%,2)</f>
        <v>23.32</v>
      </c>
      <c r="R23" s="69">
        <f>M23+O23+Q23</f>
        <v>90.330000000000013</v>
      </c>
      <c r="S23" s="69">
        <f>(H23-R23)</f>
        <v>909.67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163.74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163.74</v>
      </c>
      <c r="AC23" s="69">
        <f>IF($V21=1,S23+AB23,S23)</f>
        <v>1073.4099999999999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909.67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454.83499999999998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454.83499999999998</v>
      </c>
      <c r="AS23" s="83" t="s">
        <v>309</v>
      </c>
      <c r="AT23" s="83" t="s">
        <v>58</v>
      </c>
      <c r="AU23" t="s">
        <v>239</v>
      </c>
      <c r="AV23" t="s">
        <v>308</v>
      </c>
      <c r="AW23" s="83">
        <f>AM23</f>
        <v>2</v>
      </c>
      <c r="AX23" s="83">
        <f>AR23</f>
        <v>454.83499999999998</v>
      </c>
      <c r="AY23" s="83">
        <f>AU23+AW23</f>
        <v>2</v>
      </c>
      <c r="AZ23" s="83">
        <f>ROUND(((AU23*AV23)+(AW23*AX23))/(AU23+AW23),5)</f>
        <v>454.83499999999998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311</v>
      </c>
      <c r="BM23" t="s">
        <v>358</v>
      </c>
      <c r="BN23" t="s">
        <v>359</v>
      </c>
      <c r="BO23" s="83">
        <f>ROUND((((AW23*AZ23)+(BN23*BM23))/(AW23+BN23)),5)</f>
        <v>171.15706</v>
      </c>
      <c r="BP23" s="87">
        <f>BN23+AW23</f>
        <v>17</v>
      </c>
      <c r="BQ23" s="88">
        <v>88363222</v>
      </c>
      <c r="BR23" s="87"/>
    </row>
    <row r="24" spans="1:70">
      <c r="A24" s="68">
        <v>2</v>
      </c>
      <c r="B24" s="68" t="s">
        <v>326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360</v>
      </c>
      <c r="H24" s="69">
        <f>F24*G24</f>
        <v>1200</v>
      </c>
      <c r="I24" t="s">
        <v>223</v>
      </c>
      <c r="J24" s="69">
        <v>1.79</v>
      </c>
      <c r="K24" s="69">
        <v>2.5</v>
      </c>
      <c r="L24" s="69">
        <f>H24</f>
        <v>1200</v>
      </c>
      <c r="M24" s="69">
        <f>ROUND(L24*I24%,2)</f>
        <v>24</v>
      </c>
      <c r="N24" s="69">
        <f>H24-M24</f>
        <v>1176</v>
      </c>
      <c r="O24" s="69">
        <f>ROUND(N24*J24%,2)</f>
        <v>21.05</v>
      </c>
      <c r="P24" s="69">
        <f>ROUND(N24-O24,2)</f>
        <v>1154.95</v>
      </c>
      <c r="Q24" s="69">
        <f>ROUND(P24*K24%,2)</f>
        <v>28.87</v>
      </c>
      <c r="R24" s="69">
        <f>M24+O24+Q24</f>
        <v>73.92</v>
      </c>
      <c r="S24" s="69">
        <f>(H24-R24)</f>
        <v>1126.08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202.69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202.69</v>
      </c>
      <c r="AC24" s="69">
        <f>IF($V22=1,S24+AB24,S24)</f>
        <v>1126.08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1126.08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563.04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563.04</v>
      </c>
      <c r="AS24" s="83" t="s">
        <v>309</v>
      </c>
      <c r="AT24" s="83" t="s">
        <v>58</v>
      </c>
      <c r="AW24" s="83">
        <f>AM24</f>
        <v>2</v>
      </c>
      <c r="AX24" s="83">
        <f>AR24</f>
        <v>563.04</v>
      </c>
      <c r="AY24" s="83">
        <f>AU24+AW24</f>
        <v>2</v>
      </c>
      <c r="AZ24" s="83">
        <f>ROUND(((AU24*AV24)+(AW24*AX24))/(AU24+AW24),5)</f>
        <v>563.04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311</v>
      </c>
      <c r="BM24" t="s">
        <v>239</v>
      </c>
      <c r="BN24" t="s">
        <v>239</v>
      </c>
      <c r="BO24" s="83">
        <f>ROUND((((AW24*AZ24)+(BN24*BM24))/(AW24+BN24)),5)</f>
        <v>563.04</v>
      </c>
      <c r="BP24" s="87">
        <f>BN24+AW24</f>
        <v>2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164.25</v>
      </c>
      <c r="S25" s="77">
        <f>SUM(S23:S24)</f>
        <v>2035.75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366.43</v>
      </c>
      <c r="Y25" s="78">
        <f>SUM(Y23:Y24)</f>
        <v>0</v>
      </c>
      <c r="Z25" s="78"/>
      <c r="AA25" s="78">
        <f>SUM(AA23:AA24)</f>
        <v>0</v>
      </c>
      <c r="AB25" s="71">
        <f>SUM(AB23:AB24)</f>
        <v>366.43</v>
      </c>
      <c r="AC25" s="80">
        <f>SUM(AC23:AC24)</f>
        <v>2199.4899999999998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2035.75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R26"/>
  <sheetViews>
    <sheetView workbookViewId="0">
      <selection sqref="A1:XFD104857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362</v>
      </c>
      <c r="H23" s="69">
        <f>F23*G23</f>
        <v>911.34</v>
      </c>
      <c r="I23" t="s">
        <v>269</v>
      </c>
      <c r="J23" s="69">
        <v>1.79</v>
      </c>
      <c r="K23" s="69">
        <v>2.5</v>
      </c>
      <c r="L23" s="69">
        <f>H23</f>
        <v>911.34</v>
      </c>
      <c r="M23" s="69">
        <f>ROUND(L23*I23%,2)</f>
        <v>9.11</v>
      </c>
      <c r="N23" s="69">
        <f>H23-M23</f>
        <v>902.23</v>
      </c>
      <c r="O23" s="69">
        <f>ROUND(N23*J23%,2)</f>
        <v>16.149999999999999</v>
      </c>
      <c r="P23" s="69">
        <f>ROUND(N23-O23,2)</f>
        <v>886.08</v>
      </c>
      <c r="Q23" s="69">
        <f>ROUND(P23*K23%,2)</f>
        <v>22.15</v>
      </c>
      <c r="R23" s="69">
        <f>M23+O23+Q23</f>
        <v>47.41</v>
      </c>
      <c r="S23" s="69">
        <f>(H23-R23)</f>
        <v>863.93000000000006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155.51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155.51</v>
      </c>
      <c r="AC23" s="69">
        <f>IF($V21=1,S23+AB23,S23)</f>
        <v>1019.44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863.93000000000006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431.96500000000003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431.96500000000003</v>
      </c>
      <c r="AS23" s="83" t="s">
        <v>309</v>
      </c>
      <c r="AT23" s="83" t="s">
        <v>58</v>
      </c>
      <c r="AU23" t="s">
        <v>239</v>
      </c>
      <c r="AV23" t="s">
        <v>363</v>
      </c>
      <c r="AW23" s="83">
        <f>AM23</f>
        <v>2</v>
      </c>
      <c r="AX23" s="83">
        <f>AR23</f>
        <v>431.96500000000003</v>
      </c>
      <c r="AY23" s="83">
        <f>AU23+AW23</f>
        <v>2</v>
      </c>
      <c r="AZ23" s="83">
        <f>ROUND(((AU23*AV23)+(AW23*AX23))/(AU23+AW23),5)</f>
        <v>431.96499999999997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363</v>
      </c>
      <c r="BN23" t="s">
        <v>255</v>
      </c>
      <c r="BO23" s="83">
        <f>ROUND((((AW23*AZ23)+(BN23*BM23))/(AW23+BN23)),5)</f>
        <v>431.96499999999997</v>
      </c>
      <c r="BP23" s="87">
        <f>BN23+AW23</f>
        <v>8</v>
      </c>
      <c r="BQ23" s="88">
        <v>88363222</v>
      </c>
      <c r="BR23" s="87"/>
    </row>
    <row r="24" spans="1:70">
      <c r="A24" s="68">
        <v>2</v>
      </c>
      <c r="B24" s="68" t="s">
        <v>365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366</v>
      </c>
      <c r="H24" s="69">
        <f>F24*G24</f>
        <v>690</v>
      </c>
      <c r="I24" t="s">
        <v>223</v>
      </c>
      <c r="J24" s="69">
        <v>1.79</v>
      </c>
      <c r="K24" s="69">
        <v>2.5</v>
      </c>
      <c r="L24" s="69">
        <f>H24</f>
        <v>690</v>
      </c>
      <c r="M24" s="69">
        <f>ROUND(L24*I24%,2)</f>
        <v>13.8</v>
      </c>
      <c r="N24" s="69">
        <f>H24-M24</f>
        <v>676.2</v>
      </c>
      <c r="O24" s="69">
        <f>ROUND(N24*J24%,2)</f>
        <v>12.1</v>
      </c>
      <c r="P24" s="69">
        <f>ROUND(N24-O24,2)</f>
        <v>664.1</v>
      </c>
      <c r="Q24" s="69">
        <f>ROUND(P24*K24%,2)</f>
        <v>16.600000000000001</v>
      </c>
      <c r="R24" s="69">
        <f>M24+O24+Q24</f>
        <v>42.5</v>
      </c>
      <c r="S24" s="69">
        <f>(H24-R24)</f>
        <v>647.5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116.55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116.55</v>
      </c>
      <c r="AC24" s="69">
        <f>IF($V22=1,S24+AB24,S24)</f>
        <v>647.5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647.5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323.75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323.75</v>
      </c>
      <c r="AS24" s="83" t="s">
        <v>309</v>
      </c>
      <c r="AT24" s="83" t="s">
        <v>58</v>
      </c>
      <c r="AU24" t="s">
        <v>239</v>
      </c>
      <c r="AV24" t="s">
        <v>367</v>
      </c>
      <c r="AW24" s="83">
        <f>AM24</f>
        <v>2</v>
      </c>
      <c r="AX24" s="83">
        <f>AR24</f>
        <v>323.75</v>
      </c>
      <c r="AY24" s="83">
        <f>AU24+AW24</f>
        <v>2</v>
      </c>
      <c r="AZ24" s="83">
        <f>ROUND(((AU24*AV24)+(AW24*AX24))/(AU24+AW24),5)</f>
        <v>323.75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367</v>
      </c>
      <c r="BN24" t="s">
        <v>255</v>
      </c>
      <c r="BO24" s="83">
        <f>ROUND((((AW24*AZ24)+(BN24*BM24))/(AW24+BN24)),5)</f>
        <v>323.75</v>
      </c>
      <c r="BP24" s="87">
        <f>BN24+AW24</f>
        <v>8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1601.3400000000001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89.91</v>
      </c>
      <c r="S25" s="77">
        <f>SUM(S23:S24)</f>
        <v>1511.43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272.06</v>
      </c>
      <c r="Y25" s="78">
        <f>SUM(Y23:Y24)</f>
        <v>0</v>
      </c>
      <c r="Z25" s="78"/>
      <c r="AA25" s="78">
        <f>SUM(AA23:AA24)</f>
        <v>0</v>
      </c>
      <c r="AB25" s="71">
        <f>SUM(AB23:AB24)</f>
        <v>272.06</v>
      </c>
      <c r="AC25" s="80">
        <f>SUM(AC23:AC24)</f>
        <v>1666.94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1511.43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R25"/>
  <sheetViews>
    <sheetView topLeftCell="A13" workbookViewId="0">
      <selection activeCell="D26" sqref="D26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368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228</v>
      </c>
      <c r="H23" s="69">
        <f>F23*G23</f>
        <v>800</v>
      </c>
      <c r="I23" t="s">
        <v>223</v>
      </c>
      <c r="J23" s="69">
        <v>1.79</v>
      </c>
      <c r="K23" s="69">
        <v>2.5</v>
      </c>
      <c r="L23" s="69">
        <f>H23</f>
        <v>800</v>
      </c>
      <c r="M23" s="69">
        <f>ROUND(L23*I23%,2)</f>
        <v>16</v>
      </c>
      <c r="N23" s="69">
        <f>H23-M23</f>
        <v>784</v>
      </c>
      <c r="O23" s="69">
        <f>ROUND(N23*J23%,2)</f>
        <v>14.03</v>
      </c>
      <c r="P23" s="69">
        <f>ROUND(N23-O23,2)</f>
        <v>769.97</v>
      </c>
      <c r="Q23" s="69">
        <f>ROUND(P23*K23%,2)</f>
        <v>19.25</v>
      </c>
      <c r="R23" s="69">
        <f>M23+O23+Q23</f>
        <v>49.28</v>
      </c>
      <c r="S23" s="69">
        <f>(H23-R23)</f>
        <v>750.72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135.13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135.13</v>
      </c>
      <c r="AC23" s="69">
        <f>IF($V21=1,S23+AB23,S23)</f>
        <v>885.85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750.72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375.36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375.36</v>
      </c>
      <c r="AS23" s="83" t="s">
        <v>347</v>
      </c>
      <c r="AT23" s="83" t="s">
        <v>58</v>
      </c>
      <c r="AW23" s="83">
        <f>AM23</f>
        <v>2</v>
      </c>
      <c r="AX23" s="83">
        <f>AR23</f>
        <v>375.36</v>
      </c>
      <c r="AY23" s="83">
        <f>AU23+AW23</f>
        <v>2</v>
      </c>
      <c r="AZ23" s="83">
        <f>ROUND(((AU23*AV23)+(AW23*AX23))/(AU23+AW23),5)</f>
        <v>375.36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348</v>
      </c>
      <c r="BM23" t="s">
        <v>239</v>
      </c>
      <c r="BN23" t="s">
        <v>239</v>
      </c>
      <c r="BO23" s="83">
        <f>ROUND((((AW23*AZ23)+(BN23*BM23))/(AW23+BN23)),5)</f>
        <v>375.36</v>
      </c>
      <c r="BP23" s="87">
        <f>BN23+AW23</f>
        <v>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49.28</v>
      </c>
      <c r="S24" s="77">
        <f>SUM(S23:S23)</f>
        <v>750.72</v>
      </c>
      <c r="T24" s="71"/>
      <c r="U24" s="71"/>
      <c r="V24" s="78">
        <f>SUM(V23:V23)</f>
        <v>0</v>
      </c>
      <c r="W24" s="78">
        <f>SUM(W23:W23)</f>
        <v>0</v>
      </c>
      <c r="X24" s="78">
        <f>SUM(X23:X23)</f>
        <v>135.13</v>
      </c>
      <c r="Y24" s="78">
        <f>SUM(Y23:Y23)</f>
        <v>0</v>
      </c>
      <c r="Z24" s="78"/>
      <c r="AA24" s="78">
        <f>SUM(AA23:AA23)</f>
        <v>0</v>
      </c>
      <c r="AB24" s="71">
        <f>SUM(AB23:AB23)</f>
        <v>135.13</v>
      </c>
      <c r="AC24" s="80">
        <f>SUM(AC23:AC23)</f>
        <v>885.85</v>
      </c>
      <c r="AD24" s="81">
        <f t="shared" ref="AD24:AE24" si="5">SUM(AD23:AD23)</f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750.72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AR24" sqref="AR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369</v>
      </c>
      <c r="C23" s="68" t="s">
        <v>162</v>
      </c>
      <c r="D23" s="68" t="s">
        <v>58</v>
      </c>
      <c r="E23" s="68" t="s">
        <v>163</v>
      </c>
      <c r="F23" s="69">
        <v>9</v>
      </c>
      <c r="G23" s="69">
        <v>257.63</v>
      </c>
      <c r="H23" s="69">
        <f>F23*G23</f>
        <v>2318.67</v>
      </c>
      <c r="I23" s="69">
        <v>1</v>
      </c>
      <c r="J23" s="69">
        <v>2</v>
      </c>
      <c r="K23" s="69">
        <v>2.5</v>
      </c>
      <c r="L23" s="69">
        <f>H23</f>
        <v>2318.67</v>
      </c>
      <c r="M23" s="69">
        <f>ROUND(L23*I23%,2)</f>
        <v>23.19</v>
      </c>
      <c r="N23" s="69">
        <f>H23-M23</f>
        <v>2295.48</v>
      </c>
      <c r="O23" s="69">
        <f>ROUND(N23*J23%,2)</f>
        <v>45.91</v>
      </c>
      <c r="P23" s="69">
        <f>ROUND(N23-O23,2)</f>
        <v>2249.5700000000002</v>
      </c>
      <c r="Q23" s="69">
        <f>ROUND(P23*K23%,2)</f>
        <v>56.24</v>
      </c>
      <c r="R23" s="69">
        <f>ROUND((M23+O23+Q23),2)</f>
        <v>125.34</v>
      </c>
      <c r="S23" s="69">
        <f>ROUND((H23-R23),2)</f>
        <v>2193.33</v>
      </c>
      <c r="T23" s="89" t="s">
        <v>146</v>
      </c>
      <c r="U23" s="79">
        <v>0.18</v>
      </c>
      <c r="V23" s="69">
        <f>IF(OR($C$21=1,$C$21=4),ROUND(((S23*U23)/2),2),0)</f>
        <v>197.4</v>
      </c>
      <c r="W23" s="69">
        <f>IF($C$21=1,ROUND(((S23*U23)/2),2),0)</f>
        <v>197.4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394.8</v>
      </c>
      <c r="AC23" s="68">
        <f>IF($V21=1,S23+AB23,S23)</f>
        <v>2588.13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2193.33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229</v>
      </c>
      <c r="AT23" s="83" t="s">
        <v>58</v>
      </c>
      <c r="AU23" t="s">
        <v>239</v>
      </c>
      <c r="AV23" t="s">
        <v>370</v>
      </c>
      <c r="AW23" s="83">
        <f>AM23</f>
        <v>3</v>
      </c>
      <c r="AX23" s="83">
        <f>AR23</f>
        <v>731.11</v>
      </c>
      <c r="AY23" s="83">
        <f>AU23+AW23</f>
        <v>3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370</v>
      </c>
      <c r="BN23" t="s">
        <v>263</v>
      </c>
      <c r="BO23" s="83">
        <f>ROUND((((AW23*AZ23)+(BN23*BM23))/(AW23+BN23)),5)</f>
        <v>731.11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371</v>
      </c>
      <c r="C24" s="68" t="s">
        <v>175</v>
      </c>
      <c r="D24" s="68" t="s">
        <v>58</v>
      </c>
      <c r="E24" s="68" t="s">
        <v>163</v>
      </c>
      <c r="F24" s="69">
        <v>9</v>
      </c>
      <c r="G24" s="69">
        <v>150.5</v>
      </c>
      <c r="H24" s="69">
        <f t="shared" ref="H24" si="3">F24*G24</f>
        <v>1354.5</v>
      </c>
      <c r="I24" s="69">
        <v>1</v>
      </c>
      <c r="J24" s="69">
        <v>2</v>
      </c>
      <c r="K24" s="69">
        <v>2.5</v>
      </c>
      <c r="L24" s="69">
        <f t="shared" ref="L24" si="4">H24</f>
        <v>1354.5</v>
      </c>
      <c r="M24" s="69">
        <f t="shared" ref="M24" si="5">ROUND(L24*I24%,2)</f>
        <v>13.55</v>
      </c>
      <c r="N24" s="69">
        <f t="shared" ref="N24" si="6">H24-M24</f>
        <v>1340.95</v>
      </c>
      <c r="O24" s="69">
        <f t="shared" ref="O24" si="7">ROUND(N24*J24%,2)</f>
        <v>26.82</v>
      </c>
      <c r="P24" s="69">
        <f t="shared" ref="P24" si="8">ROUND(N24-O24,2)</f>
        <v>1314.13</v>
      </c>
      <c r="Q24" s="69">
        <f t="shared" ref="Q24" si="9">ROUND(P24*K24%,2)</f>
        <v>32.85</v>
      </c>
      <c r="R24" s="69">
        <f t="shared" ref="R24" si="10">ROUND((M24+O24+Q24),2)</f>
        <v>73.22</v>
      </c>
      <c r="S24" s="69">
        <f t="shared" ref="S24" si="11">ROUND((H24-R24),2)</f>
        <v>1281.28</v>
      </c>
      <c r="T24" s="89" t="s">
        <v>372</v>
      </c>
      <c r="U24" s="79">
        <v>0.18</v>
      </c>
      <c r="V24" s="69">
        <f t="shared" ref="V24" si="12">IF(OR($C$21=1,$C$21=4),ROUND(((S24*U24)/2),2),0)</f>
        <v>115.32</v>
      </c>
      <c r="W24" s="69">
        <f t="shared" ref="W24" si="13">IF($C$21=1,ROUND(((S24*U24)/2),2),0)</f>
        <v>115.32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230.64</v>
      </c>
      <c r="AC24" s="68">
        <f t="shared" ref="AC24" si="18">IF($V22=1,S24+AB24,S24)</f>
        <v>1281.28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1281.28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3</v>
      </c>
      <c r="AN24" s="89">
        <f t="shared" ref="AN24" si="20">ROUND(AI24/AM24,5)</f>
        <v>427.09332999999998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427.09332999999998</v>
      </c>
      <c r="AS24" s="83" t="s">
        <v>229</v>
      </c>
      <c r="AT24" s="83" t="s">
        <v>58</v>
      </c>
      <c r="AU24" t="s">
        <v>239</v>
      </c>
      <c r="AV24" t="s">
        <v>373</v>
      </c>
      <c r="AW24" s="83">
        <f>AM24</f>
        <v>3</v>
      </c>
      <c r="AX24" s="83">
        <f>AR24</f>
        <v>427.09332999999998</v>
      </c>
      <c r="AY24" s="83">
        <f>AU24+AW24</f>
        <v>3</v>
      </c>
      <c r="AZ24" s="83">
        <f>ROUND(((AU24*AV24)+(AW24*AX24))/(AU24+AW24),5)</f>
        <v>427.09332999999998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373</v>
      </c>
      <c r="BN24" t="s">
        <v>263</v>
      </c>
      <c r="BO24" s="83">
        <f>ROUND((((AW24*AZ24)+(BN24*BM24))/(AW24+BN24)),5)</f>
        <v>427.09332999999998</v>
      </c>
      <c r="BP24" s="87">
        <f>BN24+AW24</f>
        <v>6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3673.17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198.56</v>
      </c>
      <c r="S25" s="71">
        <f>SUM(S23:S24)</f>
        <v>3474.6099999999997</v>
      </c>
      <c r="T25" s="71"/>
      <c r="U25" s="71"/>
      <c r="V25" s="77">
        <f t="shared" ref="V25:AE25" si="24">SUM(V23:V24)</f>
        <v>312.72000000000003</v>
      </c>
      <c r="W25" s="77">
        <f t="shared" si="24"/>
        <v>312.72000000000003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625.44000000000005</v>
      </c>
      <c r="AC25" s="80">
        <f t="shared" si="24"/>
        <v>3869.41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3474.6099999999997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3673.17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198.56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3474.6099999999997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625.44000000000005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4100.0499999999993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Q38"/>
  <sheetViews>
    <sheetView topLeftCell="AQ13" workbookViewId="0">
      <selection activeCell="AQ23" sqref="AQ23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24</v>
      </c>
      <c r="G23" t="s">
        <v>360</v>
      </c>
      <c r="H23" s="69">
        <f>F23*G23</f>
        <v>14400</v>
      </c>
      <c r="I23" t="s">
        <v>301</v>
      </c>
      <c r="J23" s="69">
        <v>2</v>
      </c>
      <c r="K23" s="69">
        <v>2</v>
      </c>
      <c r="L23" s="69">
        <f>H23</f>
        <v>14400</v>
      </c>
      <c r="M23" s="69">
        <f>ROUND(L23*I23%,2)</f>
        <v>576</v>
      </c>
      <c r="N23" s="69">
        <f>H23-M23</f>
        <v>13824</v>
      </c>
      <c r="O23" s="69">
        <f>ROUND(N23*J23%,2)</f>
        <v>276.48</v>
      </c>
      <c r="P23" s="69">
        <f>ROUND(N23-O23,2)</f>
        <v>13547.52</v>
      </c>
      <c r="Q23" s="69">
        <f>ROUND(P23*K23%,2)</f>
        <v>270.95</v>
      </c>
      <c r="R23" s="69">
        <f>ROUND((M23+O23+Q23),2)</f>
        <v>1123.43</v>
      </c>
      <c r="S23" s="69">
        <f>ROUND((H23-R23),2)</f>
        <v>13276.57</v>
      </c>
      <c r="T23" s="89" t="s">
        <v>146</v>
      </c>
      <c r="U23" s="79">
        <v>0.18</v>
      </c>
      <c r="V23" s="69">
        <f>IF(OR($C$21=1,$C$21=4),ROUND(((S23*U23)/2),2),0)</f>
        <v>1194.8900000000001</v>
      </c>
      <c r="W23" s="69">
        <f>IF($C$21=1,ROUND(((S23*U23)/2),2),0)</f>
        <v>1194.8900000000001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2389.7800000000002</v>
      </c>
      <c r="AC23" s="68">
        <f>IF($V21=1,S23+AB23,S23)</f>
        <v>15666.35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13276.57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8</v>
      </c>
      <c r="AN23" s="89">
        <f>ROUND(AI23/AM23,5)</f>
        <v>1659.57125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1659.57125</v>
      </c>
      <c r="AS23" s="83" t="s">
        <v>229</v>
      </c>
      <c r="AT23" s="83" t="s">
        <v>58</v>
      </c>
      <c r="AU23" t="s">
        <v>239</v>
      </c>
      <c r="AV23" t="s">
        <v>385</v>
      </c>
      <c r="AW23" s="83">
        <f>AM23</f>
        <v>8</v>
      </c>
      <c r="AX23" s="83">
        <f>AR23</f>
        <v>1659.57125</v>
      </c>
      <c r="AY23" s="83">
        <f>AU23+AW23</f>
        <v>8</v>
      </c>
      <c r="AZ23" s="83">
        <f>((AU23*AV23)+(AW23*AX23))/(AU23+AW23)</f>
        <v>1659.57125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239</v>
      </c>
      <c r="BN23" t="s">
        <v>239</v>
      </c>
      <c r="BO23" s="83">
        <f>ROUND((((AW23*AZ23)+(BN23*BM23))/(AW23+BN23)),5)</f>
        <v>1659.57125</v>
      </c>
      <c r="BP23" s="87">
        <f>ROUND(BN23+AW23,3)</f>
        <v>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14400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1123.43</v>
      </c>
      <c r="S24" s="71">
        <f>SUM(S23:S23)</f>
        <v>13276.57</v>
      </c>
      <c r="T24" s="71"/>
      <c r="U24" s="71"/>
      <c r="V24" s="77">
        <f t="shared" ref="V24:AE24" si="3">SUM(V23:V23)</f>
        <v>1194.8900000000001</v>
      </c>
      <c r="W24" s="77">
        <f t="shared" si="3"/>
        <v>1194.8900000000001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2389.7800000000002</v>
      </c>
      <c r="AC24" s="80">
        <f t="shared" si="3"/>
        <v>15666.35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13276.57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14400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1123.43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13276.57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2389.7800000000002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15666.35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Q38"/>
  <sheetViews>
    <sheetView topLeftCell="BG13" workbookViewId="0">
      <selection activeCell="BO23" sqref="BO23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15</v>
      </c>
      <c r="G23">
        <v>500</v>
      </c>
      <c r="H23" s="69">
        <f>F23*G23</f>
        <v>7500</v>
      </c>
      <c r="I23" t="s">
        <v>223</v>
      </c>
      <c r="J23" s="69">
        <v>2</v>
      </c>
      <c r="K23" s="69">
        <v>2</v>
      </c>
      <c r="L23" s="69">
        <f>H23</f>
        <v>7500</v>
      </c>
      <c r="M23" s="69">
        <f>ROUND(L23*I23%,2)</f>
        <v>150</v>
      </c>
      <c r="N23" s="69">
        <f>H23-M23</f>
        <v>7350</v>
      </c>
      <c r="O23" s="69">
        <f>ROUND(N23*J23%,2)</f>
        <v>147</v>
      </c>
      <c r="P23" s="69">
        <f>ROUND(N23-O23,2)</f>
        <v>7203</v>
      </c>
      <c r="Q23" s="69">
        <f>ROUND(P23*K23%,2)</f>
        <v>144.06</v>
      </c>
      <c r="R23" s="69">
        <f>ROUND((M23+O23+Q23),2)</f>
        <v>441.06</v>
      </c>
      <c r="S23" s="69">
        <f>ROUND((H23-R23),2)</f>
        <v>7058.94</v>
      </c>
      <c r="T23" s="89" t="s">
        <v>146</v>
      </c>
      <c r="U23" s="79">
        <v>0.18</v>
      </c>
      <c r="V23" s="69">
        <f>IF(OR($C$21=1,$C$21=4),ROUND(((S23*U23)/2),2),0)</f>
        <v>635.29999999999995</v>
      </c>
      <c r="W23" s="69">
        <f>IF($C$21=1,ROUND(((S23*U23)/2),2),0)</f>
        <v>635.29999999999995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1270.5999999999999</v>
      </c>
      <c r="AC23" s="68">
        <f>IF($V21=1,S23+AB23,S23)</f>
        <v>8329.5399999999991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 t="shared" ref="AI23" si="1">S23*$M$21</f>
        <v>7058.94</v>
      </c>
      <c r="AJ23" s="89">
        <f>IF($C$21=3,0,AG23+AH23)</f>
        <v>0</v>
      </c>
      <c r="AK23" s="89">
        <f t="shared" ref="AK23" si="2">IF($C$21=3,AE23+AG23+AH23,0)</f>
        <v>0</v>
      </c>
      <c r="AL23" s="108">
        <v>3</v>
      </c>
      <c r="AM23" s="89">
        <f>F23/AL23</f>
        <v>5</v>
      </c>
      <c r="AN23" s="89">
        <f>ROUND(AI23/AM23,5)</f>
        <v>1411.788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1411.788</v>
      </c>
      <c r="AS23" s="83" t="s">
        <v>229</v>
      </c>
      <c r="AT23" s="83" t="s">
        <v>58</v>
      </c>
      <c r="AU23">
        <v>0</v>
      </c>
      <c r="AV23">
        <v>1411.8</v>
      </c>
      <c r="AW23" s="83">
        <f>AM23</f>
        <v>5</v>
      </c>
      <c r="AX23" s="59">
        <f>AR23</f>
        <v>1411.788</v>
      </c>
      <c r="AY23" s="83">
        <f>AU23+AW23</f>
        <v>5</v>
      </c>
      <c r="AZ23" s="83">
        <f>((AU23*AV23)+(AW23*AX23))/(AU23+AW23)</f>
        <v>1411.788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>
        <v>1407.3065999999999</v>
      </c>
      <c r="BN23">
        <v>53</v>
      </c>
      <c r="BO23" s="83">
        <f>ROUND((((AW23*AZ23)+(BN23*BM23))/(AW23+BN23)),5)</f>
        <v>1407.6929299999999</v>
      </c>
      <c r="BP23" s="87">
        <f>ROUND(BN23+AW23,3)</f>
        <v>58</v>
      </c>
      <c r="BQ23" s="88">
        <v>88363222</v>
      </c>
    </row>
    <row r="24" spans="1:69">
      <c r="A24" s="66"/>
      <c r="C24" s="97" t="s">
        <v>87</v>
      </c>
      <c r="D24" s="29"/>
      <c r="E24" s="29"/>
      <c r="F24" s="29"/>
      <c r="G24" s="30"/>
      <c r="H24" s="71">
        <f>SUM(H23:H23)</f>
        <v>7500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441.06</v>
      </c>
      <c r="S24" s="71">
        <f>SUM(S23:S23)</f>
        <v>7058.94</v>
      </c>
      <c r="T24" s="71"/>
      <c r="U24" s="71"/>
      <c r="V24" s="77">
        <f t="shared" ref="V24:AE24" si="3">SUM(V23:V23)</f>
        <v>635.29999999999995</v>
      </c>
      <c r="W24" s="77">
        <f t="shared" si="3"/>
        <v>635.29999999999995</v>
      </c>
      <c r="X24" s="77">
        <f t="shared" si="3"/>
        <v>0</v>
      </c>
      <c r="Y24" s="77">
        <f t="shared" si="3"/>
        <v>0</v>
      </c>
      <c r="Z24" s="110">
        <f t="shared" si="3"/>
        <v>0</v>
      </c>
      <c r="AA24" s="77">
        <f t="shared" si="3"/>
        <v>0</v>
      </c>
      <c r="AB24" s="71">
        <f t="shared" si="3"/>
        <v>1270.5999999999999</v>
      </c>
      <c r="AC24" s="80">
        <f t="shared" si="3"/>
        <v>8329.5399999999991</v>
      </c>
      <c r="AD24" s="81">
        <f t="shared" si="3"/>
        <v>120</v>
      </c>
      <c r="AE24" s="81">
        <f t="shared" si="3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7058.94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</row>
    <row r="25" spans="1:69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7500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441.06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7058.94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1270.5999999999999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8329.5399999999991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Q39"/>
  <sheetViews>
    <sheetView topLeftCell="AZ13" workbookViewId="0">
      <selection activeCell="BD27" sqref="BD27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387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388</v>
      </c>
      <c r="H23" s="69">
        <f>F23*G23</f>
        <v>5750</v>
      </c>
      <c r="I23" t="s">
        <v>223</v>
      </c>
      <c r="J23" s="69">
        <v>2</v>
      </c>
      <c r="K23" s="69">
        <v>2.5</v>
      </c>
      <c r="L23" s="69">
        <f>H23</f>
        <v>5750</v>
      </c>
      <c r="M23" s="69">
        <f>ROUND(L23*I23%,2)</f>
        <v>115</v>
      </c>
      <c r="N23" s="69">
        <f>H23-M23</f>
        <v>5635</v>
      </c>
      <c r="O23" s="69">
        <f>ROUND(N23*J23%,2)</f>
        <v>112.7</v>
      </c>
      <c r="P23" s="69">
        <f>ROUND(N23-O23,2)</f>
        <v>5522.3</v>
      </c>
      <c r="Q23" s="69">
        <f>ROUND(P23*K23%,2)</f>
        <v>138.06</v>
      </c>
      <c r="R23" s="69">
        <f>ROUND((M23+O23+Q23),2)</f>
        <v>365.76</v>
      </c>
      <c r="S23" s="69">
        <f>ROUND((H23-R23),2)</f>
        <v>5384.24</v>
      </c>
      <c r="T23" s="89" t="s">
        <v>146</v>
      </c>
      <c r="U23" s="79">
        <v>0.18</v>
      </c>
      <c r="V23" s="69">
        <f>IF(OR($C$21=1,$C$21=4),ROUND(((S23*U23)/2),2),0)</f>
        <v>484.58</v>
      </c>
      <c r="W23" s="69">
        <f>IF($C$21=1,ROUND(((S23*U23)/2),2),0)</f>
        <v>484.58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969.16</v>
      </c>
      <c r="AC23" s="68">
        <f>IF($V21=1,S23+AB23,S23)</f>
        <v>6353.4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5384.24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430.73919999999998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430.73919999999998</v>
      </c>
      <c r="AS23" s="83" t="s">
        <v>222</v>
      </c>
      <c r="AT23" s="83" t="s">
        <v>58</v>
      </c>
      <c r="AU23" t="s">
        <v>239</v>
      </c>
      <c r="AV23" t="s">
        <v>389</v>
      </c>
      <c r="AW23" s="83">
        <f>AM23</f>
        <v>12.5</v>
      </c>
      <c r="AX23" s="83">
        <f>AR23</f>
        <v>430.73919999999998</v>
      </c>
      <c r="AY23" s="83">
        <f>AU23+AW23</f>
        <v>12.5</v>
      </c>
      <c r="AZ23" s="83">
        <f>ROUND(((AU23*AV23)+(AW23*AX23))/(AU23+AW23),5)</f>
        <v>430.73919999999998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O23" s="83">
        <f>ROUND((((AW23*AZ23)+(BN23*BM23))/(AW23+BN23)),5)</f>
        <v>430.73919999999998</v>
      </c>
      <c r="BP23" s="87">
        <f>BN23+AW23</f>
        <v>12.5</v>
      </c>
      <c r="BQ23" s="88">
        <v>123562</v>
      </c>
    </row>
    <row r="24" spans="1:69">
      <c r="A24" s="68">
        <v>2</v>
      </c>
      <c r="B24" s="68" t="s">
        <v>390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273</v>
      </c>
      <c r="H24" s="69">
        <f t="shared" ref="H24" si="3">F24*G24</f>
        <v>6608</v>
      </c>
      <c r="I24" t="s">
        <v>391</v>
      </c>
      <c r="J24" s="69">
        <v>2</v>
      </c>
      <c r="K24" s="69">
        <v>2.5</v>
      </c>
      <c r="L24" s="69">
        <f t="shared" ref="L24" si="4">H24</f>
        <v>6608</v>
      </c>
      <c r="M24" s="69">
        <f t="shared" ref="M24" si="5">ROUND(L24*I24%,2)</f>
        <v>190.97</v>
      </c>
      <c r="N24" s="69">
        <f t="shared" ref="N24" si="6">H24-M24</f>
        <v>6417.03</v>
      </c>
      <c r="O24" s="69">
        <f t="shared" ref="O24" si="7">ROUND(N24*J24%,2)</f>
        <v>128.34</v>
      </c>
      <c r="P24" s="69">
        <f t="shared" ref="P24" si="8">ROUND(N24-O24,2)</f>
        <v>6288.69</v>
      </c>
      <c r="Q24" s="69">
        <f t="shared" ref="Q24" si="9">ROUND(P24*K24%,2)</f>
        <v>157.22</v>
      </c>
      <c r="R24" s="69">
        <f t="shared" ref="R24" si="10">ROUND((M24+O24+Q24),2)</f>
        <v>476.53</v>
      </c>
      <c r="S24" s="69">
        <f t="shared" ref="S24" si="11">ROUND((H24-R24),2)</f>
        <v>6131.47</v>
      </c>
      <c r="T24" s="89" t="s">
        <v>372</v>
      </c>
      <c r="U24" s="79">
        <v>0.18</v>
      </c>
      <c r="V24" s="69">
        <f t="shared" ref="V24" si="12">IF(OR($C$21=1,$C$21=4),ROUND(((S24*U24)/2),2),0)</f>
        <v>551.83000000000004</v>
      </c>
      <c r="W24" s="69">
        <f t="shared" ref="W24" si="13">IF($C$21=1,ROUND(((S24*U24)/2),2),0)</f>
        <v>551.83000000000004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1103.6600000000001</v>
      </c>
      <c r="AC24" s="68">
        <f t="shared" ref="AC24" si="18">IF($V22=1,S24+AB24,S24)</f>
        <v>6131.47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6131.47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437.96213999999998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437.96213999999998</v>
      </c>
      <c r="AS24" s="83" t="s">
        <v>222</v>
      </c>
      <c r="AT24" s="83" t="s">
        <v>58</v>
      </c>
      <c r="AU24" t="s">
        <v>239</v>
      </c>
      <c r="AV24" t="s">
        <v>392</v>
      </c>
      <c r="AW24" s="83">
        <f>AM24</f>
        <v>14</v>
      </c>
      <c r="AX24" s="83">
        <f>AR24</f>
        <v>437.96213999999998</v>
      </c>
      <c r="AY24" s="83">
        <f>AU24+AW24</f>
        <v>14</v>
      </c>
      <c r="AZ24" s="83">
        <f>ROUND(((AU24*AV24)+(AW24*AX24))/(AU24+AW24),5)</f>
        <v>437.96213999999998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239</v>
      </c>
      <c r="BN24" t="s">
        <v>239</v>
      </c>
      <c r="BO24" s="83">
        <f>ROUND((((AW24*AZ24)+(BN24*BM24))/(AW24+BN24)),5)</f>
        <v>437.96213999999998</v>
      </c>
      <c r="BP24" s="87">
        <f>BN24+AW24</f>
        <v>14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12358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842.29</v>
      </c>
      <c r="S25" s="71">
        <f>SUM(S23:S24)</f>
        <v>11515.71</v>
      </c>
      <c r="T25" s="71"/>
      <c r="U25" s="71"/>
      <c r="V25" s="77">
        <f t="shared" ref="V25:AE25" si="24">SUM(V23:V24)</f>
        <v>1036.4100000000001</v>
      </c>
      <c r="W25" s="77">
        <f t="shared" si="24"/>
        <v>1036.4100000000001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2072.8200000000002</v>
      </c>
      <c r="AC25" s="80">
        <f t="shared" si="24"/>
        <v>12484.869999999999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11515.71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12358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842.29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11515.71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2072.8200000000002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13588.529999999999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activeCell="B24" sqref="B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393</v>
      </c>
      <c r="C23" s="68" t="s">
        <v>162</v>
      </c>
      <c r="D23" s="68" t="s">
        <v>58</v>
      </c>
      <c r="E23" s="68" t="s">
        <v>163</v>
      </c>
      <c r="F23" s="69">
        <v>18</v>
      </c>
      <c r="G23" t="s">
        <v>360</v>
      </c>
      <c r="H23" s="69">
        <f>F23*G23</f>
        <v>10800</v>
      </c>
      <c r="I23" t="s">
        <v>263</v>
      </c>
      <c r="J23" s="69">
        <v>2</v>
      </c>
      <c r="K23" s="69">
        <v>2.5</v>
      </c>
      <c r="L23" s="69">
        <f>H23</f>
        <v>10800</v>
      </c>
      <c r="M23" s="69">
        <f>ROUND(L23*I23%,2)</f>
        <v>324</v>
      </c>
      <c r="N23" s="69">
        <f>H23-M23</f>
        <v>10476</v>
      </c>
      <c r="O23" s="69">
        <f>ROUND(N23*J23%,2)</f>
        <v>209.52</v>
      </c>
      <c r="P23" s="69">
        <f>ROUND(N23-O23,2)</f>
        <v>10266.48</v>
      </c>
      <c r="Q23" s="69">
        <f>ROUND(P23*K23%,2)</f>
        <v>256.66000000000003</v>
      </c>
      <c r="R23" s="69">
        <f>ROUND((M23+O23+Q23),2)</f>
        <v>790.18</v>
      </c>
      <c r="S23" s="69">
        <f>ROUND((H23-R23),2)</f>
        <v>10009.82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1801.77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1801.77</v>
      </c>
      <c r="AC23" s="68">
        <f>IF($V21=1,S23+AB23,S23)</f>
        <v>11811.59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10009.82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1668.30333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1668.30333</v>
      </c>
      <c r="AS23" s="83" t="s">
        <v>309</v>
      </c>
      <c r="AT23" s="83" t="s">
        <v>58</v>
      </c>
      <c r="AW23" s="83">
        <f>AM23</f>
        <v>6</v>
      </c>
      <c r="AX23" s="83">
        <f>AR23</f>
        <v>1668.30333</v>
      </c>
      <c r="AY23" s="83">
        <f>AU23+AW23</f>
        <v>6</v>
      </c>
      <c r="AZ23" s="83">
        <f>ROUND(((AU23*AV23)+(AW23*AX23))/(AU23+AW23),5)</f>
        <v>1668.30333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1668.30333</v>
      </c>
      <c r="BP23" s="87">
        <f>BN23+AW23</f>
        <v>6</v>
      </c>
      <c r="BQ23" s="88">
        <v>88363222</v>
      </c>
    </row>
    <row r="24" spans="1:69">
      <c r="A24" s="68">
        <v>2</v>
      </c>
      <c r="B24" s="68" t="s">
        <v>394</v>
      </c>
      <c r="C24" s="68" t="s">
        <v>175</v>
      </c>
      <c r="D24" s="68" t="s">
        <v>58</v>
      </c>
      <c r="E24" s="68" t="s">
        <v>163</v>
      </c>
      <c r="F24" s="69">
        <v>21</v>
      </c>
      <c r="G24" t="s">
        <v>254</v>
      </c>
      <c r="H24" s="69">
        <f t="shared" ref="H24" si="3">F24*G24</f>
        <v>10500</v>
      </c>
      <c r="I24" t="s">
        <v>223</v>
      </c>
      <c r="J24" s="69">
        <v>2</v>
      </c>
      <c r="K24" s="69">
        <v>2.5</v>
      </c>
      <c r="L24" s="69">
        <f t="shared" ref="L24" si="4">H24</f>
        <v>10500</v>
      </c>
      <c r="M24" s="69">
        <f t="shared" ref="M24" si="5">ROUND(L24*I24%,2)</f>
        <v>210</v>
      </c>
      <c r="N24" s="69">
        <f t="shared" ref="N24" si="6">H24-M24</f>
        <v>10290</v>
      </c>
      <c r="O24" s="69">
        <f t="shared" ref="O24" si="7">ROUND(N24*J24%,2)</f>
        <v>205.8</v>
      </c>
      <c r="P24" s="69">
        <f t="shared" ref="P24" si="8">ROUND(N24-O24,2)</f>
        <v>10084.200000000001</v>
      </c>
      <c r="Q24" s="69">
        <f t="shared" ref="Q24" si="9">ROUND(P24*K24%,2)</f>
        <v>252.11</v>
      </c>
      <c r="R24" s="69">
        <f t="shared" ref="R24" si="10">ROUND((M24+O24+Q24),2)</f>
        <v>667.91</v>
      </c>
      <c r="S24" s="69">
        <f t="shared" ref="S24" si="11">ROUND((H24-R24),2)</f>
        <v>9832.09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1769.78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1769.78</v>
      </c>
      <c r="AC24" s="68">
        <f t="shared" ref="AC24" si="18">IF($V22=1,S24+AB24,S24)</f>
        <v>9832.09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9832.09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7</v>
      </c>
      <c r="AN24" s="89">
        <f t="shared" ref="AN24" si="20">ROUND(AI24/AM24,5)</f>
        <v>1404.58429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1404.58429</v>
      </c>
      <c r="AS24" s="83" t="s">
        <v>309</v>
      </c>
      <c r="AT24" s="83" t="s">
        <v>58</v>
      </c>
      <c r="AW24" s="83">
        <f>AM24</f>
        <v>7</v>
      </c>
      <c r="AX24" s="83">
        <f>AR24</f>
        <v>1404.58429</v>
      </c>
      <c r="AY24" s="83">
        <f>AU24+AW24</f>
        <v>7</v>
      </c>
      <c r="AZ24" s="83">
        <f>ROUND(((AU24*AV24)+(AW24*AX24))/(AU24+AW24),5)</f>
        <v>1404.58429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1404.58429</v>
      </c>
      <c r="BP24" s="87">
        <f>BN24+AW24</f>
        <v>7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21300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1458.09</v>
      </c>
      <c r="S25" s="71">
        <f>SUM(S23:S24)</f>
        <v>19841.91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3571.55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3571.55</v>
      </c>
      <c r="AC25" s="80">
        <f t="shared" si="24"/>
        <v>21643.68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19841.91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21300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1458.09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19841.91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3571.55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23413.46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4" sqref="BM24"/>
    </sheetView>
  </sheetViews>
  <sheetFormatPr defaultColWidth="9" defaultRowHeight="15"/>
  <cols>
    <col min="2" max="2" width="23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395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343</v>
      </c>
      <c r="H23" s="69">
        <f>F23*G23</f>
        <v>8600</v>
      </c>
      <c r="I23" t="s">
        <v>259</v>
      </c>
      <c r="J23" s="69">
        <v>2</v>
      </c>
      <c r="K23" s="69">
        <v>2.5</v>
      </c>
      <c r="L23" s="69">
        <f>H23</f>
        <v>8600</v>
      </c>
      <c r="M23" s="69">
        <f>ROUND(L23*I23%,2)</f>
        <v>201.24</v>
      </c>
      <c r="N23" s="69">
        <f>H23-M23</f>
        <v>8398.76</v>
      </c>
      <c r="O23" s="69">
        <f>ROUND(N23*J23%,2)</f>
        <v>167.98</v>
      </c>
      <c r="P23" s="69">
        <f>ROUND(N23-O23,2)</f>
        <v>8230.7800000000007</v>
      </c>
      <c r="Q23" s="69">
        <f>ROUND(P23*K23%,2)</f>
        <v>205.77</v>
      </c>
      <c r="R23" s="69">
        <f>ROUND((M23+O23+Q23),2)</f>
        <v>574.99</v>
      </c>
      <c r="S23" s="69">
        <f>ROUND((H23-R23),2)</f>
        <v>8025.01</v>
      </c>
      <c r="T23" s="89" t="s">
        <v>146</v>
      </c>
      <c r="U23" s="79">
        <v>0.18</v>
      </c>
      <c r="V23" s="69">
        <f>IF(OR($C$21=1,$C$21=4),ROUND(((S23*U23)/2),2),0)</f>
        <v>722.25</v>
      </c>
      <c r="W23" s="69">
        <f>IF($C$21=1,ROUND(((S23*U23)/2),2),0)</f>
        <v>722.25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1444.5</v>
      </c>
      <c r="AC23" s="68">
        <f>IF($V21=1,S23+AB23,S23)</f>
        <v>9469.51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8025.01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2</v>
      </c>
      <c r="AM23" s="89">
        <f>F23/AL23</f>
        <v>12.5</v>
      </c>
      <c r="AN23" s="89">
        <f>ROUND(AI23/AM23,5)</f>
        <v>642.00080000000003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642.00080000000003</v>
      </c>
      <c r="AS23" s="83" t="s">
        <v>222</v>
      </c>
      <c r="AT23" s="83" t="s">
        <v>58</v>
      </c>
      <c r="AU23" t="s">
        <v>239</v>
      </c>
      <c r="AV23" t="s">
        <v>396</v>
      </c>
      <c r="AW23" s="83">
        <f>AM23</f>
        <v>12.5</v>
      </c>
      <c r="AX23" s="83">
        <f>AR23</f>
        <v>642.00080000000003</v>
      </c>
      <c r="AY23" s="83">
        <f>AU23+AW23</f>
        <v>12.5</v>
      </c>
      <c r="AZ23" s="83">
        <f>ROUND(((AU23*AV23)+(AW23*AX23))/(AU23+AW23),5)</f>
        <v>642.00080000000003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</v>
      </c>
      <c r="BM23" t="s">
        <v>396</v>
      </c>
      <c r="BN23" t="s">
        <v>397</v>
      </c>
      <c r="BO23" s="83">
        <f>ROUND((((AW23*AZ23)+(BN23*BM23))/(AW23+BN23)),5)</f>
        <v>642.00080000000003</v>
      </c>
      <c r="BP23" s="87">
        <f>BN23+AW23</f>
        <v>75</v>
      </c>
      <c r="BQ23" s="88">
        <v>123562</v>
      </c>
    </row>
    <row r="24" spans="1:69">
      <c r="A24" s="68">
        <v>2</v>
      </c>
      <c r="B24" s="68" t="s">
        <v>398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300</v>
      </c>
      <c r="H24" s="69">
        <f t="shared" ref="H24" si="3">F24*G24</f>
        <v>6552</v>
      </c>
      <c r="I24" t="s">
        <v>399</v>
      </c>
      <c r="J24" s="69">
        <v>2</v>
      </c>
      <c r="K24" s="69">
        <v>2.5</v>
      </c>
      <c r="L24" s="69">
        <f t="shared" ref="L24" si="4">H24</f>
        <v>6552</v>
      </c>
      <c r="M24" s="69">
        <f t="shared" ref="M24" si="5">ROUND(L24*I24%,2)</f>
        <v>81.239999999999995</v>
      </c>
      <c r="N24" s="69">
        <f t="shared" ref="N24" si="6">H24-M24</f>
        <v>6470.76</v>
      </c>
      <c r="O24" s="69">
        <f t="shared" ref="O24" si="7">ROUND(N24*J24%,2)</f>
        <v>129.41999999999999</v>
      </c>
      <c r="P24" s="69">
        <f t="shared" ref="P24" si="8">ROUND(N24-O24,2)</f>
        <v>6341.34</v>
      </c>
      <c r="Q24" s="69">
        <f t="shared" ref="Q24" si="9">ROUND(P24*K24%,2)</f>
        <v>158.53</v>
      </c>
      <c r="R24" s="69">
        <f t="shared" ref="R24" si="10">ROUND((M24+O24+Q24),2)</f>
        <v>369.19</v>
      </c>
      <c r="S24" s="69">
        <f t="shared" ref="S24" si="11">ROUND((H24-R24),2)</f>
        <v>6182.81</v>
      </c>
      <c r="T24" s="89" t="s">
        <v>372</v>
      </c>
      <c r="U24" s="79">
        <v>0.18</v>
      </c>
      <c r="V24" s="69">
        <f t="shared" ref="V24" si="12">IF(OR($C$21=1,$C$21=4),ROUND(((S24*U24)/2),2),0)</f>
        <v>556.45000000000005</v>
      </c>
      <c r="W24" s="69">
        <f t="shared" ref="W24" si="13">IF($C$21=1,ROUND(((S24*U24)/2),2),0)</f>
        <v>556.45000000000005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1112.9000000000001</v>
      </c>
      <c r="AC24" s="68">
        <f t="shared" ref="AC24" si="18">IF($V22=1,S24+AB24,S24)</f>
        <v>6182.81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6182.81</v>
      </c>
      <c r="AJ24" s="89">
        <f t="shared" ref="AJ24" si="19">IF($C$21=3,0,AG24+AH24)</f>
        <v>0</v>
      </c>
      <c r="AK24" s="89">
        <f t="shared" si="2"/>
        <v>0</v>
      </c>
      <c r="AL24" s="108">
        <v>2</v>
      </c>
      <c r="AM24" s="89">
        <f>F24/AL24</f>
        <v>14</v>
      </c>
      <c r="AN24" s="89">
        <f t="shared" ref="AN24" si="20">ROUND(AI24/AM24,5)</f>
        <v>441.62929000000003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441.62929000000003</v>
      </c>
      <c r="AS24" s="83" t="s">
        <v>222</v>
      </c>
      <c r="AT24" s="83" t="s">
        <v>58</v>
      </c>
      <c r="AU24" t="s">
        <v>239</v>
      </c>
      <c r="AV24" t="s">
        <v>400</v>
      </c>
      <c r="AW24" s="83">
        <f>AM24</f>
        <v>14</v>
      </c>
      <c r="AX24" s="83">
        <f>AR24</f>
        <v>441.62929000000003</v>
      </c>
      <c r="AY24" s="83">
        <f>AU24+AW24</f>
        <v>14</v>
      </c>
      <c r="AZ24" s="83">
        <f>ROUND(((AU24*AV24)+(AW24*AX24))/(AU24+AW24),5)</f>
        <v>441.62929000000003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</v>
      </c>
      <c r="BM24" t="s">
        <v>400</v>
      </c>
      <c r="BN24" t="s">
        <v>401</v>
      </c>
      <c r="BO24" s="83">
        <f>ROUND((((AW24*AZ24)+(BN24*BM24))/(AW24+BN24)),5)</f>
        <v>441.62929000000003</v>
      </c>
      <c r="BP24" s="87">
        <f>BN24+AW24</f>
        <v>84</v>
      </c>
      <c r="BQ24" s="88">
        <v>123562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15152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944.18000000000006</v>
      </c>
      <c r="S25" s="71">
        <f>SUM(S23:S24)</f>
        <v>14207.82</v>
      </c>
      <c r="T25" s="71"/>
      <c r="U25" s="71"/>
      <c r="V25" s="77">
        <f t="shared" ref="V25:AE25" si="24">SUM(V23:V24)</f>
        <v>1278.7</v>
      </c>
      <c r="W25" s="77">
        <f t="shared" si="24"/>
        <v>1278.7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2557.4</v>
      </c>
      <c r="AC25" s="80">
        <f t="shared" si="24"/>
        <v>15652.32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14207.82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15152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944.18000000000006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14207.82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2557.4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16765.22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Q39"/>
  <sheetViews>
    <sheetView topLeftCell="BK7" workbookViewId="0">
      <selection activeCell="BP20" sqref="BP20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360</v>
      </c>
      <c r="H23" s="69">
        <f>F23*G23</f>
        <v>9000</v>
      </c>
      <c r="I23" t="s">
        <v>223</v>
      </c>
      <c r="J23" s="69">
        <v>2</v>
      </c>
      <c r="K23" s="69">
        <v>2.5</v>
      </c>
      <c r="L23" s="69">
        <f>H23</f>
        <v>9000</v>
      </c>
      <c r="M23" s="69">
        <f>ROUND(L23*I23%,2)</f>
        <v>180</v>
      </c>
      <c r="N23" s="69">
        <f>H23-M23</f>
        <v>8820</v>
      </c>
      <c r="O23" s="69">
        <f>ROUND(N23*J23%,2)</f>
        <v>176.4</v>
      </c>
      <c r="P23" s="69">
        <f>ROUND(N23-O23,2)</f>
        <v>8643.6</v>
      </c>
      <c r="Q23" s="69">
        <f>ROUND(P23*K23%,2)</f>
        <v>216.09</v>
      </c>
      <c r="R23" s="69">
        <f>ROUND((M23+O23+Q23),2)</f>
        <v>572.49</v>
      </c>
      <c r="S23" s="69">
        <f>ROUND((H23-R23),2)</f>
        <v>8427.51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1516.95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1516.95</v>
      </c>
      <c r="AC23" s="68">
        <f>IF($V21=1,S23+AB23,S23)</f>
        <v>9944.4600000000009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8427.51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1685.502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1685.502</v>
      </c>
      <c r="AS23" s="83" t="s">
        <v>309</v>
      </c>
      <c r="AT23" s="83" t="s">
        <v>58</v>
      </c>
      <c r="AW23" s="83">
        <f>AM23</f>
        <v>5</v>
      </c>
      <c r="AX23" s="83">
        <f>AR23</f>
        <v>1685.502</v>
      </c>
      <c r="AY23" s="83">
        <f>AU23+AW23</f>
        <v>5</v>
      </c>
      <c r="AZ23" s="83">
        <f>ROUND(((AU23*AV23)+(AW23*AX23))/(AU23+AW23),5)</f>
        <v>1685.502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311</v>
      </c>
      <c r="BM23" t="s">
        <v>239</v>
      </c>
      <c r="BN23" t="s">
        <v>239</v>
      </c>
      <c r="BO23" s="83">
        <f>ROUND((((AW23*AZ23)+(BN23*BM23))/(AW23+BN23)),5)</f>
        <v>1685.502</v>
      </c>
      <c r="BP23" s="87">
        <f>BN23+AW23</f>
        <v>5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30</v>
      </c>
      <c r="G24" t="s">
        <v>254</v>
      </c>
      <c r="H24" s="69">
        <f t="shared" ref="H24" si="3">F24*G24</f>
        <v>15000</v>
      </c>
      <c r="I24" t="s">
        <v>223</v>
      </c>
      <c r="J24" s="69">
        <v>2</v>
      </c>
      <c r="K24" s="69">
        <v>2.5</v>
      </c>
      <c r="L24" s="69">
        <f t="shared" ref="L24" si="4">H24</f>
        <v>15000</v>
      </c>
      <c r="M24" s="69">
        <f t="shared" ref="M24" si="5">ROUND(L24*I24%,2)</f>
        <v>300</v>
      </c>
      <c r="N24" s="69">
        <f t="shared" ref="N24" si="6">H24-M24</f>
        <v>14700</v>
      </c>
      <c r="O24" s="69">
        <f t="shared" ref="O24" si="7">ROUND(N24*J24%,2)</f>
        <v>294</v>
      </c>
      <c r="P24" s="69">
        <f t="shared" ref="P24" si="8">ROUND(N24-O24,2)</f>
        <v>14406</v>
      </c>
      <c r="Q24" s="69">
        <f t="shared" ref="Q24" si="9">ROUND(P24*K24%,2)</f>
        <v>360.15</v>
      </c>
      <c r="R24" s="69">
        <f t="shared" ref="R24" si="10">ROUND((M24+O24+Q24),2)</f>
        <v>954.15</v>
      </c>
      <c r="S24" s="69">
        <f t="shared" ref="S24" si="11">ROUND((H24-R24),2)</f>
        <v>14045.85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2528.25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2528.25</v>
      </c>
      <c r="AC24" s="68">
        <f t="shared" ref="AC24" si="18">IF($V22=1,S24+AB24,S24)</f>
        <v>14045.85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14045.85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10</v>
      </c>
      <c r="AN24" s="89">
        <f t="shared" ref="AN24" si="20">ROUND(AI24/AM24,5)</f>
        <v>1404.585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1404.585</v>
      </c>
      <c r="AS24" s="83" t="s">
        <v>309</v>
      </c>
      <c r="AT24" s="83" t="s">
        <v>58</v>
      </c>
      <c r="AW24" s="83">
        <f>AM24</f>
        <v>10</v>
      </c>
      <c r="AX24" s="83">
        <f>AR24</f>
        <v>1404.585</v>
      </c>
      <c r="AY24" s="83">
        <f>AU24+AW24</f>
        <v>10</v>
      </c>
      <c r="AZ24" s="83">
        <f>ROUND(((AU24*AV24)+(AW24*AX24))/(AU24+AW24),5)</f>
        <v>1404.585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311</v>
      </c>
      <c r="BM24" t="s">
        <v>239</v>
      </c>
      <c r="BN24" t="s">
        <v>239</v>
      </c>
      <c r="BO24" s="83">
        <f>ROUND((((AW24*AZ24)+(BN24*BM24))/(AW24+BN24)),5)</f>
        <v>1404.585</v>
      </c>
      <c r="BP24" s="87">
        <f>BN24+AW24</f>
        <v>10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24000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1526.6399999999999</v>
      </c>
      <c r="S25" s="71">
        <f>SUM(S23:S24)</f>
        <v>22473.360000000001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4045.2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4045.2</v>
      </c>
      <c r="AC25" s="80">
        <f t="shared" si="24"/>
        <v>23990.31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22473.360000000001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24000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1526.6399999999999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22473.360000000001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4045.2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26518.560000000001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311</v>
      </c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D32" sqref="D32"/>
    </sheetView>
  </sheetViews>
  <sheetFormatPr defaultColWidth="9" defaultRowHeight="15"/>
  <cols>
    <col min="2" max="2" width="34.71093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384</v>
      </c>
      <c r="C23" s="68" t="s">
        <v>162</v>
      </c>
      <c r="D23" s="68" t="s">
        <v>58</v>
      </c>
      <c r="E23" s="68" t="s">
        <v>163</v>
      </c>
      <c r="F23" s="69">
        <v>15</v>
      </c>
      <c r="G23" t="s">
        <v>404</v>
      </c>
      <c r="H23" s="69">
        <f>F23*G23</f>
        <v>3555</v>
      </c>
      <c r="I23" t="s">
        <v>405</v>
      </c>
      <c r="J23" s="69">
        <v>2</v>
      </c>
      <c r="K23" s="69">
        <v>2.5</v>
      </c>
      <c r="L23" s="69">
        <f>H23</f>
        <v>3555</v>
      </c>
      <c r="M23" s="69">
        <f>ROUND(L23*I23%,2)</f>
        <v>99.54</v>
      </c>
      <c r="N23" s="69">
        <f>H23-M23</f>
        <v>3455.46</v>
      </c>
      <c r="O23" s="69">
        <f>ROUND(N23*J23%,2)</f>
        <v>69.11</v>
      </c>
      <c r="P23" s="69">
        <f>ROUND(N23-O23,2)</f>
        <v>3386.35</v>
      </c>
      <c r="Q23" s="69">
        <f>ROUND(P23*K23%,2)</f>
        <v>84.66</v>
      </c>
      <c r="R23" s="69">
        <f>ROUND((M23+O23+Q23),2)</f>
        <v>253.31</v>
      </c>
      <c r="S23" s="69">
        <f>ROUND((H23-R23),2)</f>
        <v>3301.69</v>
      </c>
      <c r="T23" s="89" t="s">
        <v>146</v>
      </c>
      <c r="U23" s="79">
        <v>0.18</v>
      </c>
      <c r="V23" s="69">
        <f>IF(OR($C$21=1,$C$21=4),ROUND(((S23*U23)/2),2),0)</f>
        <v>297.14999999999998</v>
      </c>
      <c r="W23" s="69">
        <f>IF($C$21=1,ROUND(((S23*U23)/2),2),0)</f>
        <v>297.14999999999998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594.29999999999995</v>
      </c>
      <c r="AC23" s="68">
        <f>IF($V21=1,S23+AB23,S23)</f>
        <v>3895.99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3301.69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5</v>
      </c>
      <c r="AN23" s="89">
        <f>ROUND(AI23/AM23,5)</f>
        <v>660.33799999999997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660.33799999999997</v>
      </c>
      <c r="AS23" s="83" t="s">
        <v>229</v>
      </c>
      <c r="AT23" s="83" t="s">
        <v>58</v>
      </c>
      <c r="AU23" t="s">
        <v>239</v>
      </c>
      <c r="AV23" t="s">
        <v>406</v>
      </c>
      <c r="AW23" s="83">
        <f>AM23</f>
        <v>5</v>
      </c>
      <c r="AX23" s="83">
        <f>AR23</f>
        <v>660.33799999999997</v>
      </c>
      <c r="AY23" s="83">
        <f>AU23+AW23</f>
        <v>5</v>
      </c>
      <c r="AZ23" s="83">
        <f>ROUND(((AU23*AV23)+(AW23*AX23))/(AU23+AW23),5)</f>
        <v>660.33799999999997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406</v>
      </c>
      <c r="BN23" t="s">
        <v>407</v>
      </c>
      <c r="BO23" s="83">
        <f>ROUND((((AW23*AZ23)+(BN23*BM23))/(AW23+BN23)),5)</f>
        <v>452.12356999999997</v>
      </c>
      <c r="BP23" s="87">
        <f>BN23+AW23</f>
        <v>92.5</v>
      </c>
      <c r="BQ23" s="88">
        <v>88363222</v>
      </c>
    </row>
    <row r="24" spans="1:69">
      <c r="A24" s="68">
        <v>2</v>
      </c>
      <c r="B24" s="68" t="s">
        <v>408</v>
      </c>
      <c r="C24" s="68" t="s">
        <v>175</v>
      </c>
      <c r="D24" s="68" t="s">
        <v>58</v>
      </c>
      <c r="E24" s="68" t="s">
        <v>163</v>
      </c>
      <c r="F24" s="69">
        <v>24</v>
      </c>
      <c r="G24" t="s">
        <v>409</v>
      </c>
      <c r="H24" s="69">
        <f t="shared" ref="H24" si="3">F24*G24</f>
        <v>10944</v>
      </c>
      <c r="I24" t="s">
        <v>356</v>
      </c>
      <c r="J24" s="69">
        <v>2</v>
      </c>
      <c r="K24" s="69">
        <v>2.5</v>
      </c>
      <c r="L24" s="69">
        <f t="shared" ref="L24" si="4">H24</f>
        <v>10944</v>
      </c>
      <c r="M24" s="69">
        <f t="shared" ref="M24" si="5">ROUND(L24*I24%,2)</f>
        <v>273.60000000000002</v>
      </c>
      <c r="N24" s="69">
        <f t="shared" ref="N24" si="6">H24-M24</f>
        <v>10670.4</v>
      </c>
      <c r="O24" s="69">
        <f t="shared" ref="O24" si="7">ROUND(N24*J24%,2)</f>
        <v>213.41</v>
      </c>
      <c r="P24" s="69">
        <f t="shared" ref="P24" si="8">ROUND(N24-O24,2)</f>
        <v>10456.99</v>
      </c>
      <c r="Q24" s="69">
        <f t="shared" ref="Q24" si="9">ROUND(P24*K24%,2)</f>
        <v>261.42</v>
      </c>
      <c r="R24" s="69">
        <f t="shared" ref="R24" si="10">ROUND((M24+O24+Q24),2)</f>
        <v>748.43</v>
      </c>
      <c r="S24" s="69">
        <f t="shared" ref="S24" si="11">ROUND((H24-R24),2)</f>
        <v>10195.57</v>
      </c>
      <c r="T24" s="89" t="s">
        <v>372</v>
      </c>
      <c r="U24" s="79">
        <v>0.18</v>
      </c>
      <c r="V24" s="69">
        <f t="shared" ref="V24" si="12">IF(OR($C$21=1,$C$21=4),ROUND(((S24*U24)/2),2),0)</f>
        <v>917.6</v>
      </c>
      <c r="W24" s="69">
        <f t="shared" ref="W24" si="13">IF($C$21=1,ROUND(((S24*U24)/2),2),0)</f>
        <v>917.6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1835.2</v>
      </c>
      <c r="AC24" s="68">
        <f t="shared" ref="AC24" si="18">IF($V22=1,S24+AB24,S24)</f>
        <v>10195.57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10195.57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8</v>
      </c>
      <c r="AN24" s="89">
        <f t="shared" ref="AN24" si="20">ROUND(AI24/AM24,5)</f>
        <v>1274.44625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1274.44625</v>
      </c>
      <c r="AS24" s="83" t="s">
        <v>229</v>
      </c>
      <c r="AT24" s="83" t="s">
        <v>58</v>
      </c>
      <c r="AU24" t="s">
        <v>239</v>
      </c>
      <c r="AV24" t="s">
        <v>410</v>
      </c>
      <c r="AW24" s="83">
        <f>AM24</f>
        <v>8</v>
      </c>
      <c r="AX24" s="83">
        <f>AR24</f>
        <v>1274.44625</v>
      </c>
      <c r="AY24" s="83">
        <f>AU24+AW24</f>
        <v>8</v>
      </c>
      <c r="AZ24" s="83">
        <f>ROUND(((AU24*AV24)+(AW24*AX24))/(AU24+AW24),5)</f>
        <v>1274.44625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411</v>
      </c>
      <c r="BN24" t="s">
        <v>412</v>
      </c>
      <c r="BO24" s="83">
        <f>ROUND((((AW24*AZ24)+(BN24*BM24))/(AW24+BN24)),5)</f>
        <v>966.82590000000005</v>
      </c>
      <c r="BP24" s="87">
        <f>BN24+AW24</f>
        <v>96.667000000000002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14499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1001.74</v>
      </c>
      <c r="S25" s="71">
        <f>SUM(S23:S24)</f>
        <v>13497.26</v>
      </c>
      <c r="T25" s="71"/>
      <c r="U25" s="71"/>
      <c r="V25" s="77">
        <f t="shared" ref="V25:AE25" si="24">SUM(V23:V24)</f>
        <v>1214.75</v>
      </c>
      <c r="W25" s="77">
        <f t="shared" si="24"/>
        <v>1214.75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2429.5</v>
      </c>
      <c r="AC25" s="80">
        <f t="shared" si="24"/>
        <v>14091.56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13497.26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94">
        <f>H25</f>
        <v>14499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94">
        <f>R25</f>
        <v>1001.74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94">
        <f>S25</f>
        <v>13497.26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94">
        <f>AB25</f>
        <v>2429.5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92">
        <f>I29+I30</f>
        <v>15926.76</v>
      </c>
      <c r="J31" s="29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Q39"/>
  <sheetViews>
    <sheetView topLeftCell="A19" workbookViewId="0">
      <selection sqref="A1:XFD1048576"/>
    </sheetView>
  </sheetViews>
  <sheetFormatPr defaultColWidth="9" defaultRowHeight="15"/>
  <cols>
    <col min="2" max="2" width="30.8554687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386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254</v>
      </c>
      <c r="H23" s="69">
        <f>F23*G23</f>
        <v>4500</v>
      </c>
      <c r="I23" t="s">
        <v>223</v>
      </c>
      <c r="J23" s="69">
        <v>2</v>
      </c>
      <c r="K23" s="69">
        <v>2.5</v>
      </c>
      <c r="L23" s="69">
        <f>H23</f>
        <v>4500</v>
      </c>
      <c r="M23" s="69">
        <f>ROUND(L23*I23%,2)</f>
        <v>90</v>
      </c>
      <c r="N23" s="69">
        <f>H23-M23</f>
        <v>4410</v>
      </c>
      <c r="O23" s="69">
        <f>ROUND(N23*J23%,2)</f>
        <v>88.2</v>
      </c>
      <c r="P23" s="69">
        <f>ROUND(N23-O23,2)</f>
        <v>4321.8</v>
      </c>
      <c r="Q23" s="69">
        <f>ROUND(P23*K23%,2)</f>
        <v>108.05</v>
      </c>
      <c r="R23" s="69">
        <f>ROUND((M23+O23+Q23),2)</f>
        <v>286.25</v>
      </c>
      <c r="S23" s="69">
        <f>ROUND((H23-R23),2)</f>
        <v>4213.75</v>
      </c>
      <c r="T23" s="89" t="s">
        <v>146</v>
      </c>
      <c r="U23" s="79">
        <v>0.18</v>
      </c>
      <c r="V23" s="69">
        <f>IF(OR($C$21=1,$C$21=4),ROUND(((S23*U23)/2),2),0)</f>
        <v>379.24</v>
      </c>
      <c r="W23" s="69">
        <f>IF($C$21=1,ROUND(((S23*U23)/2),2),0)</f>
        <v>379.24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758.48</v>
      </c>
      <c r="AC23" s="68">
        <f>IF($V21=1,S23+AB23,S23)</f>
        <v>4972.2299999999996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4213.75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1404.5833299999999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1404.5833299999999</v>
      </c>
      <c r="AS23" s="83" t="s">
        <v>229</v>
      </c>
      <c r="AT23" s="83" t="s">
        <v>58</v>
      </c>
      <c r="AU23" t="s">
        <v>239</v>
      </c>
      <c r="AV23" t="s">
        <v>413</v>
      </c>
      <c r="AW23" s="83">
        <f>AM23</f>
        <v>3</v>
      </c>
      <c r="AX23" s="83">
        <f>AR23</f>
        <v>1404.5833299999999</v>
      </c>
      <c r="AY23" s="83">
        <f>AU23+AW23</f>
        <v>3</v>
      </c>
      <c r="AZ23" s="83">
        <f>ROUND(((AU23*AV23)+(AW23*AX23))/(AU23+AW23),5)</f>
        <v>1404.5833299999999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414</v>
      </c>
      <c r="BN23" t="s">
        <v>415</v>
      </c>
      <c r="BO23" s="83">
        <f>ROUND((((AW23*AZ23)+(BN23*BM23))/(AW23+BN23)),5)</f>
        <v>1407.72101</v>
      </c>
      <c r="BP23" s="87">
        <f>BN23+AW23</f>
        <v>276</v>
      </c>
      <c r="BQ23" s="88">
        <v>88363222</v>
      </c>
    </row>
    <row r="24" spans="1:69">
      <c r="A24" s="68">
        <v>2</v>
      </c>
      <c r="B24" s="68" t="s">
        <v>416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263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135</v>
      </c>
      <c r="N24" s="69">
        <f t="shared" ref="N24" si="6">H24-M24</f>
        <v>4365</v>
      </c>
      <c r="O24" s="69">
        <f t="shared" ref="O24" si="7">ROUND(N24*J24%,2)</f>
        <v>87.3</v>
      </c>
      <c r="P24" s="69">
        <f t="shared" ref="P24" si="8">ROUND(N24-O24,2)</f>
        <v>4277.7</v>
      </c>
      <c r="Q24" s="69">
        <f t="shared" ref="Q24" si="9">ROUND(P24*K24%,2)</f>
        <v>106.94</v>
      </c>
      <c r="R24" s="69">
        <f t="shared" ref="R24" si="10">ROUND((M24+O24+Q24),2)</f>
        <v>329.24</v>
      </c>
      <c r="S24" s="69">
        <f t="shared" ref="S24" si="11">ROUND((H24-R24),2)</f>
        <v>4170.76</v>
      </c>
      <c r="T24" s="89" t="s">
        <v>372</v>
      </c>
      <c r="U24" s="79">
        <v>0.18</v>
      </c>
      <c r="V24" s="69">
        <f t="shared" ref="V24" si="12">IF(OR($C$21=1,$C$21=4),ROUND(((S24*U24)/2),2),0)</f>
        <v>375.37</v>
      </c>
      <c r="W24" s="69">
        <f t="shared" ref="W24" si="13">IF($C$21=1,ROUND(((S24*U24)/2),2),0)</f>
        <v>375.37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750.74</v>
      </c>
      <c r="AC24" s="68">
        <f t="shared" ref="AC24" si="18">IF($V22=1,S24+AB24,S24)</f>
        <v>4170.76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4170.76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834.15200000000004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834.15200000000004</v>
      </c>
      <c r="AS24" s="83" t="s">
        <v>229</v>
      </c>
      <c r="AT24" s="83" t="s">
        <v>58</v>
      </c>
      <c r="AU24" t="s">
        <v>239</v>
      </c>
      <c r="AV24" t="s">
        <v>418</v>
      </c>
      <c r="AW24" s="83">
        <f>AM24</f>
        <v>5</v>
      </c>
      <c r="AX24" s="83">
        <f>AR24</f>
        <v>834.15200000000004</v>
      </c>
      <c r="AY24" s="83">
        <f>AU24+AW24</f>
        <v>5</v>
      </c>
      <c r="AZ24" s="83">
        <f>ROUND(((AU24*AV24)+(AW24*AX24))/(AU24+AW24),5)</f>
        <v>834.15200000000004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418</v>
      </c>
      <c r="BN24" t="s">
        <v>419</v>
      </c>
      <c r="BO24" s="83">
        <f>ROUND((((AW24*AZ24)+(BN24*BM24))/(AW24+BN24)),5)</f>
        <v>834.15200000000004</v>
      </c>
      <c r="BP24" s="87">
        <f>BN24+AW24</f>
        <v>260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615.49</v>
      </c>
      <c r="S25" s="71">
        <f>SUM(S23:S24)</f>
        <v>8384.51</v>
      </c>
      <c r="T25" s="71"/>
      <c r="U25" s="71"/>
      <c r="V25" s="77">
        <f t="shared" ref="V25:AE25" si="24">SUM(V23:V24)</f>
        <v>754.61</v>
      </c>
      <c r="W25" s="77">
        <f t="shared" si="24"/>
        <v>754.61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1509.22</v>
      </c>
      <c r="AC25" s="80">
        <f t="shared" si="24"/>
        <v>9142.99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8384.51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94">
        <f>H25</f>
        <v>9000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94">
        <f>R25</f>
        <v>615.49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94">
        <f>S25</f>
        <v>8384.51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94">
        <f>AB25</f>
        <v>1509.22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92">
        <f>I29+I30</f>
        <v>9893.73</v>
      </c>
      <c r="J31" s="29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Q39"/>
  <sheetViews>
    <sheetView topLeftCell="A10" workbookViewId="0">
      <selection activeCell="D24" sqref="D24"/>
    </sheetView>
  </sheetViews>
  <sheetFormatPr defaultColWidth="9" defaultRowHeight="15"/>
  <cols>
    <col min="2" max="2" width="26.42578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96" t="s">
        <v>89</v>
      </c>
      <c r="B21" s="29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420</v>
      </c>
      <c r="C23" s="68" t="s">
        <v>162</v>
      </c>
      <c r="D23" s="68" t="s">
        <v>58</v>
      </c>
      <c r="E23" s="68" t="s">
        <v>163</v>
      </c>
      <c r="F23" s="69">
        <v>18</v>
      </c>
      <c r="G23" s="69">
        <v>257.63</v>
      </c>
      <c r="H23" s="69">
        <f>F23*G23</f>
        <v>4637.34</v>
      </c>
      <c r="I23" s="69">
        <v>1</v>
      </c>
      <c r="J23" s="69">
        <v>2</v>
      </c>
      <c r="K23" s="69">
        <v>2.5</v>
      </c>
      <c r="L23" s="69">
        <f>H23</f>
        <v>4637.34</v>
      </c>
      <c r="M23" s="69">
        <f>ROUND(L23*I23%,2)</f>
        <v>46.37</v>
      </c>
      <c r="N23" s="69">
        <f>H23-M23</f>
        <v>4590.97</v>
      </c>
      <c r="O23" s="69">
        <f>ROUND(N23*J23%,2)</f>
        <v>91.82</v>
      </c>
      <c r="P23" s="69">
        <f>ROUND(N23-O23,2)</f>
        <v>4499.1499999999996</v>
      </c>
      <c r="Q23" s="69">
        <f>ROUND(P23*K23%,2)</f>
        <v>112.48</v>
      </c>
      <c r="R23" s="69">
        <f>ROUND((M23+O23+Q23),2)</f>
        <v>250.67</v>
      </c>
      <c r="S23" s="69">
        <f>ROUND((H23-R23),2)</f>
        <v>4386.67</v>
      </c>
      <c r="T23" s="89" t="s">
        <v>146</v>
      </c>
      <c r="U23" s="79">
        <v>0.18</v>
      </c>
      <c r="V23" s="69">
        <f>IF(OR($C$21=1,$C$21=4),ROUND(((S23*U23)/2),2),0)</f>
        <v>394.8</v>
      </c>
      <c r="W23" s="69">
        <f>IF($C$21=1,ROUND(((S23*U23)/2),2),0)</f>
        <v>394.8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789.6</v>
      </c>
      <c r="AC23" s="68">
        <f>IF($V21=1,S23+AB23,S23)</f>
        <v>5176.2700000000004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4386.67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6</v>
      </c>
      <c r="AN23" s="89">
        <f>ROUND(AI23/AM23,5)</f>
        <v>731.11167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731.11167</v>
      </c>
      <c r="AS23" s="83" t="s">
        <v>229</v>
      </c>
      <c r="AT23" s="83" t="s">
        <v>58</v>
      </c>
      <c r="AU23" t="s">
        <v>239</v>
      </c>
      <c r="AV23" t="s">
        <v>421</v>
      </c>
      <c r="AW23" s="83">
        <f>AM23</f>
        <v>6</v>
      </c>
      <c r="AX23" s="83">
        <f>AR23</f>
        <v>731.11167</v>
      </c>
      <c r="AY23" s="83">
        <f>AU23+AW23</f>
        <v>6</v>
      </c>
      <c r="AZ23" s="83">
        <f>ROUND(((AU23*AV23)+(AW23*AX23))/(AU23+AW23),5)</f>
        <v>731.11167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57" t="s">
        <v>230</v>
      </c>
      <c r="BM23" t="s">
        <v>421</v>
      </c>
      <c r="BN23" t="s">
        <v>422</v>
      </c>
      <c r="BO23" s="83">
        <f>ROUND((((AW23*AZ23)+(BN23*BM23))/(AW23+BN23)),5)</f>
        <v>505.45938000000001</v>
      </c>
      <c r="BP23" s="87">
        <f>BN23+AW23</f>
        <v>81</v>
      </c>
      <c r="BQ23" s="88">
        <v>88363222</v>
      </c>
    </row>
    <row r="24" spans="1:69">
      <c r="A24" s="68">
        <v>2</v>
      </c>
      <c r="B24" s="68" t="s">
        <v>423</v>
      </c>
      <c r="C24" s="68" t="s">
        <v>175</v>
      </c>
      <c r="D24" s="68" t="s">
        <v>58</v>
      </c>
      <c r="E24" s="68" t="s">
        <v>163</v>
      </c>
      <c r="F24" s="69">
        <v>12</v>
      </c>
      <c r="G24" s="69">
        <v>150.5</v>
      </c>
      <c r="H24" s="69">
        <f t="shared" ref="H24" si="3">F24*G24</f>
        <v>1806</v>
      </c>
      <c r="I24" s="69">
        <v>1</v>
      </c>
      <c r="J24" s="69">
        <v>2</v>
      </c>
      <c r="K24" s="69">
        <v>2.5</v>
      </c>
      <c r="L24" s="69">
        <f t="shared" ref="L24" si="4">H24</f>
        <v>1806</v>
      </c>
      <c r="M24" s="69">
        <f t="shared" ref="M24" si="5">ROUND(L24*I24%,2)</f>
        <v>18.059999999999999</v>
      </c>
      <c r="N24" s="69">
        <f t="shared" ref="N24" si="6">H24-M24</f>
        <v>1787.94</v>
      </c>
      <c r="O24" s="69">
        <f t="shared" ref="O24" si="7">ROUND(N24*J24%,2)</f>
        <v>35.76</v>
      </c>
      <c r="P24" s="69">
        <f t="shared" ref="P24" si="8">ROUND(N24-O24,2)</f>
        <v>1752.18</v>
      </c>
      <c r="Q24" s="69">
        <f t="shared" ref="Q24" si="9">ROUND(P24*K24%,2)</f>
        <v>43.8</v>
      </c>
      <c r="R24" s="69">
        <f t="shared" ref="R24" si="10">ROUND((M24+O24+Q24),2)</f>
        <v>97.62</v>
      </c>
      <c r="S24" s="69">
        <f t="shared" ref="S24" si="11">ROUND((H24-R24),2)</f>
        <v>1708.38</v>
      </c>
      <c r="T24" s="89" t="s">
        <v>372</v>
      </c>
      <c r="U24" s="79">
        <v>0.18</v>
      </c>
      <c r="V24" s="69">
        <f t="shared" ref="V24" si="12">IF(OR($C$21=1,$C$21=4),ROUND(((S24*U24)/2),2),0)</f>
        <v>153.75</v>
      </c>
      <c r="W24" s="69">
        <f t="shared" ref="W24" si="13">IF($C$21=1,ROUND(((S24*U24)/2),2),0)</f>
        <v>153.75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307.5</v>
      </c>
      <c r="AC24" s="68">
        <f t="shared" ref="AC24" si="18">IF($V22=1,S24+AB24,S24)</f>
        <v>1708.38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1708.38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427.09500000000003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427.09500000000003</v>
      </c>
      <c r="AS24" s="83" t="s">
        <v>229</v>
      </c>
      <c r="AT24" s="83" t="s">
        <v>58</v>
      </c>
      <c r="AU24" t="s">
        <v>239</v>
      </c>
      <c r="AV24" t="s">
        <v>424</v>
      </c>
      <c r="AW24" s="83">
        <f>AM24</f>
        <v>4</v>
      </c>
      <c r="AX24" s="83">
        <f>AR24</f>
        <v>427.09500000000003</v>
      </c>
      <c r="AY24" s="83">
        <f>AU24+AW24</f>
        <v>4</v>
      </c>
      <c r="AZ24" s="83">
        <f>ROUND(((AU24*AV24)+(AW24*AX24))/(AU24+AW24),5)</f>
        <v>427.09500000000003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57" t="s">
        <v>230</v>
      </c>
      <c r="BM24" t="s">
        <v>424</v>
      </c>
      <c r="BN24" t="s">
        <v>425</v>
      </c>
      <c r="BO24" s="83">
        <f>ROUND((((AW24*AZ24)+(BN24*BM24))/(AW24+BN24)),5)</f>
        <v>291.20046000000002</v>
      </c>
      <c r="BP24" s="87">
        <f>BN24+AW24</f>
        <v>88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6443.34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348.28999999999996</v>
      </c>
      <c r="S25" s="71">
        <f>SUM(S23:S24)</f>
        <v>6095.05</v>
      </c>
      <c r="T25" s="71"/>
      <c r="U25" s="71"/>
      <c r="V25" s="77">
        <f t="shared" ref="V25:AE25" si="24">SUM(V23:V24)</f>
        <v>548.54999999999995</v>
      </c>
      <c r="W25" s="77">
        <f t="shared" si="24"/>
        <v>548.54999999999995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1097.0999999999999</v>
      </c>
      <c r="AC25" s="80">
        <f t="shared" si="24"/>
        <v>6884.6500000000005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6095.05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94">
        <f>H25</f>
        <v>6443.34</v>
      </c>
      <c r="J27" s="295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94">
        <f>R25</f>
        <v>348.28999999999996</v>
      </c>
      <c r="J28" s="295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94">
        <f>S25</f>
        <v>6095.05</v>
      </c>
      <c r="J29" s="295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94">
        <f>AB25</f>
        <v>1097.0999999999999</v>
      </c>
      <c r="J30" s="295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92">
        <f>I29+I30</f>
        <v>7192.15</v>
      </c>
      <c r="J31" s="293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Q39"/>
  <sheetViews>
    <sheetView topLeftCell="B10" workbookViewId="0">
      <selection activeCell="B24" sqref="B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394</v>
      </c>
      <c r="C23" s="68" t="s">
        <v>162</v>
      </c>
      <c r="D23" s="68" t="s">
        <v>58</v>
      </c>
      <c r="E23" s="68" t="s">
        <v>163</v>
      </c>
      <c r="F23" s="69">
        <v>9</v>
      </c>
      <c r="G23" t="s">
        <v>426</v>
      </c>
      <c r="H23" s="69">
        <f>F23*G23</f>
        <v>405</v>
      </c>
      <c r="I23" t="s">
        <v>223</v>
      </c>
      <c r="J23" s="69">
        <v>2</v>
      </c>
      <c r="K23" s="69">
        <v>2.5</v>
      </c>
      <c r="L23" s="69">
        <f>H23</f>
        <v>405</v>
      </c>
      <c r="M23" s="69">
        <f>ROUND(L23*I23%,2)</f>
        <v>8.1</v>
      </c>
      <c r="N23" s="69">
        <f>H23-M23</f>
        <v>396.9</v>
      </c>
      <c r="O23" s="69">
        <f>ROUND(N23*J23%,2)</f>
        <v>7.94</v>
      </c>
      <c r="P23" s="69">
        <f>ROUND(N23-O23,2)</f>
        <v>388.96</v>
      </c>
      <c r="Q23" s="69">
        <f>ROUND(P23*K23%,2)</f>
        <v>9.7200000000000006</v>
      </c>
      <c r="R23" s="69">
        <f>ROUND((M23+O23+Q23),2)</f>
        <v>25.76</v>
      </c>
      <c r="S23" s="69">
        <f>ROUND((H23-R23),2)</f>
        <v>379.24</v>
      </c>
      <c r="T23" s="89" t="s">
        <v>146</v>
      </c>
      <c r="U23" s="79">
        <v>0.18</v>
      </c>
      <c r="V23" s="69">
        <f>IF(OR($C$21=1,$C$21=4),ROUND(((S23*U23)/2),2),0)</f>
        <v>34.130000000000003</v>
      </c>
      <c r="W23" s="69">
        <f>IF($C$21=1,ROUND(((S23*U23)/2),2),0)</f>
        <v>34.130000000000003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68.260000000000005</v>
      </c>
      <c r="AC23" s="68">
        <f>IF($V21=1,S23+AB23,S23)</f>
        <v>447.5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379.24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3</v>
      </c>
      <c r="AN23" s="89">
        <f>ROUND(AI23/AM23,5)</f>
        <v>126.41333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126.41333</v>
      </c>
      <c r="AS23" s="83" t="s">
        <v>229</v>
      </c>
      <c r="AT23" s="83" t="s">
        <v>58</v>
      </c>
      <c r="AU23" t="s">
        <v>239</v>
      </c>
      <c r="AV23" t="s">
        <v>427</v>
      </c>
      <c r="AW23" s="83">
        <f>AM23</f>
        <v>3</v>
      </c>
      <c r="AX23" s="83">
        <f>AR23</f>
        <v>126.41333</v>
      </c>
      <c r="AY23" s="83">
        <f>AU23+AW23</f>
        <v>3</v>
      </c>
      <c r="AZ23" s="83">
        <f>ROUND(((AU23*AV23)+(AW23*AX23))/(AU23+AW23),5)</f>
        <v>126.41333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427</v>
      </c>
      <c r="BN23" t="s">
        <v>407</v>
      </c>
      <c r="BO23" s="83">
        <f>ROUND((((AW23*AZ23)+(BN23*BM23))/(AW23+BN23)),5)</f>
        <v>85.672039999999996</v>
      </c>
      <c r="BP23" s="87">
        <f>BN23+AW23</f>
        <v>90.5</v>
      </c>
      <c r="BQ23" s="88">
        <v>88363222</v>
      </c>
    </row>
    <row r="24" spans="1:69">
      <c r="A24" s="68">
        <v>2</v>
      </c>
      <c r="B24" s="68" t="s">
        <v>393</v>
      </c>
      <c r="C24" s="68" t="s">
        <v>175</v>
      </c>
      <c r="D24" s="68" t="s">
        <v>58</v>
      </c>
      <c r="E24" s="68" t="s">
        <v>163</v>
      </c>
      <c r="F24" s="69">
        <v>12</v>
      </c>
      <c r="G24" t="s">
        <v>366</v>
      </c>
      <c r="H24" s="69">
        <f t="shared" ref="H24" si="3">F24*G24</f>
        <v>4140</v>
      </c>
      <c r="I24" t="s">
        <v>263</v>
      </c>
      <c r="J24" s="69">
        <v>2</v>
      </c>
      <c r="K24" s="69">
        <v>2.5</v>
      </c>
      <c r="L24" s="69">
        <f t="shared" ref="L24" si="4">H24</f>
        <v>4140</v>
      </c>
      <c r="M24" s="69">
        <f t="shared" ref="M24" si="5">ROUND(L24*I24%,2)</f>
        <v>124.2</v>
      </c>
      <c r="N24" s="69">
        <f t="shared" ref="N24" si="6">H24-M24</f>
        <v>4015.8</v>
      </c>
      <c r="O24" s="69">
        <f t="shared" ref="O24" si="7">ROUND(N24*J24%,2)</f>
        <v>80.319999999999993</v>
      </c>
      <c r="P24" s="69">
        <f t="shared" ref="P24" si="8">ROUND(N24-O24,2)</f>
        <v>3935.48</v>
      </c>
      <c r="Q24" s="69">
        <f t="shared" ref="Q24" si="9">ROUND(P24*K24%,2)</f>
        <v>98.39</v>
      </c>
      <c r="R24" s="69">
        <f t="shared" ref="R24" si="10">ROUND((M24+O24+Q24),2)</f>
        <v>302.91000000000003</v>
      </c>
      <c r="S24" s="69">
        <f t="shared" ref="S24" si="11">ROUND((H24-R24),2)</f>
        <v>3837.09</v>
      </c>
      <c r="T24" s="89" t="s">
        <v>372</v>
      </c>
      <c r="U24" s="79">
        <v>0.18</v>
      </c>
      <c r="V24" s="69">
        <f t="shared" ref="V24" si="12">IF(OR($C$21=1,$C$21=4),ROUND(((S24*U24)/2),2),0)</f>
        <v>345.34</v>
      </c>
      <c r="W24" s="69">
        <f t="shared" ref="W24" si="13">IF($C$21=1,ROUND(((S24*U24)/2),2),0)</f>
        <v>345.34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690.68</v>
      </c>
      <c r="AC24" s="68">
        <f t="shared" ref="AC24" si="18">IF($V22=1,S24+AB24,S24)</f>
        <v>3837.09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3837.09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4</v>
      </c>
      <c r="AN24" s="89">
        <f t="shared" ref="AN24" si="20">ROUND(AI24/AM24,5)</f>
        <v>959.27250000000004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959.27250000000004</v>
      </c>
      <c r="AS24" s="83" t="s">
        <v>229</v>
      </c>
      <c r="AT24" s="83" t="s">
        <v>58</v>
      </c>
      <c r="AU24" t="s">
        <v>239</v>
      </c>
      <c r="AV24" t="s">
        <v>428</v>
      </c>
      <c r="AW24" s="83">
        <f>AM24</f>
        <v>4</v>
      </c>
      <c r="AX24" s="83">
        <f>AR24</f>
        <v>959.27250000000004</v>
      </c>
      <c r="AY24" s="83">
        <f>AU24+AW24</f>
        <v>4</v>
      </c>
      <c r="AZ24" s="83">
        <f>ROUND(((AU24*AV24)+(AW24*AX24))/(AU24+AW24),5)</f>
        <v>959.27250000000004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428</v>
      </c>
      <c r="BN24" t="s">
        <v>429</v>
      </c>
      <c r="BO24" s="83">
        <f>ROUND((((AW24*AZ24)+(BN24*BM24))/(AW24+BN24)),5)</f>
        <v>652.05588</v>
      </c>
      <c r="BP24" s="87">
        <f>BN24+AW24</f>
        <v>102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4545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328.67</v>
      </c>
      <c r="S25" s="71">
        <f>SUM(S23:S24)</f>
        <v>4216.33</v>
      </c>
      <c r="T25" s="71"/>
      <c r="U25" s="71"/>
      <c r="V25" s="77">
        <f t="shared" ref="V25:AE25" si="24">SUM(V23:V24)</f>
        <v>379.46999999999997</v>
      </c>
      <c r="W25" s="77">
        <f t="shared" si="24"/>
        <v>379.46999999999997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758.93999999999994</v>
      </c>
      <c r="AC25" s="80">
        <f t="shared" si="24"/>
        <v>4284.59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4216.33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4545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328.67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4216.33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758.93999999999994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4975.2699999999995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Q39"/>
  <sheetViews>
    <sheetView topLeftCell="BG13" workbookViewId="0">
      <selection activeCell="BL24" sqref="BL24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430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431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9300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637.44000000000005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8662.5600000000013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1559.27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10221.830000000002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M20" sqref="BM20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263</v>
      </c>
      <c r="J23" s="69">
        <v>2</v>
      </c>
      <c r="K23" s="69">
        <v>2.5</v>
      </c>
      <c r="L23" s="69">
        <f>H23</f>
        <v>4800</v>
      </c>
      <c r="M23" s="69">
        <f>ROUND(L23*I23%,2)</f>
        <v>144</v>
      </c>
      <c r="N23" s="69">
        <f>H23-M23</f>
        <v>4656</v>
      </c>
      <c r="O23" s="69">
        <f>ROUND(N23*J23%,2)</f>
        <v>93.12</v>
      </c>
      <c r="P23" s="69">
        <f>ROUND(N23-O23,2)</f>
        <v>4562.88</v>
      </c>
      <c r="Q23" s="69">
        <f>ROUND(P23*K23%,2)</f>
        <v>114.07</v>
      </c>
      <c r="R23" s="69">
        <f>ROUND((M23+O23+Q23),2)</f>
        <v>351.19</v>
      </c>
      <c r="S23" s="69">
        <f>ROUND((H23-R23),2)</f>
        <v>4448.8100000000004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800.79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800.79</v>
      </c>
      <c r="AC23" s="68">
        <f>IF($V21=1,S23+AB23,S23)</f>
        <v>5249.6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4448.8100000000004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1112.2025000000001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1112.2025000000001</v>
      </c>
      <c r="AS23" s="83" t="s">
        <v>309</v>
      </c>
      <c r="AT23" s="83" t="s">
        <v>58</v>
      </c>
      <c r="AW23" s="83">
        <f>AM23</f>
        <v>4</v>
      </c>
      <c r="AX23" s="83">
        <f>AR23</f>
        <v>1112.2025000000001</v>
      </c>
      <c r="AY23" s="83">
        <f>AU23+AW23</f>
        <v>4</v>
      </c>
      <c r="AZ23" s="83">
        <f>ROUND(((AU23*AV23)+(AW23*AX23))/(AU23+AW23),5)</f>
        <v>1112.2025000000001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364</v>
      </c>
      <c r="BO23" s="83">
        <f>ROUND((((AW23*AZ23)+(BN23*BM23))/(AW23+BN23)),5)</f>
        <v>1112.2025000000001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417</v>
      </c>
      <c r="H24" s="69">
        <f t="shared" ref="H24" si="3">F24*G24</f>
        <v>4500</v>
      </c>
      <c r="I24" t="s">
        <v>223</v>
      </c>
      <c r="J24" s="69">
        <v>2</v>
      </c>
      <c r="K24" s="69">
        <v>2.5</v>
      </c>
      <c r="L24" s="69">
        <f t="shared" ref="L24" si="4">H24</f>
        <v>4500</v>
      </c>
      <c r="M24" s="69">
        <f t="shared" ref="M24" si="5">ROUND(L24*I24%,2)</f>
        <v>90</v>
      </c>
      <c r="N24" s="69">
        <f t="shared" ref="N24" si="6">H24-M24</f>
        <v>4410</v>
      </c>
      <c r="O24" s="69">
        <f t="shared" ref="O24" si="7">ROUND(N24*J24%,2)</f>
        <v>88.2</v>
      </c>
      <c r="P24" s="69">
        <f t="shared" ref="P24" si="8">ROUND(N24-O24,2)</f>
        <v>4321.8</v>
      </c>
      <c r="Q24" s="69">
        <f t="shared" ref="Q24" si="9">ROUND(P24*K24%,2)</f>
        <v>108.05</v>
      </c>
      <c r="R24" s="69">
        <f t="shared" ref="R24" si="10">ROUND((M24+O24+Q24),2)</f>
        <v>286.25</v>
      </c>
      <c r="S24" s="69">
        <f t="shared" ref="S24" si="11">ROUND((H24-R24),2)</f>
        <v>4213.75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758.48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758.48</v>
      </c>
      <c r="AC24" s="68">
        <f t="shared" ref="AC24" si="18">IF($V22=1,S24+AB24,S24)</f>
        <v>4213.75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4213.75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842.75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842.75</v>
      </c>
      <c r="AS24" s="83" t="s">
        <v>309</v>
      </c>
      <c r="AT24" s="83" t="s">
        <v>58</v>
      </c>
      <c r="AW24" s="83">
        <f>AM24</f>
        <v>5</v>
      </c>
      <c r="AX24" s="83">
        <f>AR24</f>
        <v>842.75</v>
      </c>
      <c r="AY24" s="83">
        <f>AU24+AW24</f>
        <v>5</v>
      </c>
      <c r="AZ24" s="83">
        <f>ROUND(((AU24*AV24)+(AW24*AX24))/(AU24+AW24),5)</f>
        <v>842.75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364</v>
      </c>
      <c r="BO24" s="83">
        <f>ROUND((((AW24*AZ24)+(BN24*BM24))/(AW24+BN24)),5)</f>
        <v>842.75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9300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637.44000000000005</v>
      </c>
      <c r="S25" s="71">
        <f>SUM(S23:S24)</f>
        <v>8662.5600000000013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1559.27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1559.27</v>
      </c>
      <c r="AC25" s="80">
        <f t="shared" si="24"/>
        <v>9463.35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8662.5600000000013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9300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637.44000000000005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8662.5600000000013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1559.27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10221.830000000002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Q39"/>
  <sheetViews>
    <sheetView topLeftCell="A16" workbookViewId="0">
      <selection activeCell="B35" sqref="B35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434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435</v>
      </c>
      <c r="H23" s="69">
        <f>F23*G23</f>
        <v>2796</v>
      </c>
      <c r="I23" t="s">
        <v>223</v>
      </c>
      <c r="J23" s="69">
        <v>2</v>
      </c>
      <c r="K23" s="69">
        <v>2.5</v>
      </c>
      <c r="L23" s="69">
        <f>H23</f>
        <v>2796</v>
      </c>
      <c r="M23" s="69">
        <f>ROUND(L23*I23%,2)</f>
        <v>55.92</v>
      </c>
      <c r="N23" s="69">
        <f>H23-M23</f>
        <v>2740.08</v>
      </c>
      <c r="O23" s="69">
        <f>ROUND(N23*J23%,2)</f>
        <v>54.8</v>
      </c>
      <c r="P23" s="69">
        <f>ROUND(N23-O23,2)</f>
        <v>2685.28</v>
      </c>
      <c r="Q23" s="69">
        <f>ROUND(P23*K23%,2)</f>
        <v>67.13</v>
      </c>
      <c r="R23" s="69">
        <f>ROUND((M23+O23+Q23),2)</f>
        <v>177.85</v>
      </c>
      <c r="S23" s="69">
        <f>ROUND((H23-R23),2)</f>
        <v>2618.15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471.27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471.27</v>
      </c>
      <c r="AC23" s="68">
        <f>IF($V21=1,S23+AB23,S23)</f>
        <v>3089.42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2618.15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654.53750000000002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654.53750000000002</v>
      </c>
      <c r="AS23" s="83" t="s">
        <v>309</v>
      </c>
      <c r="AT23" s="83" t="s">
        <v>58</v>
      </c>
      <c r="AW23" s="83">
        <f>AM23</f>
        <v>4</v>
      </c>
      <c r="AX23" s="83">
        <f>AR23</f>
        <v>654.53750000000002</v>
      </c>
      <c r="AY23" s="83">
        <f>AU23+AW23</f>
        <v>4</v>
      </c>
      <c r="AZ23" s="83">
        <f>ROUND(((AU23*AV23)+(AW23*AX23))/(AU23+AW23),5)</f>
        <v>654.53750000000002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O23" s="83">
        <f>ROUND((((AW23*AZ23)+(BN23*BM23))/(AW23+BN23)),5)</f>
        <v>654.53750000000002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436</v>
      </c>
      <c r="C24" s="68" t="s">
        <v>175</v>
      </c>
      <c r="D24" s="68" t="s">
        <v>58</v>
      </c>
      <c r="E24" s="68" t="s">
        <v>163</v>
      </c>
      <c r="F24" s="69">
        <v>16</v>
      </c>
      <c r="G24" t="s">
        <v>251</v>
      </c>
      <c r="H24" s="69">
        <f t="shared" ref="H24" si="3">F24*G24</f>
        <v>7280</v>
      </c>
      <c r="I24" t="s">
        <v>263</v>
      </c>
      <c r="J24" s="69">
        <v>2</v>
      </c>
      <c r="K24" s="69">
        <v>2.5</v>
      </c>
      <c r="L24" s="69">
        <f t="shared" ref="L24" si="4">H24</f>
        <v>7280</v>
      </c>
      <c r="M24" s="69">
        <f t="shared" ref="M24" si="5">ROUND(L24*I24%,2)</f>
        <v>218.4</v>
      </c>
      <c r="N24" s="69">
        <f t="shared" ref="N24" si="6">H24-M24</f>
        <v>7061.6</v>
      </c>
      <c r="O24" s="69">
        <f t="shared" ref="O24" si="7">ROUND(N24*J24%,2)</f>
        <v>141.22999999999999</v>
      </c>
      <c r="P24" s="69">
        <f t="shared" ref="P24" si="8">ROUND(N24-O24,2)</f>
        <v>6920.37</v>
      </c>
      <c r="Q24" s="69">
        <f t="shared" ref="Q24" si="9">ROUND(P24*K24%,2)</f>
        <v>173.01</v>
      </c>
      <c r="R24" s="69">
        <f t="shared" ref="R24" si="10">ROUND((M24+O24+Q24),2)</f>
        <v>532.64</v>
      </c>
      <c r="S24" s="69">
        <f t="shared" ref="S24" si="11">ROUND((H24-R24),2)</f>
        <v>6747.36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1214.52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1214.52</v>
      </c>
      <c r="AC24" s="68">
        <f t="shared" ref="AC24" si="18">IF($V22=1,S24+AB24,S24)</f>
        <v>6747.36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6747.36</v>
      </c>
      <c r="AJ24" s="89">
        <f t="shared" ref="AJ24" si="19">IF($C$21=3,0,AG24+AH24)</f>
        <v>0</v>
      </c>
      <c r="AK24" s="89">
        <f t="shared" si="2"/>
        <v>0</v>
      </c>
      <c r="AL24" s="108">
        <v>4</v>
      </c>
      <c r="AM24" s="89">
        <f>F24/AL24</f>
        <v>4</v>
      </c>
      <c r="AN24" s="89">
        <f t="shared" ref="AN24" si="20">ROUND(AI24/AM24,5)</f>
        <v>1686.84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1686.84</v>
      </c>
      <c r="AS24" s="83" t="s">
        <v>309</v>
      </c>
      <c r="AT24" s="83" t="s">
        <v>58</v>
      </c>
      <c r="AW24" s="83">
        <f>AM24</f>
        <v>4</v>
      </c>
      <c r="AX24" s="83">
        <f>AR24</f>
        <v>1686.84</v>
      </c>
      <c r="AY24" s="83">
        <f>AU24+AW24</f>
        <v>4</v>
      </c>
      <c r="AZ24" s="83">
        <f>ROUND(((AU24*AV24)+(AW24*AX24))/(AU24+AW24),5)</f>
        <v>1686.84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O24" s="83">
        <f>ROUND((((AW24*AZ24)+(BN24*BM24))/(AW24+BN24)),5)</f>
        <v>1686.84</v>
      </c>
      <c r="BP24" s="87">
        <f>BN24+AW24</f>
        <v>4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10076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710.49</v>
      </c>
      <c r="S25" s="71">
        <f>SUM(S23:S24)</f>
        <v>9365.51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1685.79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1685.79</v>
      </c>
      <c r="AC25" s="80">
        <f t="shared" si="24"/>
        <v>9836.7799999999988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9365.51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10076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710.49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9365.51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1685.79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11051.3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Q39"/>
  <sheetViews>
    <sheetView topLeftCell="BK19" workbookViewId="0">
      <selection activeCell="BQ22" sqref="BQ22:BQ24"/>
    </sheetView>
  </sheetViews>
  <sheetFormatPr defaultColWidth="9" defaultRowHeight="15"/>
  <cols>
    <col min="2" max="2" width="36.1406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402</v>
      </c>
      <c r="C23" s="68" t="s">
        <v>162</v>
      </c>
      <c r="D23" s="68" t="s">
        <v>58</v>
      </c>
      <c r="E23" s="68" t="s">
        <v>163</v>
      </c>
      <c r="F23" s="69">
        <v>12</v>
      </c>
      <c r="G23" t="s">
        <v>228</v>
      </c>
      <c r="H23" s="69">
        <f>F23*G23</f>
        <v>4800</v>
      </c>
      <c r="I23" t="s">
        <v>223</v>
      </c>
      <c r="J23" s="69">
        <v>2</v>
      </c>
      <c r="K23" s="69">
        <v>2.5</v>
      </c>
      <c r="L23" s="69">
        <f>H23</f>
        <v>4800</v>
      </c>
      <c r="M23" s="69">
        <f>ROUND(L23*I23%,2)</f>
        <v>96</v>
      </c>
      <c r="N23" s="69">
        <f>H23-M23</f>
        <v>4704</v>
      </c>
      <c r="O23" s="69">
        <f>ROUND(N23*J23%,2)</f>
        <v>94.08</v>
      </c>
      <c r="P23" s="69">
        <f>ROUND(N23-O23,2)</f>
        <v>4609.92</v>
      </c>
      <c r="Q23" s="69">
        <f>ROUND(P23*K23%,2)</f>
        <v>115.25</v>
      </c>
      <c r="R23" s="69">
        <f>ROUND((M23+O23+Q23),2)</f>
        <v>305.33</v>
      </c>
      <c r="S23" s="69">
        <f>ROUND((H23-R23),2)</f>
        <v>4494.67</v>
      </c>
      <c r="T23" s="89" t="s">
        <v>146</v>
      </c>
      <c r="U23" s="79">
        <v>0.18</v>
      </c>
      <c r="V23" s="69">
        <f>IF(OR($C$21=1,$C$21=4),ROUND(((S23*U23)/2),2),0)</f>
        <v>404.52</v>
      </c>
      <c r="W23" s="69">
        <f>IF($C$21=1,ROUND(((S23*U23)/2),2),0)</f>
        <v>404.52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809.04</v>
      </c>
      <c r="AC23" s="68">
        <f>IF($V21=1,S23+AB23,S23)</f>
        <v>5303.71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4494.67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1123.6675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1123.6675</v>
      </c>
      <c r="AS23" s="83" t="s">
        <v>229</v>
      </c>
      <c r="AT23" s="83" t="s">
        <v>58</v>
      </c>
      <c r="AU23" t="s">
        <v>319</v>
      </c>
      <c r="AV23" t="s">
        <v>550</v>
      </c>
      <c r="AW23" s="83">
        <f>AM23</f>
        <v>4</v>
      </c>
      <c r="AX23" s="83">
        <f>AR23</f>
        <v>1123.6675</v>
      </c>
      <c r="AY23" s="83">
        <f>AU23+AW23</f>
        <v>20</v>
      </c>
      <c r="AZ23" s="83">
        <f>ROUND(((AU23*AV23)+(AW23*AX23))/(AU23+AW23),5)</f>
        <v>1123.6675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230</v>
      </c>
      <c r="BM23" t="s">
        <v>550</v>
      </c>
      <c r="BN23" t="s">
        <v>234</v>
      </c>
      <c r="BO23" s="83">
        <f>ROUND((((AW23*AZ23)+(BN23*BM23))/(AW23+BN23)),5)</f>
        <v>1123.6675</v>
      </c>
      <c r="BP23" s="87">
        <f>BN23+AW23</f>
        <v>204</v>
      </c>
      <c r="BQ23" s="88">
        <v>88363222</v>
      </c>
    </row>
    <row r="24" spans="1:69">
      <c r="A24" s="68">
        <v>2</v>
      </c>
      <c r="B24" s="68" t="s">
        <v>403</v>
      </c>
      <c r="C24" s="68" t="s">
        <v>175</v>
      </c>
      <c r="D24" s="68" t="s">
        <v>58</v>
      </c>
      <c r="E24" s="68" t="s">
        <v>163</v>
      </c>
      <c r="F24" s="69">
        <v>15</v>
      </c>
      <c r="G24" t="s">
        <v>360</v>
      </c>
      <c r="H24" s="69">
        <f t="shared" ref="H24" si="3">F24*G24</f>
        <v>9000</v>
      </c>
      <c r="I24" t="s">
        <v>263</v>
      </c>
      <c r="J24" s="69">
        <v>2</v>
      </c>
      <c r="K24" s="69">
        <v>2.5</v>
      </c>
      <c r="L24" s="69">
        <f t="shared" ref="L24" si="4">H24</f>
        <v>9000</v>
      </c>
      <c r="M24" s="69">
        <f t="shared" ref="M24" si="5">ROUND(L24*I24%,2)</f>
        <v>270</v>
      </c>
      <c r="N24" s="69">
        <f t="shared" ref="N24" si="6">H24-M24</f>
        <v>8730</v>
      </c>
      <c r="O24" s="69">
        <f t="shared" ref="O24" si="7">ROUND(N24*J24%,2)</f>
        <v>174.6</v>
      </c>
      <c r="P24" s="69">
        <f t="shared" ref="P24" si="8">ROUND(N24-O24,2)</f>
        <v>8555.4</v>
      </c>
      <c r="Q24" s="69">
        <f t="shared" ref="Q24" si="9">ROUND(P24*K24%,2)</f>
        <v>213.89</v>
      </c>
      <c r="R24" s="69">
        <f t="shared" ref="R24" si="10">ROUND((M24+O24+Q24),2)</f>
        <v>658.49</v>
      </c>
      <c r="S24" s="69">
        <f t="shared" ref="S24" si="11">ROUND((H24-R24),2)</f>
        <v>8341.51</v>
      </c>
      <c r="T24" s="89" t="s">
        <v>372</v>
      </c>
      <c r="U24" s="79">
        <v>0.18</v>
      </c>
      <c r="V24" s="69">
        <f t="shared" ref="V24" si="12">IF(OR($C$21=1,$C$21=4),ROUND(((S24*U24)/2),2),0)</f>
        <v>750.74</v>
      </c>
      <c r="W24" s="69">
        <f t="shared" ref="W24" si="13">IF($C$21=1,ROUND(((S24*U24)/2),2),0)</f>
        <v>750.74</v>
      </c>
      <c r="X24" s="69">
        <f t="shared" ref="X24" si="14">IF($C$21=2,ROUND(((S24*U24)),2),0)</f>
        <v>0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1501.48</v>
      </c>
      <c r="AC24" s="68">
        <f t="shared" ref="AC24" si="18">IF($V22=1,S24+AB24,S24)</f>
        <v>8341.51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8341.51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1668.3019999999999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1668.3019999999999</v>
      </c>
      <c r="AS24" s="83" t="s">
        <v>229</v>
      </c>
      <c r="AT24" s="83" t="s">
        <v>58</v>
      </c>
      <c r="AU24" t="s">
        <v>551</v>
      </c>
      <c r="AV24" t="s">
        <v>552</v>
      </c>
      <c r="AW24" s="83">
        <f>AM24</f>
        <v>5</v>
      </c>
      <c r="AX24" s="83">
        <f>AR24</f>
        <v>1668.3019999999999</v>
      </c>
      <c r="AY24" s="83">
        <f>AU24+AW24</f>
        <v>25</v>
      </c>
      <c r="AZ24" s="83">
        <f>ROUND(((AU24*AV24)+(AW24*AX24))/(AU24+AW24),5)</f>
        <v>1668.3019999999999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230</v>
      </c>
      <c r="BM24" t="s">
        <v>552</v>
      </c>
      <c r="BN24" t="s">
        <v>232</v>
      </c>
      <c r="BO24" s="83">
        <f>ROUND((((AW24*AZ24)+(BN24*BM24))/(AW24+BN24)),5)</f>
        <v>1668.3019999999999</v>
      </c>
      <c r="BP24" s="87">
        <f>BN24+AW24</f>
        <v>255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13800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963.81999999999994</v>
      </c>
      <c r="S25" s="71">
        <f>SUM(S23:S24)</f>
        <v>12836.18</v>
      </c>
      <c r="T25" s="71"/>
      <c r="U25" s="71"/>
      <c r="V25" s="77">
        <f t="shared" ref="V25:AE25" si="24">SUM(V23:V24)</f>
        <v>1155.26</v>
      </c>
      <c r="W25" s="77">
        <f t="shared" si="24"/>
        <v>1155.26</v>
      </c>
      <c r="X25" s="77">
        <f t="shared" si="24"/>
        <v>0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2310.52</v>
      </c>
      <c r="AC25" s="80">
        <f t="shared" si="24"/>
        <v>13645.220000000001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12836.18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13800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963.81999999999994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12836.18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2310.52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15146.7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>
  <dimension ref="A1:BQ39"/>
  <sheetViews>
    <sheetView topLeftCell="A13" workbookViewId="0">
      <selection sqref="A1:XFD1048576"/>
    </sheetView>
  </sheetViews>
  <sheetFormatPr defaultColWidth="9" defaultRowHeight="15"/>
  <cols>
    <col min="2" max="2" width="36.5703125" customWidth="1"/>
    <col min="4" max="4" width="72.42578125" customWidth="1"/>
    <col min="11" max="11" width="6.140625" customWidth="1"/>
    <col min="29" max="29" width="11.5703125" customWidth="1"/>
    <col min="35" max="35" width="14.28515625" customWidth="1"/>
    <col min="36" max="36" width="17.5703125" customWidth="1"/>
    <col min="37" max="37" width="13.42578125" customWidth="1"/>
    <col min="38" max="38" width="13.5703125" customWidth="1"/>
    <col min="45" max="45" width="9.42578125" customWidth="1"/>
    <col min="47" max="47" width="15.28515625" customWidth="1"/>
    <col min="48" max="48" width="20.28515625" customWidth="1"/>
    <col min="50" max="50" width="16.28515625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67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69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69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69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69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69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69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69">
      <c r="A23" s="68">
        <v>1</v>
      </c>
      <c r="B23" s="68" t="s">
        <v>371</v>
      </c>
      <c r="C23" s="68" t="s">
        <v>162</v>
      </c>
      <c r="D23" s="68" t="s">
        <v>58</v>
      </c>
      <c r="E23" s="68" t="s">
        <v>163</v>
      </c>
      <c r="F23" s="69">
        <v>12</v>
      </c>
      <c r="G23" s="69">
        <v>257.63</v>
      </c>
      <c r="H23" s="69">
        <f>F23*G23</f>
        <v>3091.56</v>
      </c>
      <c r="I23" s="69">
        <v>1</v>
      </c>
      <c r="J23" s="69">
        <v>2</v>
      </c>
      <c r="K23" s="69">
        <v>2.5</v>
      </c>
      <c r="L23" s="69">
        <f>H23</f>
        <v>3091.56</v>
      </c>
      <c r="M23" s="69">
        <f>ROUND(L23*I23%,2)</f>
        <v>30.92</v>
      </c>
      <c r="N23" s="69">
        <f>H23-M23</f>
        <v>3060.64</v>
      </c>
      <c r="O23" s="69">
        <f>ROUND(N23*J23%,2)</f>
        <v>61.21</v>
      </c>
      <c r="P23" s="69">
        <f>ROUND(N23-O23,2)</f>
        <v>2999.43</v>
      </c>
      <c r="Q23" s="69">
        <f>ROUND(P23*K23%,2)</f>
        <v>74.989999999999995</v>
      </c>
      <c r="R23" s="69">
        <f>ROUND((M23+O23+Q23),2)</f>
        <v>167.12</v>
      </c>
      <c r="S23" s="69">
        <f>ROUND((H23-R23),2)</f>
        <v>2924.44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526.4</v>
      </c>
      <c r="Y23" s="69">
        <f>IF($C$21=4,ROUND(((S23*U23)/2),2),0)</f>
        <v>0</v>
      </c>
      <c r="Z23" s="109">
        <v>0</v>
      </c>
      <c r="AA23" s="69">
        <f>IF($C21=3,0,ROUND(S23*Z23,2))</f>
        <v>0</v>
      </c>
      <c r="AB23" s="68">
        <f>V23+W23+X23+Y23+AA23</f>
        <v>526.4</v>
      </c>
      <c r="AC23" s="68">
        <f>IF($V21=1,S23+AB23,S23)</f>
        <v>3450.84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 t="shared" ref="AI23:AI24" si="1">S23*$M$21</f>
        <v>2924.44</v>
      </c>
      <c r="AJ23" s="89">
        <f>IF($C$21=3,0,AG23+AH23)</f>
        <v>0</v>
      </c>
      <c r="AK23" s="89">
        <f t="shared" ref="AK23:AK24" si="2">IF($C$21=3,AE23+AG23+AH23,0)</f>
        <v>0</v>
      </c>
      <c r="AL23" s="108">
        <v>3</v>
      </c>
      <c r="AM23" s="89">
        <f>F23/AL23</f>
        <v>4</v>
      </c>
      <c r="AN23" s="89">
        <f>ROUND(AI23/AM23,5)</f>
        <v>731.11</v>
      </c>
      <c r="AO23" s="89">
        <f>AJ23/AM23</f>
        <v>0</v>
      </c>
      <c r="AP23" s="89">
        <f>AK23/AM23</f>
        <v>0</v>
      </c>
      <c r="AQ23" s="89" t="s">
        <v>58</v>
      </c>
      <c r="AR23" s="89">
        <f>ROUND(AN23+AO23+AP23,5)</f>
        <v>731.11</v>
      </c>
      <c r="AS23" s="83" t="s">
        <v>309</v>
      </c>
      <c r="AT23" s="83" t="s">
        <v>58</v>
      </c>
      <c r="AW23" s="83">
        <f>AM23</f>
        <v>4</v>
      </c>
      <c r="AX23" s="83">
        <f>AR23</f>
        <v>731.11</v>
      </c>
      <c r="AY23" s="83">
        <f>AU23+AW23</f>
        <v>4</v>
      </c>
      <c r="AZ23" s="83">
        <f>ROUND(((AU23*AV23)+(AW23*AX23))/(AU23+AW23),5)</f>
        <v>731.11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311</v>
      </c>
      <c r="BM23" t="s">
        <v>239</v>
      </c>
      <c r="BN23" t="s">
        <v>239</v>
      </c>
      <c r="BO23" s="83">
        <f>ROUND((((AW23*AZ23)+(BN23*BM23))/(AW23+BN23)),5)</f>
        <v>731.11</v>
      </c>
      <c r="BP23" s="87">
        <f>BN23+AW23</f>
        <v>4</v>
      </c>
      <c r="BQ23" s="88">
        <v>88363222</v>
      </c>
    </row>
    <row r="24" spans="1:69">
      <c r="A24" s="68">
        <v>2</v>
      </c>
      <c r="B24" s="68" t="s">
        <v>369</v>
      </c>
      <c r="C24" s="68" t="s">
        <v>175</v>
      </c>
      <c r="D24" s="68" t="s">
        <v>58</v>
      </c>
      <c r="E24" s="68" t="s">
        <v>163</v>
      </c>
      <c r="F24" s="69">
        <v>15</v>
      </c>
      <c r="G24" s="69">
        <v>150.5</v>
      </c>
      <c r="H24" s="69">
        <f t="shared" ref="H24" si="3">F24*G24</f>
        <v>2257.5</v>
      </c>
      <c r="I24" s="69">
        <v>1</v>
      </c>
      <c r="J24" s="69">
        <v>2</v>
      </c>
      <c r="K24" s="69">
        <v>2.5</v>
      </c>
      <c r="L24" s="69">
        <f t="shared" ref="L24" si="4">H24</f>
        <v>2257.5</v>
      </c>
      <c r="M24" s="69">
        <f t="shared" ref="M24" si="5">ROUND(L24*I24%,2)</f>
        <v>22.58</v>
      </c>
      <c r="N24" s="69">
        <f t="shared" ref="N24" si="6">H24-M24</f>
        <v>2234.92</v>
      </c>
      <c r="O24" s="69">
        <f t="shared" ref="O24" si="7">ROUND(N24*J24%,2)</f>
        <v>44.7</v>
      </c>
      <c r="P24" s="69">
        <f t="shared" ref="P24" si="8">ROUND(N24-O24,2)</f>
        <v>2190.2199999999998</v>
      </c>
      <c r="Q24" s="69">
        <f t="shared" ref="Q24" si="9">ROUND(P24*K24%,2)</f>
        <v>54.76</v>
      </c>
      <c r="R24" s="69">
        <f t="shared" ref="R24" si="10">ROUND((M24+O24+Q24),2)</f>
        <v>122.04</v>
      </c>
      <c r="S24" s="69">
        <f t="shared" ref="S24" si="11">ROUND((H24-R24),2)</f>
        <v>2135.46</v>
      </c>
      <c r="T24" s="89" t="s">
        <v>372</v>
      </c>
      <c r="U24" s="79">
        <v>0.18</v>
      </c>
      <c r="V24" s="69">
        <f t="shared" ref="V24" si="12">IF(OR($C$21=1,$C$21=4),ROUND(((S24*U24)/2),2),0)</f>
        <v>0</v>
      </c>
      <c r="W24" s="69">
        <f t="shared" ref="W24" si="13">IF($C$21=1,ROUND(((S24*U24)/2),2),0)</f>
        <v>0</v>
      </c>
      <c r="X24" s="69">
        <f t="shared" ref="X24" si="14">IF($C$21=2,ROUND(((S24*U24)),2),0)</f>
        <v>384.38</v>
      </c>
      <c r="Y24" s="69">
        <f t="shared" ref="Y24" si="15">IF($C$21=4,ROUND(((S24*U24)/2),2),0)</f>
        <v>0</v>
      </c>
      <c r="Z24" s="109">
        <v>0</v>
      </c>
      <c r="AA24" s="69">
        <f t="shared" ref="AA24" si="16">IF($C22=3,0,ROUND(S24*Z24,2))</f>
        <v>0</v>
      </c>
      <c r="AB24" s="68">
        <f t="shared" ref="AB24" si="17">V24+W24+X24+Y24+AA24</f>
        <v>384.38</v>
      </c>
      <c r="AC24" s="68">
        <f t="shared" ref="AC24" si="18">IF($V22=1,S24+AB24,S24)</f>
        <v>2135.46</v>
      </c>
      <c r="AD24" s="89">
        <v>350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 t="shared" si="1"/>
        <v>2135.46</v>
      </c>
      <c r="AJ24" s="89">
        <f t="shared" ref="AJ24" si="19">IF($C$21=3,0,AG24+AH24)</f>
        <v>0</v>
      </c>
      <c r="AK24" s="89">
        <f t="shared" si="2"/>
        <v>0</v>
      </c>
      <c r="AL24" s="108">
        <v>3</v>
      </c>
      <c r="AM24" s="89">
        <f>F24/AL24</f>
        <v>5</v>
      </c>
      <c r="AN24" s="89">
        <f t="shared" ref="AN24" si="20">ROUND(AI24/AM24,5)</f>
        <v>427.09199999999998</v>
      </c>
      <c r="AO24" s="89">
        <f t="shared" ref="AO24" si="21">AJ24/AM24</f>
        <v>0</v>
      </c>
      <c r="AP24" s="89">
        <f t="shared" ref="AP24" si="22">AK24/AM24</f>
        <v>0</v>
      </c>
      <c r="AQ24" s="89" t="s">
        <v>58</v>
      </c>
      <c r="AR24" s="89">
        <f t="shared" ref="AR24" si="23">ROUND(AN24+AO24+AP24,5)</f>
        <v>427.09199999999998</v>
      </c>
      <c r="AS24" s="83" t="s">
        <v>309</v>
      </c>
      <c r="AT24" s="83" t="s">
        <v>58</v>
      </c>
      <c r="AW24" s="83">
        <f>AM24</f>
        <v>5</v>
      </c>
      <c r="AX24" s="83">
        <f>AR24</f>
        <v>427.09199999999998</v>
      </c>
      <c r="AY24" s="83">
        <f>AU24+AW24</f>
        <v>5</v>
      </c>
      <c r="AZ24" s="83">
        <f>ROUND(((AU24*AV24)+(AW24*AX24))/(AU24+AW24),5)</f>
        <v>427.09199999999998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311</v>
      </c>
      <c r="BM24" t="s">
        <v>239</v>
      </c>
      <c r="BN24" t="s">
        <v>239</v>
      </c>
      <c r="BO24" s="83">
        <f>ROUND((((AW24*AZ24)+(BN24*BM24))/(AW24+BN24)),5)</f>
        <v>427.09199999999998</v>
      </c>
      <c r="BP24" s="87">
        <f>BN24+AW24</f>
        <v>5</v>
      </c>
      <c r="BQ24" s="88">
        <v>88363222</v>
      </c>
    </row>
    <row r="25" spans="1:69">
      <c r="A25" s="66"/>
      <c r="C25" s="97" t="s">
        <v>87</v>
      </c>
      <c r="D25" s="29"/>
      <c r="E25" s="29"/>
      <c r="F25" s="29"/>
      <c r="G25" s="30"/>
      <c r="H25" s="71">
        <f>SUM(H23:H24)</f>
        <v>5349.0599999999995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289.16000000000003</v>
      </c>
      <c r="S25" s="71">
        <f>SUM(S23:S24)</f>
        <v>5059.8999999999996</v>
      </c>
      <c r="T25" s="71"/>
      <c r="U25" s="71"/>
      <c r="V25" s="77">
        <f t="shared" ref="V25:AE25" si="24">SUM(V23:V24)</f>
        <v>0</v>
      </c>
      <c r="W25" s="77">
        <f t="shared" si="24"/>
        <v>0</v>
      </c>
      <c r="X25" s="77">
        <f t="shared" si="24"/>
        <v>910.78</v>
      </c>
      <c r="Y25" s="77">
        <f t="shared" si="24"/>
        <v>0</v>
      </c>
      <c r="Z25" s="110">
        <f t="shared" si="24"/>
        <v>0</v>
      </c>
      <c r="AA25" s="77">
        <f t="shared" si="24"/>
        <v>0</v>
      </c>
      <c r="AB25" s="71">
        <f t="shared" si="24"/>
        <v>910.78</v>
      </c>
      <c r="AC25" s="80">
        <f t="shared" si="24"/>
        <v>5586.3</v>
      </c>
      <c r="AD25" s="81">
        <f t="shared" si="24"/>
        <v>470</v>
      </c>
      <c r="AE25" s="81">
        <f t="shared" si="24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5059.8999999999996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</row>
    <row r="26" spans="1:69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</row>
    <row r="27" spans="1:69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5349.0599999999995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</row>
    <row r="28" spans="1:69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289.16000000000003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69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5059.8999999999996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69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910.78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69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5970.6799999999994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69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A1:AC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BM34"/>
  <sheetViews>
    <sheetView topLeftCell="A10" workbookViewId="0">
      <selection activeCell="V24" sqref="V24"/>
    </sheetView>
  </sheetViews>
  <sheetFormatPr defaultColWidth="9" defaultRowHeight="15"/>
  <cols>
    <col min="2" max="2" width="23.5703125" customWidth="1"/>
    <col min="8" max="8" width="30" customWidth="1"/>
    <col min="32" max="32" width="14.28515625" customWidth="1"/>
    <col min="62" max="62" width="41.140625" customWidth="1"/>
    <col min="64" max="64" width="18.85546875" customWidth="1"/>
    <col min="65" max="65" width="34.42578125" customWidth="1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437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0.05</v>
      </c>
      <c r="V23" s="69">
        <f>IF($C$21=1,ROUND(((S23*U23)/2),2),0)</f>
        <v>152.31</v>
      </c>
      <c r="W23" s="69">
        <f>IF($C$21=1,ROUND(((S23*U23)/2),2),0)</f>
        <v>152.31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438</v>
      </c>
      <c r="AS23" t="s">
        <v>439</v>
      </c>
      <c r="AT23" s="83">
        <f>AJ23</f>
        <v>12.5</v>
      </c>
      <c r="AU23" s="59">
        <f>AO23</f>
        <v>487.40719999999999</v>
      </c>
      <c r="AV23" s="83">
        <f>AR23+AT23</f>
        <v>127.5</v>
      </c>
      <c r="AW23" s="57">
        <f>ROUND(((AR23*AS23)+(AT23*AU23))/(AR23+AT23),5)</f>
        <v>329.22604999999999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442</v>
      </c>
      <c r="BK23" t="s">
        <v>443</v>
      </c>
      <c r="BL23" s="57">
        <f>ROUND((((AT23*AW23)+(BK23*BJ23))/(AT23+BK23)),5)</f>
        <v>150.66895</v>
      </c>
      <c r="BM23" s="87">
        <f>BK23+AT23</f>
        <v>205</v>
      </c>
    </row>
    <row r="24" spans="1:65">
      <c r="A24" s="68">
        <v>2</v>
      </c>
      <c r="B24" s="68" t="s">
        <v>444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0.12</v>
      </c>
      <c r="V24" s="69">
        <f t="shared" ref="V24" si="13">IF($C$21=1,ROUND(((S24*U24)/2),2),0)</f>
        <v>239.17</v>
      </c>
      <c r="W24" s="69">
        <f t="shared" ref="W24" si="14">IF($C$21=1,ROUND(((S24*U24)/2),2),0)</f>
        <v>239.17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</v>
      </c>
      <c r="AJ24" s="89">
        <f t="shared" si="3"/>
        <v>14</v>
      </c>
      <c r="AK24" s="89">
        <f t="shared" ref="AK24" si="19">ROUND(AF24/AJ24,5)</f>
        <v>284.72928999999999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284.72928999999999</v>
      </c>
      <c r="AP24" s="57" t="s">
        <v>222</v>
      </c>
      <c r="AQ24" s="57" t="s">
        <v>58</v>
      </c>
      <c r="AR24" t="s">
        <v>445</v>
      </c>
      <c r="AS24" t="s">
        <v>446</v>
      </c>
      <c r="AT24" s="59">
        <f>AJ24</f>
        <v>14</v>
      </c>
      <c r="AU24" s="59">
        <f>AO24</f>
        <v>284.72928999999999</v>
      </c>
      <c r="AV24" s="83">
        <f t="shared" ref="AV24" si="23">AR24+AT24</f>
        <v>90</v>
      </c>
      <c r="AW24" s="57">
        <f>ROUND(((AR24*AS24)+(AT24*AU24))/(AR24+AT24),5)</f>
        <v>229.65969000000001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448</v>
      </c>
      <c r="BK24" t="s">
        <v>449</v>
      </c>
      <c r="BL24" s="57">
        <f>ROUND((((AT24*AW24)+(BK24*BJ24))/(AT24+BK24)),5)</f>
        <v>171.52964</v>
      </c>
      <c r="BM24" s="87">
        <f t="shared" ref="BM24" si="24">BK24+AT24</f>
        <v>138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5">SUM(V23:V24)</f>
        <v>391.48</v>
      </c>
      <c r="W25" s="77">
        <f t="shared" si="25"/>
        <v>391.48</v>
      </c>
      <c r="X25" s="77">
        <f t="shared" si="25"/>
        <v>0</v>
      </c>
      <c r="Y25" s="71">
        <f t="shared" si="25"/>
        <v>1814.19</v>
      </c>
      <c r="Z25" s="80">
        <f t="shared" si="25"/>
        <v>11892.99</v>
      </c>
      <c r="AA25" s="81">
        <f t="shared" si="25"/>
        <v>470</v>
      </c>
      <c r="AB25" s="81">
        <f t="shared" si="25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10654.75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575.95000000000005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10078.799999999999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Y25</f>
        <v>1814.19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11892.99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F28" sqref="F28"/>
    </sheetView>
  </sheetViews>
  <sheetFormatPr defaultColWidth="9" defaultRowHeight="15"/>
  <cols>
    <col min="2" max="2" width="16.28515625" customWidth="1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450</v>
      </c>
      <c r="C23" s="68" t="s">
        <v>162</v>
      </c>
      <c r="D23" s="68" t="s">
        <v>58</v>
      </c>
      <c r="E23" s="68" t="s">
        <v>163</v>
      </c>
      <c r="F23" s="69">
        <v>25</v>
      </c>
      <c r="G23" s="69">
        <v>257.63</v>
      </c>
      <c r="H23" s="69">
        <f>F23*G23</f>
        <v>6440.75</v>
      </c>
      <c r="I23" s="69">
        <v>1</v>
      </c>
      <c r="J23" s="69">
        <v>2</v>
      </c>
      <c r="K23" s="69">
        <v>2.5</v>
      </c>
      <c r="L23" s="69">
        <f>H23</f>
        <v>6440.75</v>
      </c>
      <c r="M23" s="69">
        <f>ROUND(L23*I23%,2)</f>
        <v>64.41</v>
      </c>
      <c r="N23" s="69">
        <f>H23-M23</f>
        <v>6376.34</v>
      </c>
      <c r="O23" s="69">
        <f>ROUND(N23*J23%,2)</f>
        <v>127.53</v>
      </c>
      <c r="P23" s="69">
        <f>ROUND(N23-O23,2)</f>
        <v>6248.81</v>
      </c>
      <c r="Q23" s="69">
        <f>ROUND(P23*K23%,2)</f>
        <v>156.22</v>
      </c>
      <c r="R23" s="69">
        <f>ROUND((M23+O23+Q23),2)</f>
        <v>348.16</v>
      </c>
      <c r="S23" s="69">
        <f>ROUND((H23-R23),2)</f>
        <v>6092.59</v>
      </c>
      <c r="T23" s="89" t="s">
        <v>146</v>
      </c>
      <c r="U23" s="79">
        <v>0.18</v>
      </c>
      <c r="V23" s="69">
        <f>IF($C$21=1,ROUND(((S23*U23)/2),2),0)</f>
        <v>548.33000000000004</v>
      </c>
      <c r="W23" s="69">
        <f>IF($C$21=1,ROUND(((S23*U23)/2),2),0)</f>
        <v>548.33000000000004</v>
      </c>
      <c r="X23" s="69">
        <f>IF($C$21=2,ROUND(((S23*U23)),2),0)</f>
        <v>0</v>
      </c>
      <c r="Y23" s="68">
        <f>ROUND((S23*18%),2)</f>
        <v>1096.67</v>
      </c>
      <c r="Z23" s="68">
        <f>S23+Y23</f>
        <v>7189.26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6092.59</v>
      </c>
      <c r="AG23" s="89">
        <f>IF($C$21=3,0,AD23+AE23)</f>
        <v>0</v>
      </c>
      <c r="AH23" s="89">
        <f t="shared" ref="AH23:AH24" si="2">IF($C$21=3,AB23+AD23+AE23,0)</f>
        <v>0</v>
      </c>
      <c r="AI23" s="108">
        <v>2</v>
      </c>
      <c r="AJ23" s="89">
        <f t="shared" ref="AJ23:AJ24" si="3">F23/AI23</f>
        <v>12.5</v>
      </c>
      <c r="AK23" s="89">
        <f>ROUND(AF23/AJ23,5)</f>
        <v>487.40719999999999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487.40719999999999</v>
      </c>
      <c r="AP23" s="57" t="s">
        <v>222</v>
      </c>
      <c r="AQ23" s="57" t="s">
        <v>58</v>
      </c>
      <c r="AR23" t="s">
        <v>239</v>
      </c>
      <c r="AS23" t="s">
        <v>421</v>
      </c>
      <c r="AT23" s="83">
        <f>AJ23</f>
        <v>12.5</v>
      </c>
      <c r="AU23" s="59">
        <f>AO23</f>
        <v>487.40719999999999</v>
      </c>
      <c r="AV23" s="83">
        <f>AR23+AT23</f>
        <v>12.5</v>
      </c>
      <c r="AW23" s="57">
        <f>ROUND(((AR23*AS23)+(AT23*AU23))/(AR23+AT23),5)</f>
        <v>487.40719999999999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348</v>
      </c>
      <c r="BJ23" t="s">
        <v>421</v>
      </c>
      <c r="BK23" t="s">
        <v>308</v>
      </c>
      <c r="BL23" s="57">
        <f>ROUND((((AT23*AW23)+(BK23*BJ23))/(AT23+BK23)),5)</f>
        <v>487.40719999999999</v>
      </c>
      <c r="BM23" s="87">
        <f>BK23+AT23</f>
        <v>112.5</v>
      </c>
    </row>
    <row r="24" spans="1:65">
      <c r="A24" s="68">
        <v>2</v>
      </c>
      <c r="B24" s="68" t="s">
        <v>451</v>
      </c>
      <c r="C24" s="68" t="s">
        <v>175</v>
      </c>
      <c r="D24" s="68" t="s">
        <v>58</v>
      </c>
      <c r="E24" s="68" t="s">
        <v>163</v>
      </c>
      <c r="F24" s="69">
        <v>28</v>
      </c>
      <c r="G24" s="69">
        <v>150.5</v>
      </c>
      <c r="H24" s="69">
        <f t="shared" ref="H24" si="4">F24*G24</f>
        <v>4214</v>
      </c>
      <c r="I24" s="69">
        <v>1</v>
      </c>
      <c r="J24" s="69">
        <v>2</v>
      </c>
      <c r="K24" s="69">
        <v>2.5</v>
      </c>
      <c r="L24" s="69">
        <f t="shared" ref="L24" si="5">H24</f>
        <v>4214</v>
      </c>
      <c r="M24" s="69">
        <f t="shared" ref="M24" si="6">ROUND(L24*I24%,2)</f>
        <v>42.14</v>
      </c>
      <c r="N24" s="69">
        <f t="shared" ref="N24" si="7">H24-M24</f>
        <v>4171.8599999999997</v>
      </c>
      <c r="O24" s="69">
        <f t="shared" ref="O24" si="8">ROUND(N24*J24%,2)</f>
        <v>83.44</v>
      </c>
      <c r="P24" s="69">
        <f t="shared" ref="P24" si="9">ROUND(N24-O24,2)</f>
        <v>4088.42</v>
      </c>
      <c r="Q24" s="69">
        <f t="shared" ref="Q24" si="10">ROUND(P24*K24%,2)</f>
        <v>102.21</v>
      </c>
      <c r="R24" s="69">
        <f t="shared" ref="R24" si="11">ROUND((M24+O24+Q24),2)</f>
        <v>227.79</v>
      </c>
      <c r="S24" s="69">
        <f t="shared" ref="S24" si="12">ROUND((H24-R24),2)</f>
        <v>3986.21</v>
      </c>
      <c r="T24" s="89" t="s">
        <v>372</v>
      </c>
      <c r="U24" s="79">
        <v>0.18</v>
      </c>
      <c r="V24" s="69">
        <f t="shared" ref="V24" si="13">IF($C$21=1,ROUND(((S24*U24)/2),2),0)</f>
        <v>358.76</v>
      </c>
      <c r="W24" s="69">
        <f t="shared" ref="W24" si="14">IF($C$21=1,ROUND(((S24*U24)/2),2),0)</f>
        <v>358.76</v>
      </c>
      <c r="X24" s="69">
        <f t="shared" ref="X24" si="15">IF($C$21=2,ROUND(((S24*U24)),2),0)</f>
        <v>0</v>
      </c>
      <c r="Y24" s="68">
        <f t="shared" ref="Y24" si="16">ROUND((S24*18%),2)</f>
        <v>717.52</v>
      </c>
      <c r="Z24" s="68">
        <f t="shared" ref="Z24" si="17">S24+Y24</f>
        <v>4703.7299999999996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3986.21</v>
      </c>
      <c r="AG24" s="89">
        <f t="shared" ref="AG24" si="18">IF($C$21=3,0,AD24+AE24)</f>
        <v>0</v>
      </c>
      <c r="AH24" s="89">
        <f t="shared" si="2"/>
        <v>0</v>
      </c>
      <c r="AI24" s="108">
        <v>2.5</v>
      </c>
      <c r="AJ24" s="89">
        <f t="shared" si="3"/>
        <v>11.2</v>
      </c>
      <c r="AK24" s="89">
        <f t="shared" ref="AK24" si="19">ROUND(AF24/AJ24,5)</f>
        <v>355.91161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355.91161</v>
      </c>
      <c r="AP24" s="57" t="s">
        <v>222</v>
      </c>
      <c r="AQ24" s="57" t="s">
        <v>58</v>
      </c>
      <c r="AR24" t="s">
        <v>239</v>
      </c>
      <c r="AS24" t="s">
        <v>452</v>
      </c>
      <c r="AT24" s="83">
        <f t="shared" ref="AT24" si="23">AJ24</f>
        <v>11.2</v>
      </c>
      <c r="AU24" s="59">
        <f>AO24</f>
        <v>355.91161</v>
      </c>
      <c r="AV24" s="83">
        <f t="shared" ref="AV24" si="24">AR24+AT24</f>
        <v>11.2</v>
      </c>
      <c r="AW24" s="57">
        <f>ROUND(((AR24*AS24)+(AT24*AU24))/(AR24+AT24),5)</f>
        <v>355.91161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348</v>
      </c>
      <c r="BJ24" t="s">
        <v>452</v>
      </c>
      <c r="BK24" t="s">
        <v>453</v>
      </c>
      <c r="BL24" s="57">
        <f t="shared" ref="BL24" si="25">ROUND((((AT24*AW24)+(BK24*BJ24))/(AT24+BK24)),5)</f>
        <v>355.91161</v>
      </c>
      <c r="BM24" s="87">
        <f t="shared" ref="BM24" si="26">BK24+AT24</f>
        <v>100.8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10654.75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575.95000000000005</v>
      </c>
      <c r="S25" s="71">
        <f>SUM(S23:S24)</f>
        <v>10078.799999999999</v>
      </c>
      <c r="T25" s="71"/>
      <c r="U25" s="71"/>
      <c r="V25" s="77">
        <f t="shared" ref="V25:AB25" si="27">SUM(V23:V24)</f>
        <v>907.09</v>
      </c>
      <c r="W25" s="77">
        <f t="shared" si="27"/>
        <v>907.09</v>
      </c>
      <c r="X25" s="77">
        <f t="shared" si="27"/>
        <v>0</v>
      </c>
      <c r="Y25" s="71">
        <f t="shared" si="27"/>
        <v>1814.19</v>
      </c>
      <c r="Z25" s="80">
        <f t="shared" si="27"/>
        <v>11892.99</v>
      </c>
      <c r="AA25" s="81">
        <f t="shared" si="27"/>
        <v>470</v>
      </c>
      <c r="AB25" s="81">
        <f t="shared" si="27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10078.799999999999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10654.75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575.95000000000005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10078.799999999999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Y25</f>
        <v>1814.19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11892.99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>
  <dimension ref="A1:BM34"/>
  <sheetViews>
    <sheetView topLeftCell="A13" workbookViewId="0">
      <selection activeCell="AW23" sqref="AW23"/>
    </sheetView>
  </sheetViews>
  <sheetFormatPr defaultColWidth="9" defaultRowHeight="15"/>
  <cols>
    <col min="2" max="2" width="16.28515625" customWidth="1"/>
    <col min="35" max="35" width="13.5703125" customWidth="1"/>
    <col min="36" max="36" width="15.570312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1" max="51" width="21.7109375" customWidth="1"/>
    <col min="65" max="65" width="34.42578125" customWidth="1"/>
  </cols>
  <sheetData>
    <row r="1" spans="1:64" ht="18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103"/>
      <c r="AB1" s="103"/>
      <c r="AC1" s="103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</row>
    <row r="2" spans="1:64" ht="18">
      <c r="A2" s="55" t="s">
        <v>47</v>
      </c>
      <c r="B2" s="55"/>
      <c r="C2" s="55"/>
      <c r="D2" s="55"/>
      <c r="E2" s="55"/>
      <c r="F2" s="55"/>
      <c r="G2" s="55"/>
      <c r="H2" s="55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</row>
    <row r="3" spans="1:64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</row>
    <row r="4" spans="1:64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</row>
    <row r="5" spans="1:64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</row>
    <row r="6" spans="1:64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</row>
    <row r="10" spans="1:64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</row>
    <row r="11" spans="1:64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</row>
    <row r="12" spans="1:64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</row>
    <row r="13" spans="1:64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</row>
    <row r="14" spans="1:64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</row>
    <row r="15" spans="1:64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</row>
    <row r="16" spans="1:64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</row>
    <row r="21" spans="1:65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</row>
    <row r="22" spans="1:65" ht="57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99" t="s">
        <v>100</v>
      </c>
      <c r="M22" s="99" t="s">
        <v>101</v>
      </c>
      <c r="N22" s="99" t="s">
        <v>104</v>
      </c>
      <c r="O22" s="99" t="s">
        <v>105</v>
      </c>
      <c r="P22" s="99" t="s">
        <v>157</v>
      </c>
      <c r="Q22" s="99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102" t="s">
        <v>113</v>
      </c>
      <c r="Z22" s="104" t="s">
        <v>114</v>
      </c>
      <c r="AA22" s="104" t="s">
        <v>115</v>
      </c>
      <c r="AB22" s="104" t="s">
        <v>116</v>
      </c>
      <c r="AC22" s="104" t="s">
        <v>117</v>
      </c>
      <c r="AD22" s="104" t="s">
        <v>118</v>
      </c>
      <c r="AE22" s="104" t="s">
        <v>119</v>
      </c>
      <c r="AF22" s="104" t="s">
        <v>120</v>
      </c>
      <c r="AG22" s="104" t="s">
        <v>121</v>
      </c>
      <c r="AH22" s="104" t="s">
        <v>122</v>
      </c>
      <c r="AI22" s="104" t="s">
        <v>123</v>
      </c>
      <c r="AJ22" s="104" t="s">
        <v>124</v>
      </c>
      <c r="AK22" s="104" t="s">
        <v>125</v>
      </c>
      <c r="AL22" s="104" t="s">
        <v>126</v>
      </c>
      <c r="AM22" s="104" t="s">
        <v>127</v>
      </c>
      <c r="AN22" s="104" t="s">
        <v>128</v>
      </c>
      <c r="AO22" s="105" t="s">
        <v>160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454</v>
      </c>
      <c r="C23" s="68" t="s">
        <v>162</v>
      </c>
      <c r="D23" s="68" t="s">
        <v>58</v>
      </c>
      <c r="E23" s="68" t="s">
        <v>163</v>
      </c>
      <c r="F23" s="69">
        <v>25</v>
      </c>
      <c r="G23" t="s">
        <v>455</v>
      </c>
      <c r="H23" s="69">
        <f>F23*G23</f>
        <v>1967.5</v>
      </c>
      <c r="I23" t="s">
        <v>223</v>
      </c>
      <c r="J23" s="69">
        <v>2</v>
      </c>
      <c r="K23" s="69">
        <v>2.5</v>
      </c>
      <c r="L23" s="69">
        <f>H23</f>
        <v>1967.5</v>
      </c>
      <c r="M23" s="69">
        <f>ROUND(L23*I23%,2)</f>
        <v>39.35</v>
      </c>
      <c r="N23" s="69">
        <f>H23-M23</f>
        <v>1928.15</v>
      </c>
      <c r="O23" s="69">
        <f>ROUND(N23*J23%,2)</f>
        <v>38.56</v>
      </c>
      <c r="P23" s="69">
        <f>ROUND(N23-O23,2)</f>
        <v>1889.59</v>
      </c>
      <c r="Q23" s="69">
        <f>ROUND(P23*K23%,2)</f>
        <v>47.24</v>
      </c>
      <c r="R23" s="69">
        <f>ROUND((M23+O23+Q23),2)</f>
        <v>125.15</v>
      </c>
      <c r="S23" s="69">
        <f>ROUND((H23-R23),2)</f>
        <v>1842.35</v>
      </c>
      <c r="T23" s="89" t="s">
        <v>146</v>
      </c>
      <c r="U23" s="79">
        <v>0.18</v>
      </c>
      <c r="V23" s="69">
        <f>IF($C$21=1,ROUND(((S23*U23)/2),2),0)</f>
        <v>165.81</v>
      </c>
      <c r="W23" s="69">
        <f>IF($C$21=1,ROUND(((S23*U23)/2),2),0)</f>
        <v>165.81</v>
      </c>
      <c r="X23" s="69">
        <f>IF($C$21=2,ROUND(((S23*U23)),2),0)</f>
        <v>0</v>
      </c>
      <c r="Y23" s="68">
        <f>ROUND((S23*18%),2)</f>
        <v>331.62</v>
      </c>
      <c r="Z23" s="68">
        <f>S23+Y23</f>
        <v>2173.9699999999998</v>
      </c>
      <c r="AA23" s="89">
        <v>120</v>
      </c>
      <c r="AB23" s="89">
        <f>IF($P$21=1,(S23/$S$25)*$E$36,AA23/$AA$25*$E$36)</f>
        <v>0</v>
      </c>
      <c r="AC23" s="89"/>
      <c r="AD23" s="89">
        <f>IF($P$21=1,(S23/$S$25)*$E$38,AA23/$AA$25*$E$38)</f>
        <v>0</v>
      </c>
      <c r="AE23" s="89">
        <f>IF($P$21=1,(S23/$S$25)*$E$39,AA23/$AA$25*$E$39)</f>
        <v>0</v>
      </c>
      <c r="AF23" s="89">
        <f t="shared" ref="AF23:AF24" si="1">S23*$M$21</f>
        <v>1842.35</v>
      </c>
      <c r="AG23" s="89">
        <f>IF($C$21=3,0,AD23+AE23)</f>
        <v>0</v>
      </c>
      <c r="AH23" s="89">
        <f t="shared" ref="AH23:AH24" si="2">IF($C$21=3,AB23+AD23+AE23,0)</f>
        <v>0</v>
      </c>
      <c r="AI23" s="69">
        <v>2</v>
      </c>
      <c r="AJ23" s="89">
        <f t="shared" ref="AJ23:AJ24" si="3">F23/AI23</f>
        <v>12.5</v>
      </c>
      <c r="AK23" s="89">
        <f>ROUND(AF23/AJ23,5)</f>
        <v>147.38800000000001</v>
      </c>
      <c r="AL23" s="89">
        <f>AG23/AJ23</f>
        <v>0</v>
      </c>
      <c r="AM23" s="89">
        <f>AH23/AJ23</f>
        <v>0</v>
      </c>
      <c r="AN23" s="89" t="s">
        <v>58</v>
      </c>
      <c r="AO23" s="89">
        <f>ROUND(AK23+AL23+AM23,5)</f>
        <v>147.38800000000001</v>
      </c>
      <c r="AP23" s="57" t="s">
        <v>222</v>
      </c>
      <c r="AQ23" s="57" t="s">
        <v>58</v>
      </c>
      <c r="AR23" t="s">
        <v>456</v>
      </c>
      <c r="AS23" t="s">
        <v>457</v>
      </c>
      <c r="AT23" s="59">
        <f>AJ23</f>
        <v>12.5</v>
      </c>
      <c r="AU23" s="59">
        <f>AO23</f>
        <v>147.38800000000001</v>
      </c>
      <c r="AV23" s="83">
        <f>AR23+AT23</f>
        <v>25</v>
      </c>
      <c r="AW23" s="57">
        <f>ROUND(((AR23*AS23)+(AT23*AU23))/(AR23+AT23),5)</f>
        <v>147.38800000000001</v>
      </c>
      <c r="AX23" s="106"/>
      <c r="AY23" s="106" t="s">
        <v>149</v>
      </c>
      <c r="AZ23" s="107" t="s">
        <v>38</v>
      </c>
      <c r="BA23" s="107" t="s">
        <v>440</v>
      </c>
      <c r="BB23" s="107" t="s">
        <v>441</v>
      </c>
      <c r="BC23" s="106"/>
      <c r="BD23" s="106"/>
      <c r="BE23" s="106"/>
      <c r="BF23" s="57"/>
      <c r="BG23" s="57"/>
      <c r="BH23" s="57"/>
      <c r="BI23" s="57" t="s">
        <v>230</v>
      </c>
      <c r="BJ23" t="s">
        <v>239</v>
      </c>
      <c r="BK23" t="s">
        <v>239</v>
      </c>
      <c r="BL23" s="57">
        <f>ROUND((((AT23*AW23)+(BK23*BJ23))/(AT23+BK23)),5)</f>
        <v>147.38800000000001</v>
      </c>
      <c r="BM23" s="87">
        <f>BK23+AT23</f>
        <v>12.5</v>
      </c>
    </row>
    <row r="24" spans="1:65">
      <c r="A24" s="68">
        <v>2</v>
      </c>
      <c r="B24" s="68" t="s">
        <v>458</v>
      </c>
      <c r="C24" s="68" t="s">
        <v>175</v>
      </c>
      <c r="D24" s="68" t="s">
        <v>58</v>
      </c>
      <c r="E24" s="68" t="s">
        <v>163</v>
      </c>
      <c r="F24" s="69">
        <v>28</v>
      </c>
      <c r="G24" t="s">
        <v>459</v>
      </c>
      <c r="H24" s="69">
        <f t="shared" ref="H24" si="4">F24*G24</f>
        <v>2380</v>
      </c>
      <c r="I24" t="s">
        <v>263</v>
      </c>
      <c r="J24" s="69">
        <v>2</v>
      </c>
      <c r="K24" s="69">
        <v>2.5</v>
      </c>
      <c r="L24" s="69">
        <f t="shared" ref="L24" si="5">H24</f>
        <v>2380</v>
      </c>
      <c r="M24" s="69">
        <f t="shared" ref="M24" si="6">ROUND(L24*I24%,2)</f>
        <v>71.400000000000006</v>
      </c>
      <c r="N24" s="69">
        <f t="shared" ref="N24" si="7">H24-M24</f>
        <v>2308.6</v>
      </c>
      <c r="O24" s="69">
        <f t="shared" ref="O24" si="8">ROUND(N24*J24%,2)</f>
        <v>46.17</v>
      </c>
      <c r="P24" s="69">
        <f t="shared" ref="P24" si="9">ROUND(N24-O24,2)</f>
        <v>2262.4299999999998</v>
      </c>
      <c r="Q24" s="69">
        <f t="shared" ref="Q24" si="10">ROUND(P24*K24%,2)</f>
        <v>56.56</v>
      </c>
      <c r="R24" s="69">
        <f t="shared" ref="R24" si="11">ROUND((M24+O24+Q24),2)</f>
        <v>174.13</v>
      </c>
      <c r="S24" s="69">
        <f t="shared" ref="S24" si="12">ROUND((H24-R24),2)</f>
        <v>2205.87</v>
      </c>
      <c r="T24" s="89" t="s">
        <v>372</v>
      </c>
      <c r="U24" s="79">
        <v>0.18</v>
      </c>
      <c r="V24" s="69">
        <f t="shared" ref="V24" si="13">IF($C$21=1,ROUND(((S24*U24)/2),2),0)</f>
        <v>198.53</v>
      </c>
      <c r="W24" s="69">
        <f t="shared" ref="W24" si="14">IF($C$21=1,ROUND(((S24*U24)/2),2),0)</f>
        <v>198.53</v>
      </c>
      <c r="X24" s="69">
        <f t="shared" ref="X24" si="15">IF($C$21=2,ROUND(((S24*U24)),2),0)</f>
        <v>0</v>
      </c>
      <c r="Y24" s="68">
        <f t="shared" ref="Y24" si="16">ROUND((S24*18%),2)</f>
        <v>397.06</v>
      </c>
      <c r="Z24" s="68">
        <f t="shared" ref="Z24" si="17">S24+Y24</f>
        <v>2602.9299999999998</v>
      </c>
      <c r="AA24" s="89">
        <v>350</v>
      </c>
      <c r="AB24" s="89">
        <f>IF($P$21=1,(S24/$S$25)*$E$36,AA24/$AA$25*$E$36)</f>
        <v>0</v>
      </c>
      <c r="AC24" s="89"/>
      <c r="AD24" s="89">
        <f>IF($P$21=1,(S24/$S$25)*$E$38,AA24/$AA$25*$E$38)</f>
        <v>0</v>
      </c>
      <c r="AE24" s="89">
        <f>IF($P$21=1,(S24/$S$25)*$E$39,AA24/$AA$25*$E$39)</f>
        <v>0</v>
      </c>
      <c r="AF24" s="89">
        <f t="shared" si="1"/>
        <v>2205.87</v>
      </c>
      <c r="AG24" s="89">
        <f t="shared" ref="AG24" si="18">IF($C$21=3,0,AD24+AE24)</f>
        <v>0</v>
      </c>
      <c r="AH24" s="89">
        <f t="shared" si="2"/>
        <v>0</v>
      </c>
      <c r="AI24" s="69">
        <v>2</v>
      </c>
      <c r="AJ24" s="89">
        <f t="shared" si="3"/>
        <v>14</v>
      </c>
      <c r="AK24" s="89">
        <f t="shared" ref="AK24" si="19">ROUND(AF24/AJ24,5)</f>
        <v>157.56214</v>
      </c>
      <c r="AL24" s="89">
        <f t="shared" ref="AL24" si="20">AG24/AJ24</f>
        <v>0</v>
      </c>
      <c r="AM24" s="89">
        <f t="shared" ref="AM24" si="21">AH24/AJ24</f>
        <v>0</v>
      </c>
      <c r="AN24" s="89" t="s">
        <v>58</v>
      </c>
      <c r="AO24" s="89">
        <f t="shared" ref="AO24" si="22">ROUND(AK24+AL24+AM24,5)</f>
        <v>157.56214</v>
      </c>
      <c r="AP24" s="57" t="s">
        <v>222</v>
      </c>
      <c r="AQ24" s="57" t="s">
        <v>58</v>
      </c>
      <c r="AR24" t="s">
        <v>460</v>
      </c>
      <c r="AS24" t="s">
        <v>461</v>
      </c>
      <c r="AT24" s="59">
        <f>AJ24</f>
        <v>14</v>
      </c>
      <c r="AU24" s="59">
        <f>AO24</f>
        <v>157.56214</v>
      </c>
      <c r="AV24" s="83">
        <f t="shared" ref="AV24" si="23">AR24+AT24</f>
        <v>28</v>
      </c>
      <c r="AW24" s="57">
        <f>ROUND(((AR24*AS24)+(AT24*AU24))/(AR24+AT24),5)</f>
        <v>157.56214</v>
      </c>
      <c r="AX24" s="106"/>
      <c r="AY24" s="106"/>
      <c r="AZ24" s="107" t="s">
        <v>38</v>
      </c>
      <c r="BA24" s="107" t="s">
        <v>447</v>
      </c>
      <c r="BB24" s="107" t="s">
        <v>441</v>
      </c>
      <c r="BC24" s="106"/>
      <c r="BD24" s="106"/>
      <c r="BE24" s="106"/>
      <c r="BF24" s="57"/>
      <c r="BG24" s="57"/>
      <c r="BH24" s="57"/>
      <c r="BI24" s="57" t="s">
        <v>230</v>
      </c>
      <c r="BJ24" t="s">
        <v>239</v>
      </c>
      <c r="BK24" t="s">
        <v>239</v>
      </c>
      <c r="BL24" s="57">
        <f t="shared" ref="BL24" si="24">ROUND((((AT24*AW24)+(BK24*BJ24))/(AT24+BK24)),5)</f>
        <v>157.56214</v>
      </c>
      <c r="BM24" s="87">
        <f t="shared" ref="BM24" si="25">BK24+AT24</f>
        <v>14</v>
      </c>
    </row>
    <row r="25" spans="1:65">
      <c r="A25" s="66"/>
      <c r="C25" s="97" t="s">
        <v>87</v>
      </c>
      <c r="D25" s="29"/>
      <c r="E25" s="29"/>
      <c r="F25" s="29"/>
      <c r="G25" s="30"/>
      <c r="H25" s="71">
        <f>SUM(H23:H24)</f>
        <v>4347.5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299.27999999999997</v>
      </c>
      <c r="S25" s="71">
        <f>SUM(S23:S24)</f>
        <v>4048.22</v>
      </c>
      <c r="T25" s="71"/>
      <c r="U25" s="71"/>
      <c r="V25" s="77">
        <f t="shared" ref="V25:AB25" si="26">SUM(V23:V24)</f>
        <v>364.34000000000003</v>
      </c>
      <c r="W25" s="77">
        <f t="shared" si="26"/>
        <v>364.34000000000003</v>
      </c>
      <c r="X25" s="77">
        <f t="shared" si="26"/>
        <v>0</v>
      </c>
      <c r="Y25" s="71">
        <f t="shared" si="26"/>
        <v>728.68000000000006</v>
      </c>
      <c r="Z25" s="80">
        <f t="shared" si="26"/>
        <v>4776.8999999999996</v>
      </c>
      <c r="AA25" s="81">
        <f t="shared" si="26"/>
        <v>470</v>
      </c>
      <c r="AB25" s="81">
        <f t="shared" si="26"/>
        <v>0</v>
      </c>
      <c r="AC25" s="80"/>
      <c r="AD25" s="81">
        <f>SUM(AD23:AD24)</f>
        <v>0</v>
      </c>
      <c r="AE25" s="81">
        <f>IF($P$21=1,(S25/$S$25)*$E$39,AA25/$AA$25*$E$39)</f>
        <v>0</v>
      </c>
      <c r="AF25" s="81">
        <f>SUM(AF23:AF24)</f>
        <v>4048.22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  <c r="AQ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</row>
    <row r="26" spans="1:65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</row>
    <row r="27" spans="1:65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4347.5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 t="s">
        <v>374</v>
      </c>
      <c r="BF27" s="135" t="s">
        <v>375</v>
      </c>
      <c r="BG27" s="66"/>
      <c r="BH27" s="66"/>
      <c r="BI27" s="66"/>
      <c r="BJ27" s="66"/>
      <c r="BK27" s="66"/>
      <c r="BL27" s="66"/>
    </row>
    <row r="28" spans="1:65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299.27999999999997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 t="s">
        <v>376</v>
      </c>
      <c r="BF28" s="135" t="s">
        <v>377</v>
      </c>
      <c r="BG28" s="66"/>
      <c r="BH28" s="66"/>
      <c r="BI28" s="66"/>
      <c r="BJ28" s="66"/>
      <c r="BK28" s="66"/>
      <c r="BL28" s="66"/>
    </row>
    <row r="29" spans="1:65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4048.22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</row>
    <row r="30" spans="1:65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Y25</f>
        <v>728.68000000000006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</row>
    <row r="31" spans="1:65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4776.8999999999996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</row>
    <row r="32" spans="1:65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 t="s">
        <v>378</v>
      </c>
      <c r="BK32" s="66" t="s">
        <v>379</v>
      </c>
      <c r="BL32" s="66"/>
    </row>
    <row r="33" spans="1:64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 t="s">
        <v>380</v>
      </c>
      <c r="BI33" s="66">
        <v>12.5</v>
      </c>
      <c r="BJ33" s="66">
        <f>BI35*BI36</f>
        <v>0</v>
      </c>
      <c r="BK33" s="66">
        <f>BI33*BI34</f>
        <v>6092.59</v>
      </c>
      <c r="BL33" s="66"/>
    </row>
    <row r="34" spans="1:64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 t="s">
        <v>381</v>
      </c>
      <c r="BI34" s="66">
        <v>487.40719999999999</v>
      </c>
      <c r="BJ34" s="66">
        <f>BI33+BI35</f>
        <v>12.5</v>
      </c>
      <c r="BK34" s="66"/>
      <c r="BL34" s="66"/>
    </row>
  </sheetData>
  <mergeCells count="14">
    <mergeCell ref="A1:Z1"/>
    <mergeCell ref="B19:G19"/>
    <mergeCell ref="A21:B21"/>
    <mergeCell ref="G27:H27"/>
    <mergeCell ref="I27:J27"/>
    <mergeCell ref="M27:P27"/>
    <mergeCell ref="G31:H31"/>
    <mergeCell ref="I31:J31"/>
    <mergeCell ref="G28:H28"/>
    <mergeCell ref="I28:J28"/>
    <mergeCell ref="G29:H29"/>
    <mergeCell ref="I29:J29"/>
    <mergeCell ref="G30:H30"/>
    <mergeCell ref="I30:J30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BO26"/>
  <sheetViews>
    <sheetView topLeftCell="BH19" workbookViewId="0">
      <selection activeCell="C23" sqref="C23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2" max="12" width="13.85546875" customWidth="1"/>
    <col min="14" max="14" width="13.5703125" customWidth="1"/>
    <col min="16" max="16" width="13.7109375" customWidth="1"/>
    <col min="17" max="17" width="37.7109375" customWidth="1"/>
    <col min="18" max="18" width="10.85546875" customWidth="1"/>
    <col min="26" max="26" width="10.28515625" customWidth="1"/>
    <col min="27" max="27" width="12.85546875" customWidth="1"/>
    <col min="28" max="28" width="8.7109375" customWidth="1"/>
    <col min="29" max="29" width="9.28515625" customWidth="1"/>
    <col min="31" max="31" width="8.42578125" customWidth="1"/>
    <col min="32" max="32" width="14.28515625" customWidth="1"/>
    <col min="35" max="35" width="13.5703125" customWidth="1"/>
    <col min="36" max="36" width="15.5703125" customWidth="1"/>
    <col min="39" max="39" width="8.5703125" customWidth="1"/>
    <col min="40" max="40" width="11.85546875" customWidth="1"/>
    <col min="48" max="48" width="13.85546875" customWidth="1"/>
    <col min="49" max="49" width="18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462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224</v>
      </c>
      <c r="BK23" t="s">
        <v>226</v>
      </c>
      <c r="BL23" s="83">
        <f>ROUND((((AT23*AW23)+(BK23*BJ23))/(AT23+BK23)),5)</f>
        <v>234.33</v>
      </c>
      <c r="BM23" s="87">
        <f>BK23+AT23</f>
        <v>12</v>
      </c>
      <c r="BN23" s="87"/>
      <c r="BO23" s="87"/>
    </row>
    <row r="24" spans="1:67">
      <c r="A24" s="68">
        <v>2</v>
      </c>
      <c r="B24" s="68" t="s">
        <v>463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251.25</v>
      </c>
      <c r="H24" s="69">
        <f t="shared" ref="H24" si="6">F24*G24</f>
        <v>753.75</v>
      </c>
      <c r="I24" s="69">
        <v>2.21</v>
      </c>
      <c r="J24" s="69">
        <v>1.79</v>
      </c>
      <c r="K24" s="69">
        <v>2.5</v>
      </c>
      <c r="L24" s="69">
        <f t="shared" ref="L24" si="7">H24</f>
        <v>753.75</v>
      </c>
      <c r="M24" s="69">
        <f t="shared" ref="M24" si="8">ROUND(L24*I24%,2)</f>
        <v>16.66</v>
      </c>
      <c r="N24" s="69">
        <f t="shared" ref="N24" si="9">H24-M24</f>
        <v>737.09</v>
      </c>
      <c r="O24" s="69">
        <f t="shared" ref="O24" si="10">ROUND(N24*J24%,2)</f>
        <v>13.19</v>
      </c>
      <c r="P24" s="69">
        <f t="shared" ref="P24" si="11">ROUND(N24-O24,2)</f>
        <v>723.9</v>
      </c>
      <c r="Q24" s="69">
        <f t="shared" ref="Q24" si="12">ROUND(P24*K24%,2)</f>
        <v>18.100000000000001</v>
      </c>
      <c r="R24" s="69">
        <f t="shared" ref="R24" si="13">M24+O24+Q24</f>
        <v>47.95</v>
      </c>
      <c r="S24" s="69">
        <f t="shared" ref="S24" si="14">(H24-R24)</f>
        <v>705.8</v>
      </c>
      <c r="T24" s="69" t="s">
        <v>146</v>
      </c>
      <c r="U24" s="69">
        <v>0.18</v>
      </c>
      <c r="V24" s="69">
        <f t="shared" ref="V24" si="15">IF($C$21=1,ROUND(((S24*U24)/2),2),0)</f>
        <v>63.52</v>
      </c>
      <c r="W24" s="69">
        <f t="shared" ref="W24" si="16">IF($C$21=1,ROUND(((S24*U24)/2),2),0)</f>
        <v>63.52</v>
      </c>
      <c r="X24" s="69">
        <f t="shared" ref="X24" si="17">IF($C$21=2,ROUND(((S24*U24)),2),0)</f>
        <v>0</v>
      </c>
      <c r="Y24" s="69">
        <f t="shared" ref="Y24" si="18">V24+W24+X24</f>
        <v>127.04</v>
      </c>
      <c r="Z24" s="69">
        <f t="shared" si="1"/>
        <v>832.83999999999992</v>
      </c>
      <c r="AA24" s="69">
        <v>120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705.8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9">AF24/AJ24</f>
        <v>235.26666666666665</v>
      </c>
      <c r="AL24" s="69">
        <f t="shared" ref="AL24" si="20">AG24/AJ24</f>
        <v>0</v>
      </c>
      <c r="AM24" s="69">
        <f t="shared" ref="AM24" si="21">AH24/AJ24</f>
        <v>0</v>
      </c>
      <c r="AN24" s="69" t="s">
        <v>58</v>
      </c>
      <c r="AO24" s="69">
        <f t="shared" ref="AO24" si="22">AK24+AL24+AM24</f>
        <v>235.26666666666665</v>
      </c>
      <c r="AP24" s="83" t="s">
        <v>222</v>
      </c>
      <c r="AQ24" s="83" t="s">
        <v>58</v>
      </c>
      <c r="AR24" t="s">
        <v>239</v>
      </c>
      <c r="AS24" t="s">
        <v>464</v>
      </c>
      <c r="AT24" s="83">
        <f t="shared" ref="AT24" si="23">AJ24</f>
        <v>3</v>
      </c>
      <c r="AU24" s="83">
        <f t="shared" ref="AU24" si="24">AO24</f>
        <v>235.26666666666665</v>
      </c>
      <c r="AV24" s="83">
        <f t="shared" ref="AV24" si="25">AR24+AT24</f>
        <v>3</v>
      </c>
      <c r="AW24" s="83">
        <f t="shared" ref="AW24" si="26">ROUND(((AR24*AS24)+(AT24*AU24))/(AR24+AT24),5)</f>
        <v>235.26667</v>
      </c>
      <c r="AX24" s="85"/>
      <c r="AY24" s="85"/>
      <c r="AZ24" s="86" t="s">
        <v>38</v>
      </c>
      <c r="BA24" s="86" t="s">
        <v>30</v>
      </c>
      <c r="BB24" s="86" t="s">
        <v>39</v>
      </c>
      <c r="BC24" s="85"/>
      <c r="BD24" s="85"/>
      <c r="BE24" s="85"/>
      <c r="BF24" s="83"/>
      <c r="BG24" s="83"/>
      <c r="BH24" s="83"/>
      <c r="BI24" s="83" t="s">
        <v>31</v>
      </c>
      <c r="BJ24" t="s">
        <v>464</v>
      </c>
      <c r="BK24" t="s">
        <v>263</v>
      </c>
      <c r="BL24" s="83">
        <f t="shared" ref="BL24" si="27">ROUND((((AT24*AW24)+(BK24*BJ24))/(AT24+BK24)),5)</f>
        <v>235.26667</v>
      </c>
      <c r="BM24" s="87">
        <f t="shared" ref="BM24" si="28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1254.25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79.790000000000006</v>
      </c>
      <c r="S25" s="77">
        <f>SUM(S23:S24)</f>
        <v>1174.46</v>
      </c>
      <c r="T25" s="71"/>
      <c r="U25" s="71"/>
      <c r="V25" s="78">
        <f t="shared" ref="V25:AB25" si="29">SUM(V23:V24)</f>
        <v>105.7</v>
      </c>
      <c r="W25" s="78">
        <f t="shared" si="29"/>
        <v>105.7</v>
      </c>
      <c r="X25" s="78">
        <f t="shared" si="29"/>
        <v>0</v>
      </c>
      <c r="Y25" s="71">
        <f t="shared" si="29"/>
        <v>211.4</v>
      </c>
      <c r="Z25" s="80">
        <f t="shared" si="29"/>
        <v>1385.86</v>
      </c>
      <c r="AA25" s="81">
        <f t="shared" si="29"/>
        <v>240</v>
      </c>
      <c r="AB25" s="81">
        <f t="shared" si="29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1174.46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BO26"/>
  <sheetViews>
    <sheetView topLeftCell="BH16"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7">
      <c r="A23" s="68">
        <v>1</v>
      </c>
      <c r="B23" s="68" t="s">
        <v>465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466</v>
      </c>
      <c r="H23" s="69">
        <f>F23*G23</f>
        <v>1572</v>
      </c>
      <c r="I23" t="s">
        <v>313</v>
      </c>
      <c r="J23" s="69">
        <v>1.79</v>
      </c>
      <c r="K23" s="69">
        <v>2.5</v>
      </c>
      <c r="L23" s="69">
        <f>H23</f>
        <v>1572</v>
      </c>
      <c r="M23" s="69">
        <f>ROUND(L23*I23%,2)</f>
        <v>33.01</v>
      </c>
      <c r="N23" s="69">
        <f>H23-M23</f>
        <v>1538.99</v>
      </c>
      <c r="O23" s="69">
        <f>ROUND(N23*J23%,2)</f>
        <v>27.55</v>
      </c>
      <c r="P23" s="69">
        <f>ROUND(N23-O23,2)</f>
        <v>1511.44</v>
      </c>
      <c r="Q23" s="69">
        <f>ROUND(P23*K23%,2)</f>
        <v>37.79</v>
      </c>
      <c r="R23" s="69">
        <f>M23+O23+Q23</f>
        <v>98.35</v>
      </c>
      <c r="S23" s="69">
        <f>(H23-R23)</f>
        <v>1473.65</v>
      </c>
      <c r="T23" s="69" t="s">
        <v>146</v>
      </c>
      <c r="U23" s="69">
        <v>0.18</v>
      </c>
      <c r="V23" s="69">
        <f>IF($C$21=1,ROUND(((S23*U23)/2),2),0)</f>
        <v>132.63</v>
      </c>
      <c r="W23" s="69">
        <f>IF($C$21=1,ROUND(((S23*U23)/2),2),0)</f>
        <v>132.63</v>
      </c>
      <c r="X23" s="69">
        <f>IF($C$21=2,ROUND(((S23*U23)),2),0)</f>
        <v>0</v>
      </c>
      <c r="Y23" s="69">
        <f>V23+W23+X23</f>
        <v>265.26</v>
      </c>
      <c r="Z23" s="69">
        <f t="shared" ref="Z23:Z24" si="1">S23+Y23</f>
        <v>1738.91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1473.65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736.82500000000005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736.82500000000005</v>
      </c>
      <c r="AP23" s="83" t="s">
        <v>222</v>
      </c>
      <c r="AQ23" s="83" t="s">
        <v>58</v>
      </c>
      <c r="AR23" t="s">
        <v>239</v>
      </c>
      <c r="AS23" t="s">
        <v>467</v>
      </c>
      <c r="AT23" s="83">
        <f>AJ23</f>
        <v>2</v>
      </c>
      <c r="AU23" s="83">
        <f>AO23</f>
        <v>736.82500000000005</v>
      </c>
      <c r="AV23" s="83">
        <f>AR23+AT23</f>
        <v>2</v>
      </c>
      <c r="AW23" s="83">
        <f>ROUND(((AR23*AS23)+(AT23*AU23))/(AR23+AT23),5)</f>
        <v>736.82500000000005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467</v>
      </c>
      <c r="BK23" t="s">
        <v>223</v>
      </c>
      <c r="BL23" s="83">
        <f>ROUND((((AT23*AW23)+(BK23*BJ23))/(AT23+BK23)),5)</f>
        <v>736.82500000000005</v>
      </c>
      <c r="BM23" s="87">
        <f>BK23+AT23</f>
        <v>4</v>
      </c>
      <c r="BN23" s="87"/>
      <c r="BO23" s="87"/>
    </row>
    <row r="24" spans="1:67">
      <c r="A24" s="68">
        <v>2</v>
      </c>
      <c r="B24" s="68" t="s">
        <v>468</v>
      </c>
      <c r="C24" s="68" t="s">
        <v>60</v>
      </c>
      <c r="D24" s="68" t="s">
        <v>58</v>
      </c>
      <c r="E24" s="68" t="s">
        <v>58</v>
      </c>
      <c r="F24" s="69">
        <v>3</v>
      </c>
      <c r="G24" t="s">
        <v>469</v>
      </c>
      <c r="H24" s="69">
        <f t="shared" ref="H24" si="6">F24*G24</f>
        <v>1305</v>
      </c>
      <c r="I24" t="s">
        <v>354</v>
      </c>
      <c r="J24" s="69">
        <v>1.68</v>
      </c>
      <c r="K24" s="69">
        <v>2.5</v>
      </c>
      <c r="L24" s="69">
        <f>H24</f>
        <v>1305</v>
      </c>
      <c r="M24" s="69">
        <f>ROUND(L24*I24%,2)</f>
        <v>30.02</v>
      </c>
      <c r="N24" s="69">
        <f t="shared" ref="N24" si="7">H24-M24</f>
        <v>1274.98</v>
      </c>
      <c r="O24" s="69">
        <f t="shared" ref="O24" si="8">ROUND(N24*J24%,2)</f>
        <v>21.42</v>
      </c>
      <c r="P24" s="69">
        <f t="shared" ref="P24" si="9">ROUND(N24-O24,2)</f>
        <v>1253.56</v>
      </c>
      <c r="Q24" s="69">
        <f t="shared" ref="Q24" si="10">ROUND(P24*K24%,2)</f>
        <v>31.34</v>
      </c>
      <c r="R24" s="69">
        <f t="shared" ref="R24" si="11">M24+O24+Q24</f>
        <v>82.78</v>
      </c>
      <c r="S24" s="69">
        <f>(H24-R24)</f>
        <v>1222.22</v>
      </c>
      <c r="T24" s="69" t="s">
        <v>146</v>
      </c>
      <c r="U24" s="69">
        <v>0.18</v>
      </c>
      <c r="V24" s="69">
        <f t="shared" ref="V24" si="12">IF($C$21=1,ROUND(((S24*U24)/2),2),0)</f>
        <v>110</v>
      </c>
      <c r="W24" s="69">
        <f>IF($C$21=1,ROUND(((S24*U24)/2),2),0)</f>
        <v>110</v>
      </c>
      <c r="X24" s="69">
        <f>IF($C$21=2,ROUND(((S24*U24)),2),0)</f>
        <v>0</v>
      </c>
      <c r="Y24" s="69">
        <f t="shared" ref="Y24" si="13">V24+W24+X24</f>
        <v>220</v>
      </c>
      <c r="Z24" s="69">
        <f t="shared" si="1"/>
        <v>1442.22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1222.22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4">AF24/AJ24</f>
        <v>407.40666666666669</v>
      </c>
      <c r="AL24" s="69">
        <f t="shared" ref="AL24" si="15">AG24/AJ24</f>
        <v>0</v>
      </c>
      <c r="AM24" s="69">
        <f t="shared" ref="AM24" si="16">AH24/AJ24</f>
        <v>0</v>
      </c>
      <c r="AN24" s="69" t="s">
        <v>58</v>
      </c>
      <c r="AO24" s="69">
        <f t="shared" ref="AO24" si="17">AK24+AL24+AM24</f>
        <v>407.40666666666669</v>
      </c>
      <c r="AP24" s="83" t="s">
        <v>222</v>
      </c>
      <c r="AQ24" s="83" t="s">
        <v>58</v>
      </c>
      <c r="AR24" t="s">
        <v>239</v>
      </c>
      <c r="AS24" t="s">
        <v>470</v>
      </c>
      <c r="AT24" s="83">
        <f t="shared" ref="AT24" si="18">AJ24</f>
        <v>3</v>
      </c>
      <c r="AU24" s="83">
        <f>AO24</f>
        <v>407.40666666666669</v>
      </c>
      <c r="AV24" s="83">
        <f t="shared" ref="AV24" si="19">AR24+AT24</f>
        <v>3</v>
      </c>
      <c r="AW24" s="83">
        <f>ROUND(((AR24*AS24)+(AT24*AU24))/(AR24+AT24),5)</f>
        <v>407.40667000000002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470</v>
      </c>
      <c r="BK24" t="s">
        <v>263</v>
      </c>
      <c r="BL24" s="83">
        <f t="shared" ref="BL24" si="20">ROUND((((AT24*AW24)+(BK24*BJ24))/(AT24+BK24)),5)</f>
        <v>407.40667000000002</v>
      </c>
      <c r="BM24" s="87">
        <f t="shared" ref="BM24" si="21">BK24+AT24</f>
        <v>6</v>
      </c>
      <c r="BN24" s="87"/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2877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181.13</v>
      </c>
      <c r="S25" s="77">
        <f>SUM(S23:S24)</f>
        <v>2695.87</v>
      </c>
      <c r="T25" s="71"/>
      <c r="U25" s="71"/>
      <c r="V25" s="78">
        <f t="shared" ref="V25:AB25" si="22">SUM(V23:V24)</f>
        <v>242.63</v>
      </c>
      <c r="W25" s="78">
        <f t="shared" si="22"/>
        <v>242.63</v>
      </c>
      <c r="X25" s="78">
        <f t="shared" si="22"/>
        <v>0</v>
      </c>
      <c r="Y25" s="71">
        <f t="shared" si="22"/>
        <v>485.26</v>
      </c>
      <c r="Z25" s="80">
        <f t="shared" si="22"/>
        <v>3181.13</v>
      </c>
      <c r="AA25" s="81">
        <f t="shared" si="22"/>
        <v>320</v>
      </c>
      <c r="AB25" s="81">
        <f t="shared" si="22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2695.87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BR26"/>
  <sheetViews>
    <sheetView topLeftCell="A10" workbookViewId="0">
      <selection activeCell="B27" sqref="B27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471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301</v>
      </c>
      <c r="BO23" s="83">
        <f>ROUND((((AW23*AZ23)+(BN23*BM23))/(AW23+BN23)),5)</f>
        <v>563.04</v>
      </c>
      <c r="BP23" s="87">
        <f>BN23+AW23</f>
        <v>6</v>
      </c>
      <c r="BQ23" s="88">
        <v>88363222</v>
      </c>
      <c r="BR23" s="87"/>
    </row>
    <row r="24" spans="1:70">
      <c r="A24" s="68">
        <v>2</v>
      </c>
      <c r="B24" s="68" t="s">
        <v>473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254</v>
      </c>
      <c r="H24" s="69">
        <f>F24*G24</f>
        <v>1000</v>
      </c>
      <c r="I24" t="s">
        <v>223</v>
      </c>
      <c r="J24" s="69">
        <v>1.79</v>
      </c>
      <c r="K24" s="69">
        <v>2.5</v>
      </c>
      <c r="L24" s="69">
        <f>H24</f>
        <v>1000</v>
      </c>
      <c r="M24" s="69">
        <f>ROUND(L24*I24%,2)</f>
        <v>20</v>
      </c>
      <c r="N24" s="69">
        <f>H24-M24</f>
        <v>980</v>
      </c>
      <c r="O24" s="69">
        <f>ROUND(N24*J24%,2)</f>
        <v>17.54</v>
      </c>
      <c r="P24" s="69">
        <f>ROUND(N24-O24,2)</f>
        <v>962.46</v>
      </c>
      <c r="Q24" s="69">
        <f>ROUND(P24*K24%,2)</f>
        <v>24.06</v>
      </c>
      <c r="R24" s="69">
        <f>M24+O24+Q24</f>
        <v>61.599999999999994</v>
      </c>
      <c r="S24" s="69">
        <f>(H24-R24)</f>
        <v>938.4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168.91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168.91</v>
      </c>
      <c r="AC24" s="69">
        <f>IF($V22=1,S24+AB24,S24)</f>
        <v>938.4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938.4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469.2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469.2</v>
      </c>
      <c r="AS24" s="83" t="s">
        <v>309</v>
      </c>
      <c r="AT24" s="83" t="s">
        <v>58</v>
      </c>
      <c r="AU24" t="s">
        <v>239</v>
      </c>
      <c r="AV24" t="s">
        <v>256</v>
      </c>
      <c r="AW24" s="83">
        <f>AM24</f>
        <v>2</v>
      </c>
      <c r="AX24" s="83">
        <f>AR24</f>
        <v>469.2</v>
      </c>
      <c r="AY24" s="83">
        <f>AU24+AW24</f>
        <v>2</v>
      </c>
      <c r="AZ24" s="83">
        <f>ROUND(((AU24*AV24)+(AW24*AX24))/(AU24+AW24),5)</f>
        <v>469.2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256</v>
      </c>
      <c r="BN24" t="s">
        <v>301</v>
      </c>
      <c r="BO24" s="83">
        <f>ROUND((((AW24*AZ24)+(BN24*BM24))/(AW24+BN24)),5)</f>
        <v>469.2</v>
      </c>
      <c r="BP24" s="87">
        <f>BN24+AW24</f>
        <v>6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2200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135.51999999999998</v>
      </c>
      <c r="S25" s="77">
        <f>SUM(S23:S24)</f>
        <v>2064.48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371.6</v>
      </c>
      <c r="Y25" s="78">
        <f>SUM(Y23:Y24)</f>
        <v>0</v>
      </c>
      <c r="Z25" s="78"/>
      <c r="AA25" s="78">
        <f>SUM(AA23:AA24)</f>
        <v>0</v>
      </c>
      <c r="AB25" s="71">
        <f>SUM(AB23:AB24)</f>
        <v>371.6</v>
      </c>
      <c r="AC25" s="80">
        <f>SUM(AC23:AC24)</f>
        <v>2267.17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2064.48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BR26"/>
  <sheetViews>
    <sheetView topLeftCell="A16" workbookViewId="0">
      <selection activeCell="D21" sqref="D21"/>
    </sheetView>
  </sheetViews>
  <sheetFormatPr defaultColWidth="9" defaultRowHeight="15"/>
  <cols>
    <col min="2" max="2" width="30.2851562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52" max="52" width="18.85546875" customWidth="1"/>
    <col min="60" max="60" width="12.5703125" customWidth="1"/>
    <col min="61" max="61" width="21.7109375" customWidth="1"/>
    <col min="62" max="63" width="30.5703125" customWidth="1"/>
    <col min="64" max="64" width="8.1406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/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474</v>
      </c>
      <c r="C23" s="68" t="s">
        <v>57</v>
      </c>
      <c r="D23" s="68" t="s">
        <v>58</v>
      </c>
      <c r="E23" s="68" t="s">
        <v>58</v>
      </c>
      <c r="F23" s="69">
        <v>2</v>
      </c>
      <c r="G23" t="s">
        <v>360</v>
      </c>
      <c r="H23" s="69">
        <f>F23*G23</f>
        <v>1200</v>
      </c>
      <c r="I23" t="s">
        <v>223</v>
      </c>
      <c r="J23" s="69">
        <v>1.79</v>
      </c>
      <c r="K23" s="69">
        <v>2.5</v>
      </c>
      <c r="L23" s="69">
        <f>H23</f>
        <v>1200</v>
      </c>
      <c r="M23" s="69">
        <f>ROUND(L23*I23%,2)</f>
        <v>24</v>
      </c>
      <c r="N23" s="69">
        <f>H23-M23</f>
        <v>1176</v>
      </c>
      <c r="O23" s="69">
        <f>ROUND(N23*J23%,2)</f>
        <v>21.05</v>
      </c>
      <c r="P23" s="69">
        <f>ROUND(N23-O23,2)</f>
        <v>1154.95</v>
      </c>
      <c r="Q23" s="69">
        <f>ROUND(P23*K23%,2)</f>
        <v>28.87</v>
      </c>
      <c r="R23" s="69">
        <f>M23+O23+Q23</f>
        <v>73.92</v>
      </c>
      <c r="S23" s="69">
        <f>(H23-R23)</f>
        <v>1126.08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202.69</v>
      </c>
      <c r="Y23" s="69">
        <f>IF($C$21=4,ROUND(((S23*U23)/2),2),0)</f>
        <v>0</v>
      </c>
      <c r="Z23" s="79">
        <v>0</v>
      </c>
      <c r="AA23" s="69">
        <f>IF($C21=3,0,ROUND(S23*Z23,2))</f>
        <v>0</v>
      </c>
      <c r="AB23" s="69">
        <f>V23+W23+X23+Y23+AA23</f>
        <v>202.69</v>
      </c>
      <c r="AC23" s="69">
        <f>IF($V21=1,S23+AB23,S23)</f>
        <v>1328.77</v>
      </c>
      <c r="AD23" s="69">
        <v>120</v>
      </c>
      <c r="AE23" s="69">
        <f>IF($P$21=1,(S23/$S$25)*$E$36,AD23/$AD$25*$E$36)</f>
        <v>0</v>
      </c>
      <c r="AF23" s="69"/>
      <c r="AG23" s="69">
        <f>IF($P$21=1,(S23/$S$25)*$E$38,AD23/$AD$25*$E$38)</f>
        <v>0</v>
      </c>
      <c r="AH23" s="69">
        <f>IF($P$21=1,(S23/$S$25)*$E$38,AD23/$AD$25*$E$38)</f>
        <v>0</v>
      </c>
      <c r="AI23" s="69">
        <f t="shared" ref="AI23:AI24" si="1">S23*$M$21</f>
        <v>1126.08</v>
      </c>
      <c r="AJ23" s="69">
        <f t="shared" ref="AJ23:AJ24" si="2">IF($C$21=3,0,AG23+AH23)</f>
        <v>0</v>
      </c>
      <c r="AK23" s="69">
        <f t="shared" ref="AK23:AK24" si="3">IF($C$21=3,AE23+AG23+AH23,0)</f>
        <v>0</v>
      </c>
      <c r="AL23" s="69">
        <v>1</v>
      </c>
      <c r="AM23" s="69">
        <f t="shared" ref="AM23:AM24" si="4">F23/AL23</f>
        <v>2</v>
      </c>
      <c r="AN23" s="69">
        <f>AI23/AM23</f>
        <v>563.04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563.04</v>
      </c>
      <c r="AS23" s="83" t="s">
        <v>309</v>
      </c>
      <c r="AT23" s="83" t="s">
        <v>58</v>
      </c>
      <c r="AU23" t="s">
        <v>239</v>
      </c>
      <c r="AV23" t="s">
        <v>472</v>
      </c>
      <c r="AW23" s="83">
        <f>AM23</f>
        <v>2</v>
      </c>
      <c r="AX23" s="83">
        <f>AR23</f>
        <v>563.04</v>
      </c>
      <c r="AY23" s="83">
        <f>AU23+AW23</f>
        <v>2</v>
      </c>
      <c r="AZ23" s="83">
        <f>ROUND(((AU23*AV23)+(AW23*AX23))/(AU23+AW23),5)</f>
        <v>563.04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364</v>
      </c>
      <c r="BM23" t="s">
        <v>472</v>
      </c>
      <c r="BN23" t="s">
        <v>223</v>
      </c>
      <c r="BO23" s="83">
        <f>ROUND((((AW23*AZ23)+(BN23*BM23))/(AW23+BN23)),5)</f>
        <v>563.04</v>
      </c>
      <c r="BP23" s="87">
        <f>BN23+AW23</f>
        <v>4</v>
      </c>
      <c r="BQ23" s="88">
        <v>88363222</v>
      </c>
      <c r="BR23" s="87"/>
    </row>
    <row r="24" spans="1:70">
      <c r="A24" s="68">
        <v>2</v>
      </c>
      <c r="B24" s="68" t="s">
        <v>475</v>
      </c>
      <c r="C24" s="68" t="s">
        <v>57</v>
      </c>
      <c r="D24" s="68" t="s">
        <v>58</v>
      </c>
      <c r="E24" s="68" t="s">
        <v>58</v>
      </c>
      <c r="F24" s="69">
        <v>2</v>
      </c>
      <c r="G24" t="s">
        <v>476</v>
      </c>
      <c r="H24" s="69">
        <f>F24*G24</f>
        <v>1400</v>
      </c>
      <c r="I24" t="s">
        <v>263</v>
      </c>
      <c r="J24" s="69">
        <v>1.79</v>
      </c>
      <c r="K24" s="69">
        <v>2.5</v>
      </c>
      <c r="L24" s="69">
        <f>H24</f>
        <v>1400</v>
      </c>
      <c r="M24" s="69">
        <f>ROUND(L24*I24%,2)</f>
        <v>42</v>
      </c>
      <c r="N24" s="69">
        <f>H24-M24</f>
        <v>1358</v>
      </c>
      <c r="O24" s="69">
        <f>ROUND(N24*J24%,2)</f>
        <v>24.31</v>
      </c>
      <c r="P24" s="69">
        <f>ROUND(N24-O24,2)</f>
        <v>1333.69</v>
      </c>
      <c r="Q24" s="69">
        <f>ROUND(P24*K24%,2)</f>
        <v>33.340000000000003</v>
      </c>
      <c r="R24" s="69">
        <f>M24+O24+Q24</f>
        <v>99.65</v>
      </c>
      <c r="S24" s="69">
        <f>(H24-R24)</f>
        <v>1300.3499999999999</v>
      </c>
      <c r="T24" s="69" t="s">
        <v>146</v>
      </c>
      <c r="U24" s="69">
        <v>0.18</v>
      </c>
      <c r="V24" s="69">
        <f>IF(OR($C$21=1,$C$21=4),ROUND(((S24*U24)/2),2),0)</f>
        <v>0</v>
      </c>
      <c r="W24" s="69">
        <f>IF($C$21=1,ROUND(((S24*U24)/2),2),0)</f>
        <v>0</v>
      </c>
      <c r="X24" s="69">
        <f>IF($C$21=2,ROUND(((S24*U24)),2),0)</f>
        <v>234.06</v>
      </c>
      <c r="Y24" s="69">
        <f>IF($C$21=4,ROUND(((S24*U24)/2),2),0)</f>
        <v>0</v>
      </c>
      <c r="Z24" s="79">
        <v>0</v>
      </c>
      <c r="AA24" s="69">
        <f>IF($C22=3,0,ROUND(S24*Z24,2))</f>
        <v>0</v>
      </c>
      <c r="AB24" s="69">
        <f>V24+W24+X24+Y24+AA24</f>
        <v>234.06</v>
      </c>
      <c r="AC24" s="69">
        <f>IF($V22=1,S24+AB24,S24)</f>
        <v>1300.3499999999999</v>
      </c>
      <c r="AD24" s="69">
        <v>120</v>
      </c>
      <c r="AE24" s="69">
        <f>IF($P$21=1,(S24/$S$25)*$E$36,AD24/$AD$25*$E$36)</f>
        <v>0</v>
      </c>
      <c r="AF24" s="69"/>
      <c r="AG24" s="69">
        <f>IF($P$21=1,(S24/$S$25)*$E$38,AD24/$AD$25*$E$38)</f>
        <v>0</v>
      </c>
      <c r="AH24" s="69">
        <f>IF($P$21=1,(S24/$S$25)*$E$38,AD24/$AD$25*$E$38)</f>
        <v>0</v>
      </c>
      <c r="AI24" s="69">
        <f t="shared" si="1"/>
        <v>1300.3499999999999</v>
      </c>
      <c r="AJ24" s="69">
        <f t="shared" si="2"/>
        <v>0</v>
      </c>
      <c r="AK24" s="69">
        <f t="shared" si="3"/>
        <v>0</v>
      </c>
      <c r="AL24" s="69">
        <v>1</v>
      </c>
      <c r="AM24" s="69">
        <f t="shared" si="4"/>
        <v>2</v>
      </c>
      <c r="AN24" s="69">
        <f>AI24/AM24</f>
        <v>650.17499999999995</v>
      </c>
      <c r="AO24" s="69">
        <f>AJ24/AM24</f>
        <v>0</v>
      </c>
      <c r="AP24" s="69">
        <f>AK24/AM24</f>
        <v>0</v>
      </c>
      <c r="AQ24" s="69" t="s">
        <v>58</v>
      </c>
      <c r="AR24" s="69">
        <f>AN24+AO24+AP24</f>
        <v>650.17499999999995</v>
      </c>
      <c r="AS24" s="83" t="s">
        <v>309</v>
      </c>
      <c r="AT24" s="83" t="s">
        <v>58</v>
      </c>
      <c r="AU24" t="s">
        <v>239</v>
      </c>
      <c r="AV24" t="s">
        <v>477</v>
      </c>
      <c r="AW24" s="83">
        <f>AM24</f>
        <v>2</v>
      </c>
      <c r="AX24" s="83">
        <f>AR24</f>
        <v>650.17499999999995</v>
      </c>
      <c r="AY24" s="83">
        <f>AU24+AW24</f>
        <v>2</v>
      </c>
      <c r="AZ24" s="83">
        <f>ROUND(((AU24*AV24)+(AW24*AX24))/(AU24+AW24),5)</f>
        <v>650.17499999999995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83" t="s">
        <v>364</v>
      </c>
      <c r="BM24" t="s">
        <v>477</v>
      </c>
      <c r="BN24" t="s">
        <v>223</v>
      </c>
      <c r="BO24" s="83">
        <f>ROUND((((AW24*AZ24)+(BN24*BM24))/(AW24+BN24)),5)</f>
        <v>650.17499999999995</v>
      </c>
      <c r="BP24" s="87">
        <f>BN24+AW24</f>
        <v>4</v>
      </c>
      <c r="BQ24" s="88">
        <v>88363222</v>
      </c>
      <c r="BR24" s="87"/>
    </row>
    <row r="25" spans="1:70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2600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173.57</v>
      </c>
      <c r="S25" s="77">
        <f>SUM(S23:S24)</f>
        <v>2426.4299999999998</v>
      </c>
      <c r="T25" s="71"/>
      <c r="U25" s="71"/>
      <c r="V25" s="78">
        <f>SUM(V23:V24)</f>
        <v>0</v>
      </c>
      <c r="W25" s="78">
        <f>SUM(W23:W24)</f>
        <v>0</v>
      </c>
      <c r="X25" s="78">
        <f>SUM(X23:X24)</f>
        <v>436.75</v>
      </c>
      <c r="Y25" s="78">
        <f>SUM(Y23:Y24)</f>
        <v>0</v>
      </c>
      <c r="Z25" s="78"/>
      <c r="AA25" s="78">
        <f>SUM(AA23:AA24)</f>
        <v>0</v>
      </c>
      <c r="AB25" s="71">
        <f>SUM(AB23:AB24)</f>
        <v>436.75</v>
      </c>
      <c r="AC25" s="80">
        <f>SUM(AC23:AC24)</f>
        <v>2629.12</v>
      </c>
      <c r="AD25" s="81">
        <f t="shared" ref="AD25:AE25" si="5">SUM(AD23:AD23)</f>
        <v>120</v>
      </c>
      <c r="AE25" s="81">
        <f t="shared" si="5"/>
        <v>0</v>
      </c>
      <c r="AF25" s="80"/>
      <c r="AG25" s="81">
        <f>SUM(AG23:AG23)</f>
        <v>0</v>
      </c>
      <c r="AH25" s="81">
        <f>SUM(AH23:AH23)</f>
        <v>0</v>
      </c>
      <c r="AI25" s="81">
        <f>SUM(AI23:AI24)</f>
        <v>2426.4299999999998</v>
      </c>
      <c r="AJ25" s="81">
        <f>SUM(AJ23:AJ23)</f>
        <v>0</v>
      </c>
      <c r="AK25" s="81">
        <f>SUM(AK23:AK23)</f>
        <v>0</v>
      </c>
      <c r="AL25" s="80"/>
      <c r="AM25" s="80"/>
      <c r="AN25" s="80"/>
      <c r="AO25" s="80"/>
      <c r="AP25" s="80"/>
      <c r="AQ25" s="80"/>
      <c r="AR25" s="80"/>
      <c r="AS25" s="66"/>
    </row>
    <row r="26" spans="1:70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</row>
  </sheetData>
  <mergeCells count="3">
    <mergeCell ref="A1:AC1"/>
    <mergeCell ref="B19:G19"/>
    <mergeCell ref="A21:B21"/>
  </mergeCells>
  <pageMargins left="0.7" right="0.7" top="0.75" bottom="0.75" header="0.3" footer="0.3"/>
  <pageSetup orientation="portrait"/>
</worksheet>
</file>

<file path=xl/worksheets/sheet62.xml><?xml version="1.0" encoding="utf-8"?>
<worksheet xmlns="http://schemas.openxmlformats.org/spreadsheetml/2006/main" xmlns:r="http://schemas.openxmlformats.org/officeDocument/2006/relationships">
  <dimension ref="A1:BM34"/>
  <sheetViews>
    <sheetView topLeftCell="I16" workbookViewId="0">
      <selection activeCell="Z20" sqref="Z20:Z27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32" max="32" width="14.28515625" customWidth="1"/>
    <col min="40" max="40" width="11.85546875" customWidth="1"/>
    <col min="41" max="41" width="23.28515625" customWidth="1"/>
    <col min="42" max="42" width="11.140625" customWidth="1"/>
    <col min="43" max="43" width="11.85546875" customWidth="1"/>
    <col min="44" max="44" width="15.28515625" customWidth="1"/>
    <col min="45" max="45" width="20.28515625" customWidth="1"/>
    <col min="46" max="46" width="11.42578125" customWidth="1"/>
    <col min="47" max="47" width="16.28515625" customWidth="1"/>
    <col min="48" max="48" width="13.85546875" customWidth="1"/>
    <col min="49" max="49" width="18.85546875" customWidth="1"/>
    <col min="50" max="50" width="19" customWidth="1"/>
    <col min="51" max="51" width="21.7109375" customWidth="1"/>
    <col min="52" max="52" width="16" customWidth="1"/>
    <col min="53" max="53" width="14.28515625" customWidth="1"/>
    <col min="54" max="54" width="17.28515625" customWidth="1"/>
    <col min="55" max="55" width="13.7109375" customWidth="1"/>
    <col min="56" max="56" width="12.42578125" customWidth="1"/>
    <col min="57" max="57" width="12.5703125" customWidth="1"/>
    <col min="58" max="58" width="21.7109375" customWidth="1"/>
    <col min="59" max="59" width="30.5703125" customWidth="1"/>
    <col min="62" max="62" width="41.140625" customWidth="1"/>
    <col min="63" max="63" width="37" customWidth="1"/>
    <col min="64" max="64" width="18.85546875" customWidth="1"/>
    <col min="65" max="65" width="34.42578125" customWidth="1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5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5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5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5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5">
      <c r="A21" s="276" t="s">
        <v>89</v>
      </c>
      <c r="B21" s="276"/>
      <c r="C21" s="20">
        <v>2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5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</row>
    <row r="23" spans="1:65">
      <c r="A23" s="68">
        <v>1</v>
      </c>
      <c r="B23" s="68" t="s">
        <v>478</v>
      </c>
      <c r="C23" s="68" t="s">
        <v>57</v>
      </c>
      <c r="D23" s="68" t="s">
        <v>163</v>
      </c>
      <c r="E23" s="68" t="s">
        <v>163</v>
      </c>
      <c r="F23" s="69">
        <v>25</v>
      </c>
      <c r="G23" t="s">
        <v>479</v>
      </c>
      <c r="H23" s="69">
        <f>F23*G23</f>
        <v>86325</v>
      </c>
      <c r="I23" t="s">
        <v>263</v>
      </c>
      <c r="J23" s="69">
        <v>1.79</v>
      </c>
      <c r="K23" s="69">
        <v>2.5</v>
      </c>
      <c r="L23" s="69">
        <f>H23</f>
        <v>86325</v>
      </c>
      <c r="M23" s="69">
        <f>ROUND(L23*I23%,2)</f>
        <v>2589.75</v>
      </c>
      <c r="N23" s="69">
        <f>H23-M23</f>
        <v>83735.25</v>
      </c>
      <c r="O23" s="69">
        <f>ROUND(N23*J23%,2)</f>
        <v>1498.86</v>
      </c>
      <c r="P23" s="69">
        <f>ROUND(N23-O23,2)</f>
        <v>82236.39</v>
      </c>
      <c r="Q23" s="69">
        <f>ROUND(P23*K23%,2)</f>
        <v>2055.91</v>
      </c>
      <c r="R23" s="69">
        <f>M23+O23+Q23</f>
        <v>6144.5199999999995</v>
      </c>
      <c r="S23" s="69">
        <f>(H23-R23)</f>
        <v>80180.479999999996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14432.49</v>
      </c>
      <c r="Y23" s="69">
        <f>V23+W23+X23</f>
        <v>14432.49</v>
      </c>
      <c r="Z23" s="69">
        <f t="shared" ref="Z23" si="1">S23+Y23</f>
        <v>94612.97</v>
      </c>
      <c r="AA23" s="69">
        <v>120</v>
      </c>
      <c r="AB23" s="69">
        <f>IF($P$21=1,(S23/$S$24)*$E$35,AA23/$AA$24*$E$35)</f>
        <v>0</v>
      </c>
      <c r="AC23" s="69"/>
      <c r="AD23" s="69">
        <f>IF($P$21=1,(S23/$S$24)*$E$37,AA23/$AA$24*$E$37)</f>
        <v>0</v>
      </c>
      <c r="AE23" s="69">
        <f>IF($P$21=1,(S23/$S$24)*$E$37,AA23/$AA$24*$E$37)</f>
        <v>0</v>
      </c>
      <c r="AF23" s="69">
        <f t="shared" ref="AF23" si="2">S23*$M$21</f>
        <v>80180.479999999996</v>
      </c>
      <c r="AG23" s="69">
        <f t="shared" ref="AG23" si="3">IF($C$21=3,0,AD23+AE23)</f>
        <v>0</v>
      </c>
      <c r="AH23" s="69">
        <f t="shared" ref="AH23" si="4">IF($C$21=3,AB23+AD23+AE23,0)</f>
        <v>0</v>
      </c>
      <c r="AI23" s="69">
        <v>1</v>
      </c>
      <c r="AJ23" s="69">
        <f t="shared" ref="AJ23" si="5">F23/AI23</f>
        <v>25</v>
      </c>
      <c r="AK23" s="69">
        <f>AF23/AJ23</f>
        <v>3207.2192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3207.2192</v>
      </c>
      <c r="AP23" s="83" t="s">
        <v>347</v>
      </c>
      <c r="AQ23" s="83" t="s">
        <v>58</v>
      </c>
      <c r="AT23" s="83">
        <f>AJ23</f>
        <v>25</v>
      </c>
      <c r="AW23" s="83">
        <f>ROUND(((AR23*AS23)+(AT23*AU23))/(AR23+AT23),5)</f>
        <v>0</v>
      </c>
      <c r="AX23" s="85"/>
      <c r="AY23" s="85" t="s">
        <v>149</v>
      </c>
      <c r="AZ23" s="92" t="s">
        <v>29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348</v>
      </c>
      <c r="BJ23" t="s">
        <v>239</v>
      </c>
      <c r="BK23" t="s">
        <v>239</v>
      </c>
      <c r="BL23" s="83">
        <f>ROUND((((AT23*AW23)+(BK23*BJ23))/(AT23+BK23)),5)</f>
        <v>0</v>
      </c>
    </row>
    <row r="24" spans="1:65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86325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6144.5199999999995</v>
      </c>
      <c r="S24" s="77">
        <f>SUM(S23:S23)</f>
        <v>80180.479999999996</v>
      </c>
      <c r="T24" s="71"/>
      <c r="U24" s="71"/>
      <c r="V24" s="78">
        <f t="shared" ref="V24:AB24" si="6">SUM(V23:V23)</f>
        <v>0</v>
      </c>
      <c r="W24" s="78">
        <f t="shared" si="6"/>
        <v>0</v>
      </c>
      <c r="X24" s="78">
        <f t="shared" si="6"/>
        <v>14432.49</v>
      </c>
      <c r="Y24" s="71">
        <f t="shared" si="6"/>
        <v>14432.49</v>
      </c>
      <c r="Z24" s="80">
        <f t="shared" si="6"/>
        <v>94612.97</v>
      </c>
      <c r="AA24" s="81">
        <f t="shared" si="6"/>
        <v>120</v>
      </c>
      <c r="AB24" s="81">
        <f t="shared" si="6"/>
        <v>0</v>
      </c>
      <c r="AC24" s="80"/>
      <c r="AD24" s="81">
        <f>SUM(AD23:AD23)</f>
        <v>0</v>
      </c>
      <c r="AE24" s="81">
        <f>SUM(AE23:AE23)</f>
        <v>0</v>
      </c>
      <c r="AF24" s="81">
        <f>SUM(AF23:AF23)</f>
        <v>80180.479999999996</v>
      </c>
      <c r="AG24" s="81">
        <f>SUM(AG23:AG23)</f>
        <v>0</v>
      </c>
      <c r="AH24" s="81">
        <f>SUM(AH23:AH23)</f>
        <v>0</v>
      </c>
      <c r="AI24" s="80"/>
      <c r="AJ24" s="80"/>
      <c r="AK24" s="80"/>
      <c r="AL24" s="80"/>
      <c r="AM24" s="80"/>
      <c r="AN24" s="80"/>
      <c r="AO24" s="80"/>
      <c r="AP24" s="66"/>
    </row>
    <row r="25" spans="1:65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93"/>
      <c r="AQ25" s="93"/>
      <c r="BG25" s="93"/>
      <c r="BH25" s="93"/>
    </row>
    <row r="26" spans="1:65">
      <c r="BH26" s="94"/>
      <c r="BI26" s="94"/>
    </row>
    <row r="34" spans="45:45">
      <c r="AS34">
        <v>31.8368</v>
      </c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BO26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62.710937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6" max="26" width="10.28515625" customWidth="1"/>
    <col min="27" max="27" width="12.85546875" customWidth="1"/>
    <col min="28" max="28" width="8.7109375" customWidth="1"/>
    <col min="48" max="48" width="13.85546875" customWidth="1"/>
    <col min="57" max="57" width="12.5703125" customWidth="1"/>
    <col min="58" max="58" width="21.7109375" customWidth="1"/>
    <col min="59" max="60" width="30.5703125" customWidth="1"/>
    <col min="64" max="64" width="18.85546875" customWidth="1"/>
    <col min="65" max="65" width="34.42578125" customWidth="1"/>
  </cols>
  <sheetData>
    <row r="1" spans="1:42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66"/>
      <c r="AP1" s="66"/>
    </row>
    <row r="2" spans="1:42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66"/>
      <c r="AP2" s="66"/>
    </row>
    <row r="3" spans="1:42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66"/>
    </row>
    <row r="4" spans="1:42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66"/>
    </row>
    <row r="5" spans="1:42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66"/>
    </row>
    <row r="6" spans="1:42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66"/>
    </row>
    <row r="7" spans="1:42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66"/>
    </row>
    <row r="8" spans="1:42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66"/>
    </row>
    <row r="9" spans="1:42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66"/>
    </row>
    <row r="10" spans="1:42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66"/>
    </row>
    <row r="11" spans="1:42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66"/>
    </row>
    <row r="12" spans="1:42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66"/>
    </row>
    <row r="13" spans="1:42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66"/>
    </row>
    <row r="14" spans="1:42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66"/>
    </row>
    <row r="15" spans="1:42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66"/>
    </row>
    <row r="16" spans="1:42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66"/>
    </row>
    <row r="17" spans="1:67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66"/>
    </row>
    <row r="18" spans="1:67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66"/>
    </row>
    <row r="19" spans="1:67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6"/>
    </row>
    <row r="20" spans="1:67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6"/>
    </row>
    <row r="21" spans="1:67">
      <c r="A21" s="276" t="s">
        <v>89</v>
      </c>
      <c r="B21" s="276"/>
      <c r="C21" s="20">
        <v>1</v>
      </c>
      <c r="D21" s="21" t="s">
        <v>90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6"/>
    </row>
    <row r="22" spans="1:67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113</v>
      </c>
      <c r="Z22" s="41" t="s">
        <v>114</v>
      </c>
      <c r="AA22" s="41" t="s">
        <v>115</v>
      </c>
      <c r="AB22" s="42" t="s">
        <v>116</v>
      </c>
      <c r="AC22" s="42" t="s">
        <v>117</v>
      </c>
      <c r="AD22" s="42" t="s">
        <v>118</v>
      </c>
      <c r="AE22" s="41" t="s">
        <v>119</v>
      </c>
      <c r="AF22" s="41" t="s">
        <v>120</v>
      </c>
      <c r="AG22" s="42" t="s">
        <v>121</v>
      </c>
      <c r="AH22" s="42" t="s">
        <v>122</v>
      </c>
      <c r="AI22" s="41" t="s">
        <v>123</v>
      </c>
      <c r="AJ22" s="41" t="s">
        <v>124</v>
      </c>
      <c r="AK22" s="42" t="s">
        <v>125</v>
      </c>
      <c r="AL22" s="42" t="s">
        <v>126</v>
      </c>
      <c r="AM22" s="42" t="s">
        <v>127</v>
      </c>
      <c r="AN22" s="41" t="s">
        <v>128</v>
      </c>
      <c r="AO22" s="46" t="s">
        <v>129</v>
      </c>
      <c r="AP22" s="3" t="s">
        <v>215</v>
      </c>
      <c r="AQ22" s="3" t="s">
        <v>128</v>
      </c>
      <c r="AR22" s="82" t="s">
        <v>131</v>
      </c>
      <c r="AS22" s="82" t="s">
        <v>132</v>
      </c>
      <c r="AT22" s="82" t="s">
        <v>133</v>
      </c>
      <c r="AU22" s="82" t="s">
        <v>134</v>
      </c>
      <c r="AV22" s="82" t="s">
        <v>135</v>
      </c>
      <c r="AW22" s="82" t="s">
        <v>136</v>
      </c>
      <c r="AX22" s="82" t="s">
        <v>137</v>
      </c>
      <c r="AY22" s="82" t="s">
        <v>138</v>
      </c>
      <c r="AZ22" s="84" t="s">
        <v>139</v>
      </c>
      <c r="BA22" s="84" t="s">
        <v>8</v>
      </c>
      <c r="BB22" s="84" t="s">
        <v>9</v>
      </c>
      <c r="BC22" s="82" t="s">
        <v>216</v>
      </c>
      <c r="BD22" s="82" t="s">
        <v>140</v>
      </c>
      <c r="BE22" s="82" t="s">
        <v>141</v>
      </c>
      <c r="BF22" s="82" t="s">
        <v>142</v>
      </c>
      <c r="BG22" s="82" t="s">
        <v>143</v>
      </c>
      <c r="BH22" s="82" t="s">
        <v>144</v>
      </c>
      <c r="BI22" s="82" t="s">
        <v>217</v>
      </c>
      <c r="BJ22" s="47" t="s">
        <v>218</v>
      </c>
      <c r="BK22" s="82" t="s">
        <v>219</v>
      </c>
      <c r="BL22" s="82" t="s">
        <v>136</v>
      </c>
      <c r="BM22" s="90" t="s">
        <v>220</v>
      </c>
      <c r="BN22" s="91" t="s">
        <v>108</v>
      </c>
    </row>
    <row r="23" spans="1:67">
      <c r="A23" s="68">
        <v>1</v>
      </c>
      <c r="B23" s="68" t="s">
        <v>480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V23+W23+X23</f>
        <v>84.36</v>
      </c>
      <c r="Z23" s="69">
        <f t="shared" ref="Z23:Z24" si="1">S23+Y23</f>
        <v>553.02</v>
      </c>
      <c r="AA23" s="69">
        <v>120</v>
      </c>
      <c r="AB23" s="69">
        <f>IF($P$21=1,(S23/$S$25)*$E$36,AA23/$AA$25*$E$36)</f>
        <v>0</v>
      </c>
      <c r="AC23" s="69"/>
      <c r="AD23" s="69">
        <f>IF($P$21=1,(S23/$S$25)*$E$38,AA23/$AA$25*$E$38)</f>
        <v>0</v>
      </c>
      <c r="AE23" s="69">
        <f>IF($P$21=1,(S23/$S$25)*$E$38,AA23/$AA$25*$E$38)</f>
        <v>0</v>
      </c>
      <c r="AF23" s="69">
        <f t="shared" ref="AF23:AF24" si="2">S23*$M$21</f>
        <v>468.66</v>
      </c>
      <c r="AG23" s="69">
        <f t="shared" ref="AG23:AG24" si="3">IF($C$21=3,0,AD23+AE23)</f>
        <v>0</v>
      </c>
      <c r="AH23" s="69">
        <f t="shared" ref="AH23:AH24" si="4">IF($C$21=3,AB23+AD23+AE23,0)</f>
        <v>0</v>
      </c>
      <c r="AI23" s="69">
        <v>1</v>
      </c>
      <c r="AJ23" s="69">
        <f t="shared" ref="AJ23:AJ24" si="5">F23/AI23</f>
        <v>2</v>
      </c>
      <c r="AK23" s="69">
        <f>AF23/AJ23</f>
        <v>234.33</v>
      </c>
      <c r="AL23" s="69">
        <f>AG23/AJ23</f>
        <v>0</v>
      </c>
      <c r="AM23" s="69">
        <f>AH23/AJ23</f>
        <v>0</v>
      </c>
      <c r="AN23" s="69" t="s">
        <v>58</v>
      </c>
      <c r="AO23" s="69">
        <f>AK23+AL23+AM23</f>
        <v>234.33</v>
      </c>
      <c r="AP23" s="83" t="s">
        <v>222</v>
      </c>
      <c r="AQ23" s="83" t="s">
        <v>58</v>
      </c>
      <c r="AR23" t="s">
        <v>239</v>
      </c>
      <c r="AS23" t="s">
        <v>224</v>
      </c>
      <c r="AT23" s="83">
        <f>AJ23</f>
        <v>2</v>
      </c>
      <c r="AU23" s="83">
        <f>AO23</f>
        <v>234.33</v>
      </c>
      <c r="AV23" s="83">
        <f>AR23+AT23</f>
        <v>2</v>
      </c>
      <c r="AW23" s="83">
        <f>ROUND(((AR23*AS23)+(AT23*AU23))/(AR23+AT23),5)</f>
        <v>234.33</v>
      </c>
      <c r="AX23" s="85"/>
      <c r="AY23" s="85" t="s">
        <v>149</v>
      </c>
      <c r="AZ23" s="86" t="s">
        <v>38</v>
      </c>
      <c r="BA23" s="86" t="s">
        <v>30</v>
      </c>
      <c r="BB23" s="86" t="s">
        <v>39</v>
      </c>
      <c r="BC23" s="85"/>
      <c r="BD23" s="85"/>
      <c r="BE23" s="85"/>
      <c r="BF23" s="83"/>
      <c r="BG23" s="83"/>
      <c r="BH23" s="83"/>
      <c r="BI23" s="83" t="s">
        <v>31</v>
      </c>
      <c r="BJ23" t="s">
        <v>481</v>
      </c>
      <c r="BK23" t="s">
        <v>482</v>
      </c>
      <c r="BL23" s="83">
        <f>ROUND((((AT23*AW23)+(BK23*BJ23))/(AT23+BK23)),5)</f>
        <v>168.49708000000001</v>
      </c>
      <c r="BM23" s="87">
        <f>BK23+AT23</f>
        <v>2340.6</v>
      </c>
      <c r="BN23" s="88">
        <v>123562</v>
      </c>
      <c r="BO23" s="87"/>
    </row>
    <row r="24" spans="1:67">
      <c r="A24" s="68">
        <v>2</v>
      </c>
      <c r="B24" s="68" t="s">
        <v>483</v>
      </c>
      <c r="C24" s="68" t="s">
        <v>60</v>
      </c>
      <c r="D24" s="68" t="s">
        <v>58</v>
      </c>
      <c r="E24" s="68" t="s">
        <v>58</v>
      </c>
      <c r="F24" s="69">
        <v>3</v>
      </c>
      <c r="G24" s="69">
        <v>130.25</v>
      </c>
      <c r="H24" s="69">
        <f t="shared" ref="H24" si="6">F24*G24</f>
        <v>390.75</v>
      </c>
      <c r="I24" s="69">
        <v>1.25</v>
      </c>
      <c r="J24" s="69">
        <v>1.68</v>
      </c>
      <c r="K24" s="69">
        <v>2.5</v>
      </c>
      <c r="L24" s="69">
        <f>H24</f>
        <v>390.75</v>
      </c>
      <c r="M24" s="69">
        <f>ROUND(L24*I24%,2)</f>
        <v>4.88</v>
      </c>
      <c r="N24" s="69">
        <f t="shared" ref="N24" si="7">H24-M24</f>
        <v>385.87</v>
      </c>
      <c r="O24" s="69">
        <f t="shared" ref="O24" si="8">ROUND(N24*J24%,2)</f>
        <v>6.48</v>
      </c>
      <c r="P24" s="69">
        <f t="shared" ref="P24" si="9">ROUND(N24-O24,2)</f>
        <v>379.39</v>
      </c>
      <c r="Q24" s="69">
        <f t="shared" ref="Q24" si="10">ROUND(P24*K24%,2)</f>
        <v>9.48</v>
      </c>
      <c r="R24" s="69">
        <f t="shared" ref="R24" si="11">M24+O24+Q24</f>
        <v>20.84</v>
      </c>
      <c r="S24" s="69">
        <f t="shared" ref="S24" si="12">(H24-R24)</f>
        <v>369.91</v>
      </c>
      <c r="T24" s="69" t="s">
        <v>146</v>
      </c>
      <c r="U24" s="69">
        <v>0.18</v>
      </c>
      <c r="V24" s="69">
        <f t="shared" ref="V24" si="13">IF($C$21=1,ROUND(((S24*U24)/2),2),0)</f>
        <v>33.29</v>
      </c>
      <c r="W24" s="69">
        <f t="shared" ref="W24" si="14">IF($C$21=1,ROUND(((S24*U24)/2),2),0)</f>
        <v>33.29</v>
      </c>
      <c r="X24" s="69">
        <f t="shared" ref="X24" si="15">IF($C$21=2,ROUND(((S24*U24)),2),0)</f>
        <v>0</v>
      </c>
      <c r="Y24" s="69">
        <f t="shared" ref="Y24" si="16">V24+W24+X24</f>
        <v>66.58</v>
      </c>
      <c r="Z24" s="69">
        <f t="shared" si="1"/>
        <v>436.49</v>
      </c>
      <c r="AA24" s="69">
        <v>200</v>
      </c>
      <c r="AB24" s="69">
        <f>IF($P$21=1,(S24/$S$25)*$E$36,AA24/$AA$25*$E$36)</f>
        <v>0</v>
      </c>
      <c r="AC24" s="69"/>
      <c r="AD24" s="69">
        <f>IF($P$21=1,(S24/$S$25)*$E$38,AA24/$AA$25*$E$38)</f>
        <v>0</v>
      </c>
      <c r="AE24" s="69">
        <f>IF($P$21=1,(S24/$S$25)*$E$38,AA24/$AA$25*$E$38)</f>
        <v>0</v>
      </c>
      <c r="AF24" s="69">
        <f t="shared" si="2"/>
        <v>369.91</v>
      </c>
      <c r="AG24" s="69">
        <f t="shared" si="3"/>
        <v>0</v>
      </c>
      <c r="AH24" s="69">
        <f t="shared" si="4"/>
        <v>0</v>
      </c>
      <c r="AI24" s="69">
        <v>1</v>
      </c>
      <c r="AJ24" s="69">
        <f t="shared" si="5"/>
        <v>3</v>
      </c>
      <c r="AK24" s="69">
        <f t="shared" ref="AK24" si="17">AF24/AJ24</f>
        <v>123.30333333333334</v>
      </c>
      <c r="AL24" s="69">
        <f t="shared" ref="AL24" si="18">AG24/AJ24</f>
        <v>0</v>
      </c>
      <c r="AM24" s="69">
        <f t="shared" ref="AM24" si="19">AH24/AJ24</f>
        <v>0</v>
      </c>
      <c r="AN24" s="69" t="s">
        <v>58</v>
      </c>
      <c r="AO24" s="69">
        <f t="shared" ref="AO24" si="20">AK24+AL24+AM24</f>
        <v>123.30333333333334</v>
      </c>
      <c r="AP24" s="83" t="s">
        <v>222</v>
      </c>
      <c r="AQ24" s="83" t="s">
        <v>58</v>
      </c>
      <c r="AR24" t="s">
        <v>239</v>
      </c>
      <c r="AS24" t="s">
        <v>484</v>
      </c>
      <c r="AT24" s="83">
        <f t="shared" ref="AT24" si="21">AJ24</f>
        <v>3</v>
      </c>
      <c r="AU24" s="83">
        <f>AO24</f>
        <v>123.30333333333334</v>
      </c>
      <c r="AV24" s="83">
        <f t="shared" ref="AV24" si="22">AR24+AT24</f>
        <v>3</v>
      </c>
      <c r="AW24" s="83">
        <f>ROUND(((AR24*AS24)+(AT24*AU24))/(AR24+AT24),5)</f>
        <v>123.30333</v>
      </c>
      <c r="AX24" s="85"/>
      <c r="AY24" s="85"/>
      <c r="AZ24" s="86" t="s">
        <v>38</v>
      </c>
      <c r="BA24" s="92" t="s">
        <v>291</v>
      </c>
      <c r="BB24" s="92"/>
      <c r="BC24" s="85"/>
      <c r="BD24" s="85"/>
      <c r="BE24" s="85"/>
      <c r="BF24" s="83"/>
      <c r="BG24" s="83"/>
      <c r="BH24" s="83"/>
      <c r="BI24" s="83" t="s">
        <v>31</v>
      </c>
      <c r="BJ24" t="s">
        <v>485</v>
      </c>
      <c r="BK24" t="s">
        <v>486</v>
      </c>
      <c r="BL24" s="83">
        <f t="shared" ref="BL24" si="23">ROUND((((AT24*AW24)+(BK24*BJ24))/(AT24+BK24)),5)</f>
        <v>100.89858</v>
      </c>
      <c r="BM24" s="87">
        <f t="shared" ref="BM24" si="24">BK24+AT24</f>
        <v>8730</v>
      </c>
      <c r="BN24" s="88">
        <v>123562</v>
      </c>
      <c r="BO24" s="87"/>
    </row>
    <row r="25" spans="1:67">
      <c r="A25" s="66"/>
      <c r="B25" s="70"/>
      <c r="C25" s="70"/>
      <c r="D25" s="29" t="s">
        <v>87</v>
      </c>
      <c r="E25" s="29"/>
      <c r="F25" s="29"/>
      <c r="G25" s="30"/>
      <c r="H25" s="71">
        <f>SUM(H23:H24)</f>
        <v>891.25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52.68</v>
      </c>
      <c r="S25" s="77">
        <f>SUM(S23:S24)</f>
        <v>838.57</v>
      </c>
      <c r="T25" s="71"/>
      <c r="U25" s="71"/>
      <c r="V25" s="78">
        <f t="shared" ref="V25:AB25" si="25">SUM(V23:V24)</f>
        <v>75.47</v>
      </c>
      <c r="W25" s="78">
        <f t="shared" si="25"/>
        <v>75.47</v>
      </c>
      <c r="X25" s="78">
        <f t="shared" si="25"/>
        <v>0</v>
      </c>
      <c r="Y25" s="71">
        <f t="shared" si="25"/>
        <v>150.94</v>
      </c>
      <c r="Z25" s="80">
        <f t="shared" si="25"/>
        <v>989.51</v>
      </c>
      <c r="AA25" s="81">
        <f t="shared" si="25"/>
        <v>320</v>
      </c>
      <c r="AB25" s="81">
        <f t="shared" si="25"/>
        <v>0</v>
      </c>
      <c r="AC25" s="80"/>
      <c r="AD25" s="81">
        <f>SUM(AD23:AD24)</f>
        <v>0</v>
      </c>
      <c r="AE25" s="81">
        <f>SUM(AE23:AE24)</f>
        <v>0</v>
      </c>
      <c r="AF25" s="81">
        <f>SUM(AF23:AF24)</f>
        <v>838.57</v>
      </c>
      <c r="AG25" s="81">
        <f>SUM(AG23:AG24)</f>
        <v>0</v>
      </c>
      <c r="AH25" s="81">
        <f>SUM(AH23:AH24)</f>
        <v>0</v>
      </c>
      <c r="AI25" s="80"/>
      <c r="AJ25" s="80"/>
      <c r="AK25" s="80"/>
      <c r="AL25" s="80"/>
      <c r="AM25" s="80"/>
      <c r="AN25" s="80"/>
      <c r="AO25" s="80"/>
      <c r="AP25" s="66"/>
    </row>
    <row r="26" spans="1:67">
      <c r="A26" s="66"/>
      <c r="B26" s="70"/>
      <c r="C26" s="70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</row>
  </sheetData>
  <mergeCells count="3">
    <mergeCell ref="A1:Z1"/>
    <mergeCell ref="B19:G19"/>
    <mergeCell ref="A21:B2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BR25"/>
  <sheetViews>
    <sheetView topLeftCell="I7" workbookViewId="0">
      <selection activeCell="AB23" sqref="AB23"/>
    </sheetView>
  </sheetViews>
  <sheetFormatPr defaultColWidth="9" defaultRowHeight="15"/>
  <cols>
    <col min="2" max="2" width="26.85546875" customWidth="1"/>
    <col min="3" max="3" width="19.28515625" customWidth="1"/>
    <col min="4" max="4" width="72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7" max="67" width="18.85546875" customWidth="1"/>
    <col min="68" max="68" width="34.42578125" customWidth="1"/>
  </cols>
  <sheetData>
    <row r="1" spans="1:45" ht="18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18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5</v>
      </c>
      <c r="D21" s="21" t="s">
        <v>487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90" t="s">
        <v>220</v>
      </c>
      <c r="BQ22" s="91" t="s">
        <v>108</v>
      </c>
    </row>
    <row r="23" spans="1:70">
      <c r="A23" s="68">
        <v>1</v>
      </c>
      <c r="B23" s="68" t="s">
        <v>483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28.12</v>
      </c>
      <c r="AB23" s="69">
        <f>V23+W23+X23+Y23+AA23</f>
        <v>28.12</v>
      </c>
      <c r="AC23" s="69">
        <f t="shared" ref="AC23" si="1">S23+AB23</f>
        <v>496.78000000000003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2">S23*$M$21</f>
        <v>468.66</v>
      </c>
      <c r="AJ23" s="69">
        <f t="shared" ref="AJ23" si="3">IF($C$21=3,0,AG23+AH23)</f>
        <v>0</v>
      </c>
      <c r="AK23" s="69">
        <f t="shared" ref="AK23" si="4">IF($C$21=3,AE23+AG23+AH23,0)</f>
        <v>0</v>
      </c>
      <c r="AL23" s="69">
        <v>1</v>
      </c>
      <c r="AM23" s="69">
        <f t="shared" ref="AM23" si="5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239</v>
      </c>
      <c r="AV23" t="s">
        <v>224</v>
      </c>
      <c r="AW23" s="83">
        <f>AM23</f>
        <v>2</v>
      </c>
      <c r="AX23" s="83">
        <f>AR23</f>
        <v>234.33</v>
      </c>
      <c r="AY23" s="83">
        <f>AU23+AW23</f>
        <v>2</v>
      </c>
      <c r="AZ23" s="83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481</v>
      </c>
      <c r="BN23" t="s">
        <v>482</v>
      </c>
      <c r="BO23" s="83">
        <f>ROUND((((AW23*AZ23)+(BN23*BM23))/(AW23+BN23)),5)</f>
        <v>168.49708000000001</v>
      </c>
      <c r="BP23" s="87">
        <f>BN23+AW23</f>
        <v>2340.6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6">SUM(V23:V23)</f>
        <v>0</v>
      </c>
      <c r="W24" s="78">
        <f t="shared" si="6"/>
        <v>0</v>
      </c>
      <c r="X24" s="78">
        <f t="shared" si="6"/>
        <v>0</v>
      </c>
      <c r="Y24" s="78"/>
      <c r="Z24" s="78"/>
      <c r="AA24" s="78"/>
      <c r="AB24" s="71">
        <f t="shared" si="6"/>
        <v>28.12</v>
      </c>
      <c r="AC24" s="80">
        <f t="shared" si="6"/>
        <v>496.78000000000003</v>
      </c>
      <c r="AD24" s="81">
        <f t="shared" si="6"/>
        <v>120</v>
      </c>
      <c r="AE24" s="81">
        <f t="shared" si="6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J21" sqref="J21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IF($C$21=1,ROUND(((S23*U23)/2),2),0)</f>
        <v>42.18</v>
      </c>
      <c r="W23" s="69">
        <f>IF($C$21=1,ROUND(((S23*U23)/2),2),0)</f>
        <v>42.18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84.36</v>
      </c>
      <c r="AC23" s="69">
        <f>S23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468.66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234.33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234.33</v>
      </c>
      <c r="AS23" s="83" t="s">
        <v>222</v>
      </c>
      <c r="AT23" s="83" t="s">
        <v>58</v>
      </c>
      <c r="AU23" t="s">
        <v>223</v>
      </c>
      <c r="AV23" t="s">
        <v>489</v>
      </c>
      <c r="AW23" s="83">
        <f>AM23</f>
        <v>2</v>
      </c>
      <c r="AX23" s="83">
        <f>AR23</f>
        <v>234.33</v>
      </c>
      <c r="AY23" s="83">
        <f>AU23+AW23</f>
        <v>4</v>
      </c>
      <c r="AZ23" s="83">
        <f>ROUND(((AU23*AV23)+(AW23*AX23))/(AU23+AW23),5)</f>
        <v>238.31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3100.4197100000001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42.18</v>
      </c>
      <c r="W24" s="78">
        <f t="shared" si="5"/>
        <v>42.18</v>
      </c>
      <c r="X24" s="78">
        <f t="shared" si="5"/>
        <v>0</v>
      </c>
      <c r="Y24" s="78"/>
      <c r="Z24" s="78"/>
      <c r="AA24" s="78"/>
      <c r="AB24" s="71">
        <f t="shared" si="5"/>
        <v>84.36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468.66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BR25"/>
  <sheetViews>
    <sheetView workbookViewId="0">
      <selection sqref="A1:XFD1048576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7" max="27" width="9.42578125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50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>
        <v>1</v>
      </c>
      <c r="W21" s="67" t="s">
        <v>211</v>
      </c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2.21</v>
      </c>
      <c r="J23" s="69">
        <v>1.79</v>
      </c>
      <c r="K23" s="69">
        <v>2.5</v>
      </c>
      <c r="L23" s="69">
        <f>H23</f>
        <v>500.5</v>
      </c>
      <c r="M23" s="69">
        <f>ROUND(L23*I23%,2)</f>
        <v>11.06</v>
      </c>
      <c r="N23" s="69">
        <f>H23-M23</f>
        <v>489.44</v>
      </c>
      <c r="O23" s="69">
        <f>ROUND(N23*J23%,2)</f>
        <v>8.76</v>
      </c>
      <c r="P23" s="69">
        <f>ROUND(N23-O23,2)</f>
        <v>480.68</v>
      </c>
      <c r="Q23" s="69">
        <f>ROUND(P23*K23%,2)</f>
        <v>12.02</v>
      </c>
      <c r="R23" s="69">
        <f>M23+O23+Q23</f>
        <v>31.84</v>
      </c>
      <c r="S23" s="69">
        <f>(H23-R23)</f>
        <v>468.66</v>
      </c>
      <c r="T23" s="69" t="s">
        <v>146</v>
      </c>
      <c r="U23" s="6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0</v>
      </c>
      <c r="Y23" s="69">
        <f>IF($C$21=4,ROUND(((S23*U23)/2),2),0)</f>
        <v>0</v>
      </c>
      <c r="Z23" s="79">
        <v>0.06</v>
      </c>
      <c r="AA23" s="69">
        <f>IF($C21=3,0,S23*Z23)</f>
        <v>0</v>
      </c>
      <c r="AB23" s="69">
        <f>V23+W23+X23+Y23+AA23</f>
        <v>0</v>
      </c>
      <c r="AC23" s="69">
        <f>IF($V21=1,S23+AB23,S23)</f>
        <v>468.66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23433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11716.5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11716.5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11716.5</v>
      </c>
      <c r="AY23" s="83">
        <f>AU23+AW23</f>
        <v>4</v>
      </c>
      <c r="AZ23" s="83">
        <f>ROUND(((AU23*AV23)+(AW23*AX23))/(AU23+AW23),5)</f>
        <v>5975.415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225</v>
      </c>
      <c r="BN23" t="s">
        <v>226</v>
      </c>
      <c r="BO23" s="83">
        <f>ROUND((((AW23*AZ23)+(BN23*BM23))/(AW23+BN23)),5)</f>
        <v>4534.2855</v>
      </c>
      <c r="BP23" s="87">
        <f>BN23+AW23</f>
        <v>12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31.84</v>
      </c>
      <c r="S24" s="77">
        <f>SUM(S23:S23)</f>
        <v>468.66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0</v>
      </c>
      <c r="Y24" s="78"/>
      <c r="Z24" s="78"/>
      <c r="AA24" s="78"/>
      <c r="AB24" s="71">
        <f t="shared" si="5"/>
        <v>0</v>
      </c>
      <c r="AC24" s="80">
        <f t="shared" si="5"/>
        <v>468.66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23433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BR25"/>
  <sheetViews>
    <sheetView topLeftCell="O14" workbookViewId="0">
      <selection activeCell="AA23" sqref="AA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1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1</v>
      </c>
      <c r="J23" s="69">
        <v>2</v>
      </c>
      <c r="K23" s="69">
        <v>3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45.05</v>
      </c>
      <c r="W23" s="69">
        <f>IF($C$21=1,ROUND(((S23*U23)/2),2),0)</f>
        <v>45.05</v>
      </c>
      <c r="X23" s="69">
        <f>IF($C$21=2,ROUND(((S23*U23)),2),0)</f>
        <v>0</v>
      </c>
      <c r="Y23" s="69">
        <f>IF($C$21=4,ROUND(((S23*U23)/2),2),0)</f>
        <v>0</v>
      </c>
      <c r="Z23" s="79">
        <v>0.01</v>
      </c>
      <c r="AA23" s="89">
        <f>S23*Z23</f>
        <v>5.0049999999999999</v>
      </c>
      <c r="AB23" s="89">
        <f>V23+W23+X23+Y23+AA23</f>
        <v>95.10499999999999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491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249.255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492</v>
      </c>
      <c r="BN23" t="s">
        <v>319</v>
      </c>
      <c r="BO23" s="83">
        <f>ROUND((((AW23*AZ23)+(BN23*BM23))/(AW23+BN23)),5)</f>
        <v>2467.6014399999999</v>
      </c>
      <c r="BP23" s="87">
        <f>BN23+AW23</f>
        <v>18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45.05</v>
      </c>
      <c r="W24" s="78">
        <f t="shared" si="5"/>
        <v>45.05</v>
      </c>
      <c r="X24" s="78">
        <f t="shared" si="5"/>
        <v>0</v>
      </c>
      <c r="Y24" s="78"/>
      <c r="Z24" s="78"/>
      <c r="AA24" s="78"/>
      <c r="AB24" s="71">
        <f t="shared" si="5"/>
        <v>95.10499999999999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BR25"/>
  <sheetViews>
    <sheetView topLeftCell="E17" workbookViewId="0">
      <selection activeCell="H23" sqref="H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12" max="12" width="13.85546875" customWidth="1"/>
    <col min="14" max="14" width="13.5703125" customWidth="1"/>
    <col min="15" max="15" width="15.28515625" customWidth="1"/>
    <col min="16" max="16" width="13.7109375" customWidth="1"/>
    <col min="18" max="18" width="10.85546875" customWidth="1"/>
    <col min="19" max="19" width="9.42578125" customWidth="1"/>
    <col min="29" max="29" width="10.28515625" customWidth="1"/>
    <col min="30" max="30" width="12.85546875" customWidth="1"/>
    <col min="31" max="31" width="8.710937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27.75" customHeight="1">
      <c r="A1" s="274" t="s">
        <v>46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66"/>
      <c r="AS1" s="66"/>
    </row>
    <row r="2" spans="1:45" ht="27.75" customHeight="1">
      <c r="A2" s="55" t="s">
        <v>47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  <c r="AE2" s="55"/>
      <c r="AF2" s="55"/>
      <c r="AG2" s="55"/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66"/>
      <c r="AS2" s="66"/>
    </row>
    <row r="3" spans="1:45" ht="27.75" customHeight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66"/>
    </row>
    <row r="4" spans="1:45" ht="27.75" customHeight="1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>F4*G4</f>
        <v>6440.75</v>
      </c>
      <c r="I4" s="72"/>
      <c r="J4" s="72"/>
      <c r="K4" s="72"/>
      <c r="L4" s="73"/>
      <c r="M4" s="73"/>
      <c r="N4" s="73"/>
      <c r="O4" s="73"/>
      <c r="P4" s="73"/>
      <c r="Q4" s="73"/>
      <c r="R4" s="73"/>
      <c r="S4" s="73"/>
      <c r="T4" s="73"/>
      <c r="U4" s="72"/>
      <c r="V4" s="72"/>
      <c r="W4" s="72"/>
      <c r="X4" s="72"/>
      <c r="Y4" s="72"/>
      <c r="Z4" s="72"/>
      <c r="AA4" s="72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66"/>
    </row>
    <row r="5" spans="1:45" ht="27.75" customHeight="1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>F5*G5</f>
        <v>4390.75</v>
      </c>
      <c r="I5" s="72"/>
      <c r="J5" s="72"/>
      <c r="K5" s="72"/>
      <c r="L5" s="73"/>
      <c r="M5" s="73"/>
      <c r="N5" s="73"/>
      <c r="O5" s="73"/>
      <c r="P5" s="73"/>
      <c r="Q5" s="73"/>
      <c r="R5" s="73"/>
      <c r="S5" s="73"/>
      <c r="T5" s="73"/>
      <c r="U5" s="72"/>
      <c r="V5" s="72"/>
      <c r="W5" s="72"/>
      <c r="X5" s="72"/>
      <c r="Y5" s="72"/>
      <c r="Z5" s="72"/>
      <c r="AA5" s="72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66"/>
    </row>
    <row r="6" spans="1:45" ht="27.75" customHeight="1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>F6*G6</f>
        <v>5641.2</v>
      </c>
      <c r="I6" s="72"/>
      <c r="J6" s="72"/>
      <c r="K6" s="72"/>
      <c r="L6" s="73"/>
      <c r="M6" s="73"/>
      <c r="N6" s="73"/>
      <c r="O6" s="73"/>
      <c r="P6" s="73"/>
      <c r="Q6" s="73"/>
      <c r="R6" s="73"/>
      <c r="S6" s="73"/>
      <c r="T6" s="73"/>
      <c r="U6" s="72"/>
      <c r="V6" s="72"/>
      <c r="W6" s="72"/>
      <c r="X6" s="72"/>
      <c r="Y6" s="72"/>
      <c r="Z6" s="72"/>
      <c r="AA6" s="72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66"/>
    </row>
    <row r="7" spans="1:45" ht="27.75" customHeight="1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ref="H7:H18" si="0">F7*G7</f>
        <v>2488.75</v>
      </c>
      <c r="I7" s="72"/>
      <c r="J7" s="72"/>
      <c r="K7" s="72"/>
      <c r="L7" s="73"/>
      <c r="M7" s="73"/>
      <c r="N7" s="73"/>
      <c r="O7" s="73"/>
      <c r="P7" s="73"/>
      <c r="Q7" s="73"/>
      <c r="R7" s="73"/>
      <c r="S7" s="73"/>
      <c r="T7" s="73"/>
      <c r="U7" s="72"/>
      <c r="V7" s="72"/>
      <c r="W7" s="72"/>
      <c r="X7" s="72"/>
      <c r="Y7" s="72"/>
      <c r="Z7" s="72"/>
      <c r="AA7" s="72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66"/>
    </row>
    <row r="8" spans="1:45" ht="27.75" customHeight="1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72"/>
      <c r="J8" s="72"/>
      <c r="K8" s="72"/>
      <c r="L8" s="73"/>
      <c r="M8" s="73"/>
      <c r="N8" s="73"/>
      <c r="O8" s="73"/>
      <c r="P8" s="73"/>
      <c r="Q8" s="73"/>
      <c r="R8" s="73"/>
      <c r="S8" s="73"/>
      <c r="T8" s="73"/>
      <c r="U8" s="72"/>
      <c r="V8" s="72"/>
      <c r="W8" s="72"/>
      <c r="X8" s="72"/>
      <c r="Y8" s="72"/>
      <c r="Z8" s="72"/>
      <c r="AA8" s="72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66"/>
    </row>
    <row r="9" spans="1:45" ht="27.75" customHeight="1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72"/>
      <c r="J9" s="72"/>
      <c r="K9" s="72"/>
      <c r="L9" s="73"/>
      <c r="M9" s="73"/>
      <c r="N9" s="73"/>
      <c r="O9" s="73"/>
      <c r="P9" s="73"/>
      <c r="Q9" s="73"/>
      <c r="R9" s="73"/>
      <c r="S9" s="73"/>
      <c r="T9" s="73"/>
      <c r="U9" s="72"/>
      <c r="V9" s="72"/>
      <c r="W9" s="72"/>
      <c r="X9" s="72"/>
      <c r="Y9" s="72"/>
      <c r="Z9" s="72"/>
      <c r="AA9" s="72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66"/>
    </row>
    <row r="10" spans="1:45" ht="27.75" customHeight="1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72"/>
      <c r="J10" s="72"/>
      <c r="K10" s="72"/>
      <c r="L10" s="73"/>
      <c r="M10" s="73"/>
      <c r="N10" s="73"/>
      <c r="O10" s="73"/>
      <c r="P10" s="73"/>
      <c r="Q10" s="73"/>
      <c r="R10" s="73"/>
      <c r="S10" s="73"/>
      <c r="T10" s="73"/>
      <c r="U10" s="72"/>
      <c r="V10" s="72"/>
      <c r="W10" s="72"/>
      <c r="X10" s="72"/>
      <c r="Y10" s="72"/>
      <c r="Z10" s="72"/>
      <c r="AA10" s="72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66"/>
    </row>
    <row r="11" spans="1:45" ht="27.75" customHeight="1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72"/>
      <c r="J11" s="72"/>
      <c r="K11" s="72"/>
      <c r="L11" s="73"/>
      <c r="M11" s="73"/>
      <c r="N11" s="73"/>
      <c r="O11" s="73"/>
      <c r="P11" s="73"/>
      <c r="Q11" s="73"/>
      <c r="R11" s="73"/>
      <c r="S11" s="73"/>
      <c r="T11" s="73"/>
      <c r="U11" s="72"/>
      <c r="V11" s="72"/>
      <c r="W11" s="72"/>
      <c r="X11" s="72"/>
      <c r="Y11" s="72"/>
      <c r="Z11" s="72"/>
      <c r="AA11" s="72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66"/>
    </row>
    <row r="12" spans="1:45" ht="27.75" customHeight="1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72"/>
      <c r="J12" s="72"/>
      <c r="K12" s="72"/>
      <c r="L12" s="73"/>
      <c r="M12" s="73"/>
      <c r="N12" s="73"/>
      <c r="O12" s="73"/>
      <c r="P12" s="73"/>
      <c r="Q12" s="73"/>
      <c r="R12" s="73"/>
      <c r="S12" s="73"/>
      <c r="T12" s="73"/>
      <c r="U12" s="72"/>
      <c r="V12" s="72"/>
      <c r="W12" s="72"/>
      <c r="X12" s="72"/>
      <c r="Y12" s="72"/>
      <c r="Z12" s="72"/>
      <c r="AA12" s="72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66"/>
    </row>
    <row r="13" spans="1:45" ht="27.75" customHeight="1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72"/>
      <c r="J13" s="72"/>
      <c r="K13" s="72"/>
      <c r="L13" s="73"/>
      <c r="M13" s="73"/>
      <c r="N13" s="73"/>
      <c r="O13" s="73"/>
      <c r="P13" s="73"/>
      <c r="Q13" s="73"/>
      <c r="R13" s="73"/>
      <c r="S13" s="73"/>
      <c r="T13" s="73"/>
      <c r="U13" s="72"/>
      <c r="V13" s="72"/>
      <c r="W13" s="72"/>
      <c r="X13" s="72"/>
      <c r="Y13" s="72"/>
      <c r="Z13" s="72"/>
      <c r="AA13" s="72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73"/>
      <c r="AS13" s="66"/>
    </row>
    <row r="14" spans="1:45" ht="27.75" customHeight="1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72"/>
      <c r="J14" s="72"/>
      <c r="K14" s="72"/>
      <c r="L14" s="73"/>
      <c r="M14" s="73"/>
      <c r="N14" s="73"/>
      <c r="O14" s="73"/>
      <c r="P14" s="73"/>
      <c r="Q14" s="73"/>
      <c r="R14" s="73"/>
      <c r="S14" s="73"/>
      <c r="T14" s="73"/>
      <c r="U14" s="72"/>
      <c r="V14" s="72"/>
      <c r="W14" s="72"/>
      <c r="X14" s="72"/>
      <c r="Y14" s="72"/>
      <c r="Z14" s="72"/>
      <c r="AA14" s="72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73"/>
      <c r="AS14" s="66"/>
    </row>
    <row r="15" spans="1:45" ht="27.75" customHeight="1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72"/>
      <c r="J15" s="72"/>
      <c r="K15" s="72"/>
      <c r="L15" s="73"/>
      <c r="M15" s="73"/>
      <c r="N15" s="73"/>
      <c r="O15" s="73"/>
      <c r="P15" s="73"/>
      <c r="Q15" s="73"/>
      <c r="R15" s="73"/>
      <c r="S15" s="73"/>
      <c r="T15" s="73"/>
      <c r="U15" s="72"/>
      <c r="V15" s="72"/>
      <c r="W15" s="72"/>
      <c r="X15" s="72"/>
      <c r="Y15" s="72"/>
      <c r="Z15" s="72"/>
      <c r="AA15" s="72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73"/>
      <c r="AS15" s="66"/>
    </row>
    <row r="16" spans="1:45" ht="27.75" customHeight="1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72"/>
      <c r="J16" s="72"/>
      <c r="K16" s="72"/>
      <c r="L16" s="73"/>
      <c r="M16" s="73"/>
      <c r="N16" s="73"/>
      <c r="O16" s="73"/>
      <c r="P16" s="73"/>
      <c r="Q16" s="73"/>
      <c r="R16" s="73"/>
      <c r="S16" s="73"/>
      <c r="T16" s="73"/>
      <c r="U16" s="72"/>
      <c r="V16" s="72"/>
      <c r="W16" s="72"/>
      <c r="X16" s="72"/>
      <c r="Y16" s="72"/>
      <c r="Z16" s="72"/>
      <c r="AA16" s="72"/>
      <c r="AB16" s="73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73"/>
      <c r="AS16" s="66"/>
    </row>
    <row r="17" spans="1:70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72"/>
      <c r="J17" s="72"/>
      <c r="K17" s="72"/>
      <c r="L17" s="73"/>
      <c r="M17" s="73"/>
      <c r="N17" s="73"/>
      <c r="O17" s="73"/>
      <c r="P17" s="73"/>
      <c r="Q17" s="73"/>
      <c r="R17" s="73"/>
      <c r="S17" s="76">
        <v>5858.27</v>
      </c>
      <c r="T17" s="73"/>
      <c r="U17" s="72"/>
      <c r="V17" s="72"/>
      <c r="W17" s="72"/>
      <c r="X17" s="72"/>
      <c r="Y17" s="72"/>
      <c r="Z17" s="72"/>
      <c r="AA17" s="72"/>
      <c r="AB17" s="73"/>
      <c r="AC17" s="73"/>
      <c r="AD17" s="73"/>
      <c r="AE17" s="73"/>
      <c r="AF17" s="73"/>
      <c r="AG17" s="73"/>
      <c r="AH17" s="73"/>
      <c r="AI17" s="73"/>
      <c r="AJ17" s="73"/>
      <c r="AK17" s="73"/>
      <c r="AL17" s="73"/>
      <c r="AM17" s="73"/>
      <c r="AN17" s="73"/>
      <c r="AO17" s="73"/>
      <c r="AP17" s="73"/>
      <c r="AQ17" s="73"/>
      <c r="AR17" s="73"/>
      <c r="AS17" s="66"/>
    </row>
    <row r="18" spans="1:70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72"/>
      <c r="J18" s="72"/>
      <c r="K18" s="72"/>
      <c r="L18" s="73"/>
      <c r="M18" s="73"/>
      <c r="N18" s="73"/>
      <c r="O18" s="73"/>
      <c r="P18" s="73"/>
      <c r="Q18" s="73"/>
      <c r="R18" s="73"/>
      <c r="S18" s="73"/>
      <c r="T18" s="73"/>
      <c r="U18" s="72"/>
      <c r="V18" s="72"/>
      <c r="W18" s="72"/>
      <c r="X18" s="72"/>
      <c r="Y18" s="72"/>
      <c r="Z18" s="72"/>
      <c r="AA18" s="72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66"/>
    </row>
    <row r="19" spans="1:70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74"/>
      <c r="J19" s="74"/>
      <c r="K19" s="74"/>
      <c r="L19" s="74"/>
      <c r="M19" s="74"/>
      <c r="N19" s="74"/>
      <c r="O19" s="74"/>
      <c r="P19" s="74"/>
      <c r="Q19" s="74"/>
      <c r="R19" s="67"/>
      <c r="S19" s="67"/>
      <c r="T19" s="67"/>
      <c r="U19" s="67"/>
      <c r="V19" s="67"/>
      <c r="W19" s="67"/>
      <c r="X19" s="67"/>
      <c r="Y19" s="67"/>
      <c r="Z19" s="67"/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  <c r="AL19" s="67"/>
      <c r="AM19" s="67"/>
      <c r="AN19" s="67"/>
      <c r="AO19" s="67"/>
      <c r="AP19" s="67"/>
      <c r="AQ19" s="67"/>
      <c r="AR19" s="67"/>
      <c r="AS19" s="66"/>
    </row>
    <row r="20" spans="1:70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7"/>
      <c r="W20" s="67"/>
      <c r="X20" s="67"/>
      <c r="Y20" s="67"/>
      <c r="Z20" s="67"/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  <c r="AL20" s="67"/>
      <c r="AM20" s="67"/>
      <c r="AN20" s="67"/>
      <c r="AO20" s="67"/>
      <c r="AP20" s="67"/>
      <c r="AQ20" s="67"/>
      <c r="AR20" s="67"/>
      <c r="AS20" s="66"/>
    </row>
    <row r="21" spans="1:70">
      <c r="A21" s="276" t="s">
        <v>89</v>
      </c>
      <c r="B21" s="276"/>
      <c r="C21" s="20">
        <v>2</v>
      </c>
      <c r="D21" s="21" t="s">
        <v>488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1</v>
      </c>
      <c r="Q21" s="75" t="s">
        <v>95</v>
      </c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67"/>
      <c r="AR21" s="67"/>
      <c r="AS21" s="66"/>
    </row>
    <row r="22" spans="1:70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</row>
    <row r="23" spans="1:70">
      <c r="A23" s="68">
        <v>1</v>
      </c>
      <c r="B23" s="68" t="s">
        <v>304</v>
      </c>
      <c r="C23" s="68" t="s">
        <v>57</v>
      </c>
      <c r="D23" s="68" t="s">
        <v>58</v>
      </c>
      <c r="E23" s="68" t="s">
        <v>58</v>
      </c>
      <c r="F23" s="69">
        <v>2</v>
      </c>
      <c r="G23" s="69">
        <v>250.25</v>
      </c>
      <c r="H23" s="69">
        <f>F23*G23</f>
        <v>500.5</v>
      </c>
      <c r="I23" s="69">
        <v>0</v>
      </c>
      <c r="J23" s="69">
        <v>0</v>
      </c>
      <c r="K23" s="69">
        <v>0</v>
      </c>
      <c r="L23" s="69">
        <v>0</v>
      </c>
      <c r="M23" s="69">
        <f>ROUND(L23*I23%,2)</f>
        <v>0</v>
      </c>
      <c r="N23" s="69">
        <v>0</v>
      </c>
      <c r="O23" s="69">
        <f>ROUND(N23*J23%,2)</f>
        <v>0</v>
      </c>
      <c r="P23" s="69">
        <f>ROUND(N23-O23,2)</f>
        <v>0</v>
      </c>
      <c r="Q23" s="69">
        <f>ROUND(P23*K23%,2)</f>
        <v>0</v>
      </c>
      <c r="R23" s="69">
        <f>M23+O23+Q23</f>
        <v>0</v>
      </c>
      <c r="S23" s="69">
        <f>(H23-R23)</f>
        <v>500.5</v>
      </c>
      <c r="T23" s="69" t="s">
        <v>146</v>
      </c>
      <c r="U23" s="69">
        <v>0.18</v>
      </c>
      <c r="V23" s="69">
        <f>IF($C$21=1,ROUND(((S23*U23)/2),2),0)</f>
        <v>0</v>
      </c>
      <c r="W23" s="69">
        <f>IF($C$21=1,ROUND(((S23*U23)/2),2),0)</f>
        <v>0</v>
      </c>
      <c r="X23" s="69">
        <f>IF($C$21=2,ROUND(((S23*U23)),2),0)</f>
        <v>90.09</v>
      </c>
      <c r="Y23" s="69">
        <f>IF($C$21=4,ROUND(((S23*U23)/2),2),0)</f>
        <v>0</v>
      </c>
      <c r="Z23" s="79">
        <v>0.06</v>
      </c>
      <c r="AA23" s="69">
        <f>IF($C$21=5,ROUND(((S23*Z23)),2),0)</f>
        <v>0</v>
      </c>
      <c r="AB23" s="69">
        <f>V23+W23+X23+Y23+AA23</f>
        <v>90.09</v>
      </c>
      <c r="AC23" s="69">
        <f>S23</f>
        <v>500.5</v>
      </c>
      <c r="AD23" s="69">
        <v>120</v>
      </c>
      <c r="AE23" s="69">
        <f>IF($P$21=1,(S23/$S$24)*$E$35,AD23/$AD$24*$E$35)</f>
        <v>0</v>
      </c>
      <c r="AF23" s="69"/>
      <c r="AG23" s="69">
        <f>IF($P$21=1,(S23/$S$24)*$E$37,AD23/$AD$24*$E$37)</f>
        <v>0</v>
      </c>
      <c r="AH23" s="69">
        <f>IF($P$21=1,(S23/$S$24)*$E$37,AD23/$AD$24*$E$37)</f>
        <v>0</v>
      </c>
      <c r="AI23" s="69">
        <f t="shared" ref="AI23" si="1">S23*$M$21</f>
        <v>500.5</v>
      </c>
      <c r="AJ23" s="69">
        <f t="shared" ref="AJ23" si="2">IF($C$21=3,0,AG23+AH23)</f>
        <v>0</v>
      </c>
      <c r="AK23" s="69">
        <f t="shared" ref="AK23" si="3">IF($C$21=3,AE23+AG23+AH23,0)</f>
        <v>0</v>
      </c>
      <c r="AL23" s="69">
        <v>1</v>
      </c>
      <c r="AM23" s="69">
        <f t="shared" ref="AM23" si="4">F23/AL23</f>
        <v>2</v>
      </c>
      <c r="AN23" s="69">
        <f>AI23/AM23</f>
        <v>250.25</v>
      </c>
      <c r="AO23" s="69">
        <f>AJ23/AM23</f>
        <v>0</v>
      </c>
      <c r="AP23" s="69">
        <f>AK23/AM23</f>
        <v>0</v>
      </c>
      <c r="AQ23" s="69" t="s">
        <v>58</v>
      </c>
      <c r="AR23" s="69">
        <f>AN23+AO23+AP23</f>
        <v>250.25</v>
      </c>
      <c r="AS23" s="83" t="s">
        <v>222</v>
      </c>
      <c r="AT23" s="83" t="s">
        <v>58</v>
      </c>
      <c r="AU23" t="s">
        <v>223</v>
      </c>
      <c r="AV23" t="s">
        <v>224</v>
      </c>
      <c r="AW23" s="83">
        <f>AM23</f>
        <v>2</v>
      </c>
      <c r="AX23" s="83">
        <f>AR23</f>
        <v>250.25</v>
      </c>
      <c r="AY23" s="83">
        <f>AU23+AW23</f>
        <v>4</v>
      </c>
      <c r="AZ23" s="83">
        <f>ROUND(((AU23*AV23)+(AW23*AX23))/(AU23+AW23),5)</f>
        <v>242.29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83" t="s">
        <v>31</v>
      </c>
      <c r="BM23" t="s">
        <v>490</v>
      </c>
      <c r="BN23" t="s">
        <v>266</v>
      </c>
      <c r="BO23" s="83">
        <f>ROUND((((AW23*AZ23)+(BN23*BM23))/(AW23+BN23)),5)</f>
        <v>3100.9882899999998</v>
      </c>
      <c r="BP23" s="87">
        <f>BN23+AW23</f>
        <v>14</v>
      </c>
      <c r="BQ23" s="88">
        <v>123562</v>
      </c>
      <c r="BR23" s="87"/>
    </row>
    <row r="24" spans="1:70">
      <c r="A24" s="66"/>
      <c r="B24" s="70"/>
      <c r="C24" s="70"/>
      <c r="D24" s="29" t="s">
        <v>87</v>
      </c>
      <c r="E24" s="29"/>
      <c r="F24" s="29"/>
      <c r="G24" s="30"/>
      <c r="H24" s="71">
        <f>SUM(H23:H23)</f>
        <v>500.5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7">
        <f>SUM(S23:S23)</f>
        <v>500.5</v>
      </c>
      <c r="T24" s="71"/>
      <c r="U24" s="71"/>
      <c r="V24" s="78">
        <f t="shared" ref="V24:AE24" si="5">SUM(V23:V23)</f>
        <v>0</v>
      </c>
      <c r="W24" s="78">
        <f t="shared" si="5"/>
        <v>0</v>
      </c>
      <c r="X24" s="78">
        <f t="shared" si="5"/>
        <v>90.09</v>
      </c>
      <c r="Y24" s="78"/>
      <c r="Z24" s="78"/>
      <c r="AA24" s="78"/>
      <c r="AB24" s="71">
        <f t="shared" si="5"/>
        <v>90.09</v>
      </c>
      <c r="AC24" s="80">
        <f t="shared" si="5"/>
        <v>500.5</v>
      </c>
      <c r="AD24" s="81">
        <f t="shared" si="5"/>
        <v>120</v>
      </c>
      <c r="AE24" s="81">
        <f t="shared" si="5"/>
        <v>0</v>
      </c>
      <c r="AF24" s="80"/>
      <c r="AG24" s="81">
        <f>SUM(AG23:AG23)</f>
        <v>0</v>
      </c>
      <c r="AH24" s="81">
        <f>SUM(AH23:AH23)</f>
        <v>0</v>
      </c>
      <c r="AI24" s="81">
        <f>SUM(AI23:AI23)</f>
        <v>500.5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</row>
    <row r="25" spans="1:70">
      <c r="A25" s="66"/>
      <c r="B25" s="70"/>
      <c r="C25" s="70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BQ24"/>
  <sheetViews>
    <sheetView topLeftCell="A18" workbookViewId="0">
      <selection activeCell="J18" sqref="J18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493</v>
      </c>
      <c r="C23" s="25" t="s">
        <v>493</v>
      </c>
      <c r="D23" s="25" t="s">
        <v>58</v>
      </c>
      <c r="E23" s="25" t="s">
        <v>58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235.3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235.3</v>
      </c>
      <c r="AS23" s="48" t="s">
        <v>229</v>
      </c>
      <c r="AT23" s="48" t="s">
        <v>58</v>
      </c>
      <c r="AU23" s="27"/>
      <c r="AV23" s="27"/>
      <c r="AW23" s="48">
        <f>AM23</f>
        <v>2</v>
      </c>
      <c r="AX23" s="48">
        <f>AR23</f>
        <v>235.3</v>
      </c>
      <c r="AY23" s="48">
        <f>AU23+AW23</f>
        <v>2</v>
      </c>
      <c r="AZ23" s="48">
        <f>ROUND(((AU23*AV23)+(AW23*AX23))/(AU23+AW23),5)</f>
        <v>235.3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235.3</v>
      </c>
      <c r="BP23" s="53">
        <f>BN23+AW23</f>
        <v>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AK29" sqref="AK29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494</v>
      </c>
      <c r="C23" s="25" t="s">
        <v>494</v>
      </c>
      <c r="D23" s="25" t="s">
        <v>58</v>
      </c>
      <c r="E23" s="25" t="s">
        <v>163</v>
      </c>
      <c r="F23" s="26">
        <v>2</v>
      </c>
      <c r="G23" s="27" t="s">
        <v>232</v>
      </c>
      <c r="H23" s="26">
        <f>F23*G23</f>
        <v>500</v>
      </c>
      <c r="I23" s="27" t="s">
        <v>223</v>
      </c>
      <c r="J23" s="26">
        <v>2</v>
      </c>
      <c r="K23" s="26">
        <v>2</v>
      </c>
      <c r="L23" s="26">
        <f>H23</f>
        <v>500</v>
      </c>
      <c r="M23" s="26">
        <f>ROUND(L23*I23%,2)</f>
        <v>10</v>
      </c>
      <c r="N23" s="26">
        <f>H23-M23</f>
        <v>490</v>
      </c>
      <c r="O23" s="26">
        <f>ROUND(N23*J23%,2)</f>
        <v>9.8000000000000007</v>
      </c>
      <c r="P23" s="26">
        <f>ROUND(N23-O23,2)</f>
        <v>480.2</v>
      </c>
      <c r="Q23" s="26">
        <f>ROUND(P23*K23%,2)</f>
        <v>9.6</v>
      </c>
      <c r="R23" s="26">
        <f>M23+O23+Q23</f>
        <v>29.4</v>
      </c>
      <c r="S23" s="26">
        <f>(H23-R23)</f>
        <v>470.6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26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470.6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470.6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705.90000000000009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705.90000000000009</v>
      </c>
      <c r="AS23" s="48" t="s">
        <v>229</v>
      </c>
      <c r="AT23" s="48" t="s">
        <v>58</v>
      </c>
      <c r="AU23" s="27"/>
      <c r="AV23" s="27"/>
      <c r="AW23" s="48">
        <f>AM23</f>
        <v>0.66666666666666663</v>
      </c>
      <c r="AX23" s="48">
        <f>AR23</f>
        <v>705.90000000000009</v>
      </c>
      <c r="AY23" s="48">
        <f>AU23+AW23</f>
        <v>0.66666666666666663</v>
      </c>
      <c r="AZ23" s="48">
        <f>ROUND(((AU23*AV23)+(AW23*AX23))/(AU23+AW23),5)</f>
        <v>705.9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239</v>
      </c>
      <c r="BN23" s="27" t="s">
        <v>239</v>
      </c>
      <c r="BO23" s="48">
        <f>ROUND((((AW23*AZ23)+(BN23*BM23))/(AW23+BN23)),5)</f>
        <v>705.9</v>
      </c>
      <c r="BP23" s="53">
        <f>BN23+AW23</f>
        <v>0.66666666666666663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500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29.4</v>
      </c>
      <c r="S24" s="39">
        <f t="shared" si="1"/>
        <v>470.6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470.6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470.6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C21" sqref="C21"/>
    </sheetView>
  </sheetViews>
  <sheetFormatPr defaultColWidth="8.7109375" defaultRowHeight="15"/>
  <cols>
    <col min="2" max="2" width="16" customWidth="1"/>
  </cols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495</v>
      </c>
      <c r="C23" s="25" t="s">
        <v>495</v>
      </c>
      <c r="D23" s="25" t="s">
        <v>58</v>
      </c>
      <c r="E23" s="25" t="s">
        <v>58</v>
      </c>
      <c r="F23" s="26">
        <v>2</v>
      </c>
      <c r="G23" s="27" t="s">
        <v>251</v>
      </c>
      <c r="H23" s="26">
        <f>F23*G23</f>
        <v>910</v>
      </c>
      <c r="I23" s="27">
        <v>2</v>
      </c>
      <c r="J23" s="26">
        <v>2</v>
      </c>
      <c r="K23" s="26">
        <v>3</v>
      </c>
      <c r="L23" s="26">
        <f>H23</f>
        <v>910</v>
      </c>
      <c r="M23" s="26">
        <f>ROUND(L23*I23%,2)</f>
        <v>18.2</v>
      </c>
      <c r="N23" s="26">
        <f>H23-M23</f>
        <v>891.8</v>
      </c>
      <c r="O23" s="26">
        <f>ROUND(N23*J23%,2)</f>
        <v>17.84</v>
      </c>
      <c r="P23" s="26">
        <f>ROUND(N23-O23,2)</f>
        <v>873.96</v>
      </c>
      <c r="Q23" s="26">
        <f>ROUND(P23*K23%,2)</f>
        <v>26.22</v>
      </c>
      <c r="R23" s="26">
        <f>M23+O23+Q23</f>
        <v>62.26</v>
      </c>
      <c r="S23" s="26">
        <f>(H23-R23)</f>
        <v>847.74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847.74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847.74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423.87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423.87</v>
      </c>
      <c r="AS23" s="48" t="s">
        <v>222</v>
      </c>
      <c r="AT23" s="48" t="s">
        <v>58</v>
      </c>
      <c r="AU23" s="27" t="s">
        <v>223</v>
      </c>
      <c r="AV23" s="27" t="s">
        <v>314</v>
      </c>
      <c r="AW23" s="48">
        <f>AM23</f>
        <v>2</v>
      </c>
      <c r="AX23" s="48">
        <f>AR23</f>
        <v>423.87</v>
      </c>
      <c r="AY23" s="48">
        <f>AU23+AW23</f>
        <v>4</v>
      </c>
      <c r="AZ23" s="48">
        <f>ROUND(((AU23*AV23)+(AW23*AX23))/(AU23+AW23),5)</f>
        <v>377.42813000000001</v>
      </c>
      <c r="BA23" s="50"/>
      <c r="BB23" s="50" t="s">
        <v>149</v>
      </c>
      <c r="BC23" s="51" t="s">
        <v>29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31</v>
      </c>
      <c r="BM23" s="27" t="s">
        <v>315</v>
      </c>
      <c r="BN23" s="27" t="s">
        <v>242</v>
      </c>
      <c r="BO23" s="48">
        <f>ROUND((((AW23*AZ23)+(BN23*BM23))/(AW23+BN23)),5)</f>
        <v>277.52168</v>
      </c>
      <c r="BP23" s="53">
        <f>BN23+AW23</f>
        <v>26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910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62.26</v>
      </c>
      <c r="S24" s="39">
        <f t="shared" si="1"/>
        <v>847.74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847.74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847.74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6" sqref="J26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496</v>
      </c>
      <c r="C23" s="25" t="s">
        <v>496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187.68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187.68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2</v>
      </c>
      <c r="AX23" s="48">
        <f>AR23</f>
        <v>187.68</v>
      </c>
      <c r="AY23" s="48">
        <f>AU23+AW23</f>
        <v>2</v>
      </c>
      <c r="AZ23" s="48">
        <f>ROUND(((AU23*AV23)+(AW23*AX23))/(AU23+AW23),5)</f>
        <v>187.68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186.91705999999999</v>
      </c>
      <c r="BP23" s="53">
        <f>BN23+AW23</f>
        <v>82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>
  <dimension ref="A1:BQ24"/>
  <sheetViews>
    <sheetView topLeftCell="B9" workbookViewId="0">
      <selection activeCell="I10" sqref="I10"/>
    </sheetView>
  </sheetViews>
  <sheetFormatPr defaultColWidth="8.7109375" defaultRowHeight="15"/>
  <cols>
    <col min="2" max="2" width="26.5703125" customWidth="1"/>
  </cols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497</v>
      </c>
      <c r="C23" s="25" t="s">
        <v>497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1.79</v>
      </c>
      <c r="K23" s="26">
        <v>2.5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7.02</v>
      </c>
      <c r="P23" s="26">
        <f>ROUND(N23-O23,2)</f>
        <v>384.98</v>
      </c>
      <c r="Q23" s="26">
        <f>ROUND(P23*K23%,2)</f>
        <v>9.6199999999999992</v>
      </c>
      <c r="R23" s="26">
        <f>M23+O23+Q23</f>
        <v>24.64</v>
      </c>
      <c r="S23" s="26">
        <f>(H23-R23)</f>
        <v>375.36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375.36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375.36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563.04000000000008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563.04000000000008</v>
      </c>
      <c r="AS23" s="48" t="s">
        <v>229</v>
      </c>
      <c r="AT23" s="48" t="s">
        <v>58</v>
      </c>
      <c r="AU23" s="27" t="s">
        <v>239</v>
      </c>
      <c r="AV23" s="27" t="s">
        <v>312</v>
      </c>
      <c r="AW23" s="48">
        <f>AM23</f>
        <v>0.66666666666666663</v>
      </c>
      <c r="AX23" s="48">
        <f>AR23</f>
        <v>563.04000000000008</v>
      </c>
      <c r="AY23" s="48">
        <f>AU23+AW23</f>
        <v>0.66666666666666663</v>
      </c>
      <c r="AZ23" s="48">
        <f>ROUND(((AU23*AV23)+(AW23*AX23))/(AU23+AW23),5)</f>
        <v>563.04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316</v>
      </c>
      <c r="BN23" s="27" t="s">
        <v>317</v>
      </c>
      <c r="BO23" s="48">
        <f>ROUND((((AW23*AZ23)+(BN23*BM23))/(AW23+BN23)),5)</f>
        <v>190.00659999999999</v>
      </c>
      <c r="BP23" s="53">
        <f>BN23+AW23</f>
        <v>80.666666666666671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24.64</v>
      </c>
      <c r="S24" s="39">
        <f t="shared" si="1"/>
        <v>375.36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375.36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375.36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F11" sqref="F11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89" t="s">
        <v>87</v>
      </c>
      <c r="C19" s="290"/>
      <c r="D19" s="290"/>
      <c r="E19" s="290"/>
      <c r="F19" s="290"/>
      <c r="G19" s="291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498</v>
      </c>
      <c r="C23" s="25" t="s">
        <v>498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IF($C21=3,0,S23*Z23)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235</v>
      </c>
      <c r="AV23" s="27" t="s">
        <v>236</v>
      </c>
      <c r="AW23" s="48">
        <f>AM23</f>
        <v>2</v>
      </c>
      <c r="AX23" s="48">
        <f>AR23</f>
        <v>188.24</v>
      </c>
      <c r="AY23" s="48">
        <f>AU23+AW23</f>
        <v>14092</v>
      </c>
      <c r="AZ23" s="48">
        <f>ROUND(((AU23*AV23)+(AW23*AX23))/(AU23+AW23),5)</f>
        <v>121.1908</v>
      </c>
      <c r="BA23" s="50"/>
      <c r="BB23" s="50" t="s">
        <v>149</v>
      </c>
      <c r="BC23" s="52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237</v>
      </c>
      <c r="BN23" s="27" t="s">
        <v>238</v>
      </c>
      <c r="BO23" s="48">
        <f>ROUND((((AW23*AZ23)+(BN23*BM23))/(AW23+BN23)),5)</f>
        <v>146.93406999999999</v>
      </c>
      <c r="BP23" s="53">
        <f>BN23+AW23</f>
        <v>689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X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/>
      <c r="Z24" s="40"/>
      <c r="AA24" s="40"/>
      <c r="AB24" s="31">
        <f t="shared" ref="AB24:AE24" si="2">SUM(AB23:AB23)</f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>
  <dimension ref="A1:BQ24"/>
  <sheetViews>
    <sheetView topLeftCell="A9" workbookViewId="0">
      <selection activeCell="J25" sqref="J25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499</v>
      </c>
      <c r="C23" s="25" t="s">
        <v>499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2</v>
      </c>
      <c r="AX23" s="48">
        <f>AR23</f>
        <v>188.24</v>
      </c>
      <c r="AY23" s="48">
        <f>AU23+AW23</f>
        <v>2</v>
      </c>
      <c r="AZ23" s="48">
        <f>ROUND(((AU23*AV23)+(AW23*AX23))/(AU23+AW23),5)</f>
        <v>188.24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186.96</v>
      </c>
      <c r="BP23" s="53">
        <f>BN23+AW23</f>
        <v>6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 xmlns:r="http://schemas.openxmlformats.org/officeDocument/2006/relationships">
  <dimension ref="A1:BQ24"/>
  <sheetViews>
    <sheetView topLeftCell="A12" workbookViewId="0">
      <selection activeCell="G26" sqref="G26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500</v>
      </c>
      <c r="C23" s="25" t="s">
        <v>500</v>
      </c>
      <c r="D23" s="25" t="s">
        <v>58</v>
      </c>
      <c r="E23" s="25" t="s">
        <v>163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3</v>
      </c>
      <c r="AM23" s="26">
        <f>F23/AL23</f>
        <v>0.66666666666666663</v>
      </c>
      <c r="AN23" s="26">
        <f>AI23/AM23</f>
        <v>564.72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564.72</v>
      </c>
      <c r="AS23" s="48" t="s">
        <v>229</v>
      </c>
      <c r="AT23" s="48" t="s">
        <v>58</v>
      </c>
      <c r="AU23" s="27" t="s">
        <v>239</v>
      </c>
      <c r="AV23" s="27" t="s">
        <v>245</v>
      </c>
      <c r="AW23" s="48">
        <f>AM23</f>
        <v>0.66666666666666663</v>
      </c>
      <c r="AX23" s="48">
        <f>AR23</f>
        <v>564.72</v>
      </c>
      <c r="AY23" s="48">
        <f>AU23+AW23</f>
        <v>0.66666666666666663</v>
      </c>
      <c r="AZ23" s="48">
        <f>ROUND(((AU23*AV23)+(AW23*AX23))/(AU23+AW23),5)</f>
        <v>564.72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245</v>
      </c>
      <c r="BN23" s="27" t="s">
        <v>301</v>
      </c>
      <c r="BO23" s="48">
        <f>ROUND((((AW23*AZ23)+(BN23*BM23))/(AW23+BN23)),5)</f>
        <v>240.37714</v>
      </c>
      <c r="BP23" s="53">
        <f>BN23+AW23</f>
        <v>4.666666666666667</v>
      </c>
      <c r="BQ23" s="54">
        <v>88363222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 xmlns:r="http://schemas.openxmlformats.org/officeDocument/2006/relationships">
  <dimension ref="A1:BQ24"/>
  <sheetViews>
    <sheetView topLeftCell="A15" workbookViewId="0">
      <selection activeCell="J22" sqref="J22"/>
    </sheetView>
  </sheetViews>
  <sheetFormatPr defaultColWidth="8.7109375" defaultRowHeight="15"/>
  <sheetData>
    <row r="1" spans="1:69" ht="18">
      <c r="A1" s="297" t="s">
        <v>46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spans="1:69" ht="18">
      <c r="A2" s="1" t="s">
        <v>47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6"/>
      <c r="AS2" s="16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pans="1:69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16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</row>
    <row r="4" spans="1:69">
      <c r="A4" s="6">
        <v>1</v>
      </c>
      <c r="B4" s="7" t="s">
        <v>56</v>
      </c>
      <c r="C4" s="7" t="s">
        <v>57</v>
      </c>
      <c r="D4" s="7" t="s">
        <v>58</v>
      </c>
      <c r="E4" s="7" t="s">
        <v>58</v>
      </c>
      <c r="F4" s="8">
        <v>25</v>
      </c>
      <c r="G4" s="9">
        <v>257.63</v>
      </c>
      <c r="H4" s="10">
        <f t="shared" ref="H4:H18" si="0">F4*G4</f>
        <v>6440.75</v>
      </c>
      <c r="I4" s="32"/>
      <c r="J4" s="32"/>
      <c r="K4" s="32"/>
      <c r="L4" s="33"/>
      <c r="M4" s="33"/>
      <c r="N4" s="33"/>
      <c r="O4" s="33"/>
      <c r="P4" s="33"/>
      <c r="Q4" s="33"/>
      <c r="R4" s="33"/>
      <c r="S4" s="33"/>
      <c r="T4" s="33"/>
      <c r="U4" s="32"/>
      <c r="V4" s="32"/>
      <c r="W4" s="32"/>
      <c r="X4" s="32"/>
      <c r="Y4" s="32"/>
      <c r="Z4" s="32"/>
      <c r="AA4" s="32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16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7"/>
      <c r="BK4" s="27"/>
      <c r="BL4" s="27"/>
      <c r="BM4" s="27"/>
      <c r="BN4" s="27"/>
      <c r="BO4" s="27"/>
      <c r="BP4" s="27"/>
      <c r="BQ4" s="27"/>
    </row>
    <row r="5" spans="1:69">
      <c r="A5" s="6">
        <v>2</v>
      </c>
      <c r="B5" s="7" t="s">
        <v>59</v>
      </c>
      <c r="C5" s="7" t="s">
        <v>60</v>
      </c>
      <c r="D5" s="7" t="s">
        <v>58</v>
      </c>
      <c r="E5" s="7" t="s">
        <v>58</v>
      </c>
      <c r="F5" s="8">
        <v>35</v>
      </c>
      <c r="G5" s="9">
        <v>125.45</v>
      </c>
      <c r="H5" s="10">
        <f t="shared" si="0"/>
        <v>4390.75</v>
      </c>
      <c r="I5" s="32"/>
      <c r="J5" s="32"/>
      <c r="K5" s="32"/>
      <c r="L5" s="33"/>
      <c r="M5" s="33"/>
      <c r="N5" s="33"/>
      <c r="O5" s="33"/>
      <c r="P5" s="33"/>
      <c r="Q5" s="33"/>
      <c r="R5" s="33"/>
      <c r="S5" s="33"/>
      <c r="T5" s="33"/>
      <c r="U5" s="32"/>
      <c r="V5" s="32"/>
      <c r="W5" s="32"/>
      <c r="X5" s="32"/>
      <c r="Y5" s="32"/>
      <c r="Z5" s="32"/>
      <c r="AA5" s="32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16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  <row r="6" spans="1:69">
      <c r="A6" s="6">
        <v>3</v>
      </c>
      <c r="B6" s="7" t="s">
        <v>61</v>
      </c>
      <c r="C6" s="7" t="s">
        <v>62</v>
      </c>
      <c r="D6" s="7" t="s">
        <v>58</v>
      </c>
      <c r="E6" s="7" t="s">
        <v>58</v>
      </c>
      <c r="F6" s="8">
        <v>45</v>
      </c>
      <c r="G6" s="9">
        <v>125.36</v>
      </c>
      <c r="H6" s="10">
        <f t="shared" si="0"/>
        <v>5641.2</v>
      </c>
      <c r="I6" s="32"/>
      <c r="J6" s="32"/>
      <c r="K6" s="32"/>
      <c r="L6" s="33"/>
      <c r="M6" s="33"/>
      <c r="N6" s="33"/>
      <c r="O6" s="33"/>
      <c r="P6" s="33"/>
      <c r="Q6" s="33"/>
      <c r="R6" s="33"/>
      <c r="S6" s="33"/>
      <c r="T6" s="33"/>
      <c r="U6" s="32"/>
      <c r="V6" s="32"/>
      <c r="W6" s="32"/>
      <c r="X6" s="32"/>
      <c r="Y6" s="32"/>
      <c r="Z6" s="32"/>
      <c r="AA6" s="32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16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7"/>
      <c r="BK6" s="27"/>
      <c r="BL6" s="27"/>
      <c r="BM6" s="27"/>
      <c r="BN6" s="27"/>
      <c r="BO6" s="27"/>
      <c r="BP6" s="27"/>
      <c r="BQ6" s="27"/>
    </row>
    <row r="7" spans="1:69">
      <c r="A7" s="6">
        <v>4</v>
      </c>
      <c r="B7" s="7" t="s">
        <v>63</v>
      </c>
      <c r="C7" s="7" t="s">
        <v>64</v>
      </c>
      <c r="D7" s="7" t="s">
        <v>58</v>
      </c>
      <c r="E7" s="7" t="s">
        <v>58</v>
      </c>
      <c r="F7" s="8">
        <v>55</v>
      </c>
      <c r="G7" s="9">
        <v>45.25</v>
      </c>
      <c r="H7" s="10">
        <f t="shared" si="0"/>
        <v>2488.75</v>
      </c>
      <c r="I7" s="32"/>
      <c r="J7" s="32"/>
      <c r="K7" s="32"/>
      <c r="L7" s="33"/>
      <c r="M7" s="33"/>
      <c r="N7" s="33"/>
      <c r="O7" s="33"/>
      <c r="P7" s="33"/>
      <c r="Q7" s="33"/>
      <c r="R7" s="33"/>
      <c r="S7" s="33"/>
      <c r="T7" s="33"/>
      <c r="U7" s="32"/>
      <c r="V7" s="32"/>
      <c r="W7" s="32"/>
      <c r="X7" s="32"/>
      <c r="Y7" s="32"/>
      <c r="Z7" s="32"/>
      <c r="AA7" s="32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16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  <c r="BG7" s="27"/>
      <c r="BH7" s="27"/>
      <c r="BI7" s="27"/>
      <c r="BJ7" s="27"/>
      <c r="BK7" s="27"/>
      <c r="BL7" s="27"/>
      <c r="BM7" s="27"/>
      <c r="BN7" s="27"/>
      <c r="BO7" s="27"/>
      <c r="BP7" s="27"/>
      <c r="BQ7" s="27"/>
    </row>
    <row r="8" spans="1:69">
      <c r="A8" s="6">
        <v>5</v>
      </c>
      <c r="B8" s="7" t="s">
        <v>65</v>
      </c>
      <c r="C8" s="7" t="s">
        <v>66</v>
      </c>
      <c r="D8" s="7" t="s">
        <v>58</v>
      </c>
      <c r="E8" s="7" t="s">
        <v>58</v>
      </c>
      <c r="F8" s="8">
        <v>60</v>
      </c>
      <c r="G8" s="9">
        <v>45.5</v>
      </c>
      <c r="H8" s="10">
        <f t="shared" si="0"/>
        <v>2730</v>
      </c>
      <c r="I8" s="32"/>
      <c r="J8" s="32"/>
      <c r="K8" s="32"/>
      <c r="L8" s="33"/>
      <c r="M8" s="33"/>
      <c r="N8" s="33"/>
      <c r="O8" s="33"/>
      <c r="P8" s="33"/>
      <c r="Q8" s="33"/>
      <c r="R8" s="33"/>
      <c r="S8" s="33"/>
      <c r="T8" s="33"/>
      <c r="U8" s="32"/>
      <c r="V8" s="32"/>
      <c r="W8" s="32"/>
      <c r="X8" s="32"/>
      <c r="Y8" s="32"/>
      <c r="Z8" s="32"/>
      <c r="AA8" s="32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16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27"/>
      <c r="BN8" s="27"/>
      <c r="BO8" s="27"/>
      <c r="BP8" s="27"/>
      <c r="BQ8" s="27"/>
    </row>
    <row r="9" spans="1:69">
      <c r="A9" s="6">
        <v>6</v>
      </c>
      <c r="B9" s="7" t="s">
        <v>67</v>
      </c>
      <c r="C9" s="7" t="s">
        <v>68</v>
      </c>
      <c r="D9" s="7" t="s">
        <v>58</v>
      </c>
      <c r="E9" s="7" t="s">
        <v>58</v>
      </c>
      <c r="F9" s="8">
        <v>75</v>
      </c>
      <c r="G9" s="9">
        <v>125.25</v>
      </c>
      <c r="H9" s="10">
        <f t="shared" si="0"/>
        <v>9393.75</v>
      </c>
      <c r="I9" s="32"/>
      <c r="J9" s="32"/>
      <c r="K9" s="32"/>
      <c r="L9" s="33"/>
      <c r="M9" s="33"/>
      <c r="N9" s="33"/>
      <c r="O9" s="33"/>
      <c r="P9" s="33"/>
      <c r="Q9" s="33"/>
      <c r="R9" s="33"/>
      <c r="S9" s="33"/>
      <c r="T9" s="33"/>
      <c r="U9" s="32"/>
      <c r="V9" s="32"/>
      <c r="W9" s="32"/>
      <c r="X9" s="32"/>
      <c r="Y9" s="32"/>
      <c r="Z9" s="32"/>
      <c r="AA9" s="32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16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27"/>
      <c r="BJ9" s="27"/>
      <c r="BK9" s="27"/>
      <c r="BL9" s="27"/>
      <c r="BM9" s="27"/>
      <c r="BN9" s="27"/>
      <c r="BO9" s="27"/>
      <c r="BP9" s="27"/>
      <c r="BQ9" s="27"/>
    </row>
    <row r="10" spans="1:69">
      <c r="A10" s="6">
        <v>7</v>
      </c>
      <c r="B10" s="7" t="s">
        <v>69</v>
      </c>
      <c r="C10" s="7" t="s">
        <v>70</v>
      </c>
      <c r="D10" s="7" t="s">
        <v>58</v>
      </c>
      <c r="E10" s="7" t="s">
        <v>58</v>
      </c>
      <c r="F10" s="8">
        <v>28</v>
      </c>
      <c r="G10" s="9">
        <v>150.5</v>
      </c>
      <c r="H10" s="10">
        <f t="shared" si="0"/>
        <v>4214</v>
      </c>
      <c r="I10" s="32"/>
      <c r="J10" s="32"/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2"/>
      <c r="V10" s="32"/>
      <c r="W10" s="32"/>
      <c r="X10" s="32"/>
      <c r="Y10" s="32"/>
      <c r="Z10" s="32"/>
      <c r="AA10" s="32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16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  <c r="BG10" s="27"/>
      <c r="BH10" s="27"/>
      <c r="BI10" s="27"/>
      <c r="BJ10" s="27"/>
      <c r="BK10" s="27"/>
      <c r="BL10" s="27"/>
      <c r="BM10" s="27"/>
      <c r="BN10" s="27"/>
      <c r="BO10" s="27"/>
      <c r="BP10" s="27"/>
      <c r="BQ10" s="27"/>
    </row>
    <row r="11" spans="1:69">
      <c r="A11" s="6">
        <v>8</v>
      </c>
      <c r="B11" s="7" t="s">
        <v>71</v>
      </c>
      <c r="C11" s="7" t="s">
        <v>72</v>
      </c>
      <c r="D11" s="7" t="s">
        <v>58</v>
      </c>
      <c r="E11" s="7" t="s">
        <v>58</v>
      </c>
      <c r="F11" s="8">
        <v>30</v>
      </c>
      <c r="G11" s="9">
        <v>65.319999999999993</v>
      </c>
      <c r="H11" s="10">
        <f t="shared" si="0"/>
        <v>1959.6</v>
      </c>
      <c r="I11" s="32"/>
      <c r="J11" s="32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2"/>
      <c r="V11" s="32"/>
      <c r="W11" s="32"/>
      <c r="X11" s="32"/>
      <c r="Y11" s="32"/>
      <c r="Z11" s="32"/>
      <c r="AA11" s="32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16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  <c r="BG11" s="27"/>
      <c r="BH11" s="27"/>
      <c r="BI11" s="27"/>
      <c r="BJ11" s="27"/>
      <c r="BK11" s="27"/>
      <c r="BL11" s="27"/>
      <c r="BM11" s="27"/>
      <c r="BN11" s="27"/>
      <c r="BO11" s="27"/>
      <c r="BP11" s="27"/>
      <c r="BQ11" s="27"/>
    </row>
    <row r="12" spans="1:69">
      <c r="A12" s="6">
        <v>9</v>
      </c>
      <c r="B12" s="7" t="s">
        <v>73</v>
      </c>
      <c r="C12" s="7" t="s">
        <v>74</v>
      </c>
      <c r="D12" s="7" t="s">
        <v>58</v>
      </c>
      <c r="E12" s="7" t="s">
        <v>58</v>
      </c>
      <c r="F12" s="8">
        <v>25</v>
      </c>
      <c r="G12" s="9">
        <v>74.89</v>
      </c>
      <c r="H12" s="10">
        <f t="shared" si="0"/>
        <v>1872.25</v>
      </c>
      <c r="I12" s="32"/>
      <c r="J12" s="32"/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2"/>
      <c r="V12" s="32"/>
      <c r="W12" s="32"/>
      <c r="X12" s="32"/>
      <c r="Y12" s="32"/>
      <c r="Z12" s="32"/>
      <c r="AA12" s="32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16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27"/>
      <c r="BN12" s="27"/>
      <c r="BO12" s="27"/>
      <c r="BP12" s="27"/>
      <c r="BQ12" s="27"/>
    </row>
    <row r="13" spans="1:69">
      <c r="A13" s="6">
        <v>10</v>
      </c>
      <c r="B13" s="7" t="s">
        <v>75</v>
      </c>
      <c r="C13" s="7" t="s">
        <v>76</v>
      </c>
      <c r="D13" s="7" t="s">
        <v>58</v>
      </c>
      <c r="E13" s="7" t="s">
        <v>58</v>
      </c>
      <c r="F13" s="8">
        <v>28</v>
      </c>
      <c r="G13" s="9">
        <v>89.56</v>
      </c>
      <c r="H13" s="10">
        <f t="shared" si="0"/>
        <v>2507.6800000000003</v>
      </c>
      <c r="I13" s="32"/>
      <c r="J13" s="32"/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2"/>
      <c r="V13" s="32"/>
      <c r="W13" s="32"/>
      <c r="X13" s="32"/>
      <c r="Y13" s="32"/>
      <c r="Z13" s="32"/>
      <c r="AA13" s="32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16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  <c r="BG13" s="27"/>
      <c r="BH13" s="27"/>
      <c r="BI13" s="27"/>
      <c r="BJ13" s="27"/>
      <c r="BK13" s="27"/>
      <c r="BL13" s="27"/>
      <c r="BM13" s="27"/>
      <c r="BN13" s="27"/>
      <c r="BO13" s="27"/>
      <c r="BP13" s="27"/>
      <c r="BQ13" s="27"/>
    </row>
    <row r="14" spans="1:69">
      <c r="A14" s="6">
        <v>11</v>
      </c>
      <c r="B14" s="7" t="s">
        <v>77</v>
      </c>
      <c r="C14" s="7" t="s">
        <v>78</v>
      </c>
      <c r="D14" s="7" t="s">
        <v>58</v>
      </c>
      <c r="E14" s="7" t="s">
        <v>58</v>
      </c>
      <c r="F14" s="8">
        <v>37</v>
      </c>
      <c r="G14" s="9">
        <v>89.54</v>
      </c>
      <c r="H14" s="10">
        <f t="shared" si="0"/>
        <v>3312.98</v>
      </c>
      <c r="I14" s="32"/>
      <c r="J14" s="32"/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2"/>
      <c r="V14" s="32"/>
      <c r="W14" s="32"/>
      <c r="X14" s="32"/>
      <c r="Y14" s="32"/>
      <c r="Z14" s="32"/>
      <c r="AA14" s="32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16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  <c r="BG14" s="27"/>
      <c r="BH14" s="27"/>
      <c r="BI14" s="27"/>
      <c r="BJ14" s="27"/>
      <c r="BK14" s="27"/>
      <c r="BL14" s="27"/>
      <c r="BM14" s="27"/>
      <c r="BN14" s="27"/>
      <c r="BO14" s="27"/>
      <c r="BP14" s="27"/>
      <c r="BQ14" s="27"/>
    </row>
    <row r="15" spans="1:69">
      <c r="A15" s="6">
        <v>12</v>
      </c>
      <c r="B15" s="7" t="s">
        <v>79</v>
      </c>
      <c r="C15" s="7" t="s">
        <v>80</v>
      </c>
      <c r="D15" s="7" t="s">
        <v>58</v>
      </c>
      <c r="E15" s="7" t="s">
        <v>58</v>
      </c>
      <c r="F15" s="8">
        <v>39</v>
      </c>
      <c r="G15" s="9">
        <v>98.25</v>
      </c>
      <c r="H15" s="10">
        <f t="shared" si="0"/>
        <v>3831.75</v>
      </c>
      <c r="I15" s="32"/>
      <c r="J15" s="32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2"/>
      <c r="V15" s="32"/>
      <c r="W15" s="32"/>
      <c r="X15" s="32"/>
      <c r="Y15" s="32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16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  <c r="BG15" s="27"/>
      <c r="BH15" s="27"/>
      <c r="BI15" s="27"/>
      <c r="BJ15" s="27"/>
      <c r="BK15" s="27"/>
      <c r="BL15" s="27"/>
      <c r="BM15" s="27"/>
      <c r="BN15" s="27"/>
      <c r="BO15" s="27"/>
      <c r="BP15" s="27"/>
      <c r="BQ15" s="27"/>
    </row>
    <row r="16" spans="1:69">
      <c r="A16" s="6">
        <v>13</v>
      </c>
      <c r="B16" s="7" t="s">
        <v>81</v>
      </c>
      <c r="C16" s="7" t="s">
        <v>82</v>
      </c>
      <c r="D16" s="7" t="s">
        <v>58</v>
      </c>
      <c r="E16" s="7" t="s">
        <v>58</v>
      </c>
      <c r="F16" s="8">
        <v>70</v>
      </c>
      <c r="G16" s="9">
        <v>102.25</v>
      </c>
      <c r="H16" s="10">
        <f t="shared" si="0"/>
        <v>7157.5</v>
      </c>
      <c r="I16" s="32"/>
      <c r="J16" s="32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2"/>
      <c r="V16" s="32"/>
      <c r="W16" s="32"/>
      <c r="X16" s="32"/>
      <c r="Y16" s="32"/>
      <c r="Z16" s="32"/>
      <c r="AA16" s="32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16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</row>
    <row r="17" spans="1:69">
      <c r="A17" s="6">
        <v>14</v>
      </c>
      <c r="B17" s="7" t="s">
        <v>83</v>
      </c>
      <c r="C17" s="7" t="s">
        <v>84</v>
      </c>
      <c r="D17" s="7" t="s">
        <v>58</v>
      </c>
      <c r="E17" s="7" t="s">
        <v>58</v>
      </c>
      <c r="F17" s="8">
        <v>100</v>
      </c>
      <c r="G17" s="9">
        <v>103.5</v>
      </c>
      <c r="H17" s="10">
        <f t="shared" si="0"/>
        <v>10350</v>
      </c>
      <c r="I17" s="32"/>
      <c r="J17" s="32"/>
      <c r="K17" s="32"/>
      <c r="L17" s="33"/>
      <c r="M17" s="33"/>
      <c r="N17" s="33"/>
      <c r="O17" s="33"/>
      <c r="P17" s="33"/>
      <c r="Q17" s="33"/>
      <c r="R17" s="33"/>
      <c r="S17" s="37"/>
      <c r="T17" s="33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16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</row>
    <row r="18" spans="1:69">
      <c r="A18" s="11">
        <v>15</v>
      </c>
      <c r="B18" s="12" t="s">
        <v>85</v>
      </c>
      <c r="C18" s="12" t="s">
        <v>86</v>
      </c>
      <c r="D18" s="12" t="s">
        <v>58</v>
      </c>
      <c r="E18" s="12" t="s">
        <v>58</v>
      </c>
      <c r="F18" s="13">
        <v>85</v>
      </c>
      <c r="G18" s="14">
        <v>65.48</v>
      </c>
      <c r="H18" s="15">
        <f t="shared" si="0"/>
        <v>5565.8</v>
      </c>
      <c r="I18" s="32"/>
      <c r="J18" s="32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2"/>
      <c r="V18" s="32"/>
      <c r="W18" s="32"/>
      <c r="X18" s="32"/>
      <c r="Y18" s="32"/>
      <c r="Z18" s="32"/>
      <c r="AA18" s="32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16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</row>
    <row r="19" spans="1:69">
      <c r="A19" s="1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34"/>
      <c r="J19" s="34"/>
      <c r="K19" s="34"/>
      <c r="L19" s="34"/>
      <c r="M19" s="34"/>
      <c r="N19" s="34"/>
      <c r="O19" s="34"/>
      <c r="P19" s="34"/>
      <c r="Q19" s="34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6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</row>
    <row r="20" spans="1:69">
      <c r="A20" s="18" t="s">
        <v>88</v>
      </c>
      <c r="B20" s="19"/>
      <c r="C20" s="19"/>
      <c r="D20" s="19"/>
      <c r="E20" s="19"/>
      <c r="F20" s="19"/>
      <c r="G20" s="19"/>
      <c r="H20" s="18"/>
      <c r="I20" s="34"/>
      <c r="J20" s="34"/>
      <c r="K20" s="34"/>
      <c r="L20" s="34"/>
      <c r="M20" s="34"/>
      <c r="N20" s="34"/>
      <c r="O20" s="34"/>
      <c r="P20" s="34"/>
      <c r="Q20" s="34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6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</row>
    <row r="21" spans="1:69">
      <c r="A21" s="276" t="s">
        <v>89</v>
      </c>
      <c r="B21" s="276"/>
      <c r="C21" s="20">
        <v>3</v>
      </c>
      <c r="D21" s="21" t="s">
        <v>210</v>
      </c>
      <c r="E21" s="19"/>
      <c r="F21" s="19"/>
      <c r="G21" s="19"/>
      <c r="H21" s="18"/>
      <c r="I21" s="34" t="s">
        <v>91</v>
      </c>
      <c r="J21" s="34" t="s">
        <v>92</v>
      </c>
      <c r="K21" s="34"/>
      <c r="L21" s="34" t="s">
        <v>93</v>
      </c>
      <c r="M21" s="34">
        <v>1</v>
      </c>
      <c r="N21" s="34"/>
      <c r="O21" s="34" t="s">
        <v>94</v>
      </c>
      <c r="P21" s="34">
        <v>1</v>
      </c>
      <c r="Q21" s="34" t="s">
        <v>95</v>
      </c>
      <c r="R21" s="18"/>
      <c r="S21" s="18"/>
      <c r="T21" s="18"/>
      <c r="U21" s="18"/>
      <c r="V21" s="18">
        <v>1</v>
      </c>
      <c r="W21" s="18" t="s">
        <v>211</v>
      </c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6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</row>
    <row r="22" spans="1:69" ht="57">
      <c r="A22" s="22" t="s">
        <v>48</v>
      </c>
      <c r="B22" s="22" t="s">
        <v>49</v>
      </c>
      <c r="C22" s="23" t="s">
        <v>50</v>
      </c>
      <c r="D22" s="22" t="s">
        <v>51</v>
      </c>
      <c r="E22" s="22" t="s">
        <v>52</v>
      </c>
      <c r="F22" s="24" t="s">
        <v>96</v>
      </c>
      <c r="G22" s="22" t="s">
        <v>54</v>
      </c>
      <c r="H22" s="22" t="s">
        <v>55</v>
      </c>
      <c r="I22" s="35" t="s">
        <v>97</v>
      </c>
      <c r="J22" s="35" t="s">
        <v>98</v>
      </c>
      <c r="K22" s="35" t="s">
        <v>99</v>
      </c>
      <c r="L22" s="36" t="s">
        <v>100</v>
      </c>
      <c r="M22" s="36" t="s">
        <v>101</v>
      </c>
      <c r="N22" s="36" t="s">
        <v>102</v>
      </c>
      <c r="O22" s="36" t="s">
        <v>103</v>
      </c>
      <c r="P22" s="36" t="s">
        <v>104</v>
      </c>
      <c r="Q22" s="36" t="s">
        <v>105</v>
      </c>
      <c r="R22" s="35" t="s">
        <v>106</v>
      </c>
      <c r="S22" s="22" t="s">
        <v>107</v>
      </c>
      <c r="T22" s="22" t="s">
        <v>108</v>
      </c>
      <c r="U22" s="38" t="s">
        <v>109</v>
      </c>
      <c r="V22" s="38" t="s">
        <v>110</v>
      </c>
      <c r="W22" s="38" t="s">
        <v>111</v>
      </c>
      <c r="X22" s="38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41" t="s">
        <v>114</v>
      </c>
      <c r="AD22" s="41" t="s">
        <v>115</v>
      </c>
      <c r="AE22" s="42" t="s">
        <v>116</v>
      </c>
      <c r="AF22" s="42" t="s">
        <v>117</v>
      </c>
      <c r="AG22" s="42" t="s">
        <v>118</v>
      </c>
      <c r="AH22" s="41" t="s">
        <v>119</v>
      </c>
      <c r="AI22" s="41" t="s">
        <v>120</v>
      </c>
      <c r="AJ22" s="42" t="s">
        <v>121</v>
      </c>
      <c r="AK22" s="42" t="s">
        <v>122</v>
      </c>
      <c r="AL22" s="41" t="s">
        <v>123</v>
      </c>
      <c r="AM22" s="41" t="s">
        <v>124</v>
      </c>
      <c r="AN22" s="42" t="s">
        <v>125</v>
      </c>
      <c r="AO22" s="42" t="s">
        <v>126</v>
      </c>
      <c r="AP22" s="42" t="s">
        <v>127</v>
      </c>
      <c r="AQ22" s="41" t="s">
        <v>128</v>
      </c>
      <c r="AR22" s="46" t="s">
        <v>129</v>
      </c>
      <c r="AS22" s="3" t="s">
        <v>215</v>
      </c>
      <c r="AT22" s="3" t="s">
        <v>128</v>
      </c>
      <c r="AU22" s="47" t="s">
        <v>131</v>
      </c>
      <c r="AV22" s="47" t="s">
        <v>132</v>
      </c>
      <c r="AW22" s="47" t="s">
        <v>133</v>
      </c>
      <c r="AX22" s="47" t="s">
        <v>134</v>
      </c>
      <c r="AY22" s="47" t="s">
        <v>135</v>
      </c>
      <c r="AZ22" s="47" t="s">
        <v>136</v>
      </c>
      <c r="BA22" s="47" t="s">
        <v>137</v>
      </c>
      <c r="BB22" s="47" t="s">
        <v>138</v>
      </c>
      <c r="BC22" s="49" t="s">
        <v>139</v>
      </c>
      <c r="BD22" s="49" t="s">
        <v>8</v>
      </c>
      <c r="BE22" s="49" t="s">
        <v>9</v>
      </c>
      <c r="BF22" s="47" t="s">
        <v>216</v>
      </c>
      <c r="BG22" s="47" t="s">
        <v>140</v>
      </c>
      <c r="BH22" s="47" t="s">
        <v>141</v>
      </c>
      <c r="BI22" s="47" t="s">
        <v>142</v>
      </c>
      <c r="BJ22" s="47" t="s">
        <v>143</v>
      </c>
      <c r="BK22" s="47" t="s">
        <v>144</v>
      </c>
      <c r="BL22" s="47" t="s">
        <v>217</v>
      </c>
      <c r="BM22" s="47" t="s">
        <v>218</v>
      </c>
      <c r="BN22" s="47" t="s">
        <v>219</v>
      </c>
      <c r="BO22" s="47" t="s">
        <v>136</v>
      </c>
      <c r="BP22" s="47" t="s">
        <v>220</v>
      </c>
      <c r="BQ22" s="47" t="s">
        <v>108</v>
      </c>
    </row>
    <row r="23" spans="1:69">
      <c r="A23" s="25">
        <v>1</v>
      </c>
      <c r="B23" s="25" t="s">
        <v>501</v>
      </c>
      <c r="C23" s="25" t="s">
        <v>501</v>
      </c>
      <c r="D23" s="25" t="s">
        <v>58</v>
      </c>
      <c r="E23" s="25" t="s">
        <v>58</v>
      </c>
      <c r="F23" s="26">
        <v>2</v>
      </c>
      <c r="G23" s="27" t="s">
        <v>234</v>
      </c>
      <c r="H23" s="26">
        <f>F23*G23</f>
        <v>400</v>
      </c>
      <c r="I23" s="27" t="s">
        <v>223</v>
      </c>
      <c r="J23" s="26">
        <v>2</v>
      </c>
      <c r="K23" s="26">
        <v>2</v>
      </c>
      <c r="L23" s="26">
        <f>H23</f>
        <v>400</v>
      </c>
      <c r="M23" s="26">
        <f>ROUND(L23*I23%,2)</f>
        <v>8</v>
      </c>
      <c r="N23" s="26">
        <f>H23-M23</f>
        <v>392</v>
      </c>
      <c r="O23" s="26">
        <f>ROUND(N23*J23%,2)</f>
        <v>7.84</v>
      </c>
      <c r="P23" s="26">
        <f>ROUND(N23-O23,2)</f>
        <v>384.16</v>
      </c>
      <c r="Q23" s="26">
        <f>ROUND(P23*K23%,2)</f>
        <v>7.68</v>
      </c>
      <c r="R23" s="26">
        <f>M23+O23+Q23</f>
        <v>23.52</v>
      </c>
      <c r="S23" s="26">
        <f>(H23-R23)</f>
        <v>376.48</v>
      </c>
      <c r="T23" s="26" t="s">
        <v>146</v>
      </c>
      <c r="U23" s="26">
        <v>0.18</v>
      </c>
      <c r="V23" s="26">
        <f>IF(OR($C$21=1,$C$21=4),ROUND(((S23*U23)/2),2),0)</f>
        <v>0</v>
      </c>
      <c r="W23" s="26">
        <f>IF($C$21=1,ROUND(((S23*U23)/2),2),0)</f>
        <v>0</v>
      </c>
      <c r="X23" s="26">
        <f>IF($C$21=2,ROUND(((S23*U23)),2),0)</f>
        <v>0</v>
      </c>
      <c r="Y23" s="26">
        <f>IF($C$21=4,ROUND(((S23*U23)/2),2),0)</f>
        <v>0</v>
      </c>
      <c r="Z23" s="43">
        <v>0</v>
      </c>
      <c r="AA23" s="26">
        <f>IF($C21=3,0,ROUND(S23*Z23,2))</f>
        <v>0</v>
      </c>
      <c r="AB23" s="26">
        <f>V23+W23+X23+Y23+AA23</f>
        <v>0</v>
      </c>
      <c r="AC23" s="26">
        <f>IF($V21=1,S23+AB23,S23)</f>
        <v>376.48</v>
      </c>
      <c r="AD23" s="26">
        <v>120</v>
      </c>
      <c r="AE23" s="26">
        <f>IF($P$21=1,(S23/$S$24)*$E$35,AD23/$AD$24*$E$35)</f>
        <v>0</v>
      </c>
      <c r="AF23" s="26"/>
      <c r="AG23" s="26">
        <f>IF($P$21=1,(S23/$S$24)*$E$37,AD23/$AD$24*$E$37)</f>
        <v>0</v>
      </c>
      <c r="AH23" s="26">
        <f>IF($P$21=1,(S23/$S$24)*$E$37,AD23/$AD$24*$E$37)</f>
        <v>0</v>
      </c>
      <c r="AI23" s="26">
        <f>S23*$M$21</f>
        <v>376.48</v>
      </c>
      <c r="AJ23" s="26">
        <f>IF($C$21=3,0,AG23+AH23)</f>
        <v>0</v>
      </c>
      <c r="AK23" s="26">
        <f>IF($C$21=3,AE23+AG23+AH23,0)</f>
        <v>0</v>
      </c>
      <c r="AL23" s="26">
        <v>1</v>
      </c>
      <c r="AM23" s="26">
        <f>F23/AL23</f>
        <v>2</v>
      </c>
      <c r="AN23" s="26">
        <f>AI23/AM23</f>
        <v>188.24</v>
      </c>
      <c r="AO23" s="26">
        <f>AJ23/AM23</f>
        <v>0</v>
      </c>
      <c r="AP23" s="26">
        <f>AK23/AM23</f>
        <v>0</v>
      </c>
      <c r="AQ23" s="26" t="s">
        <v>58</v>
      </c>
      <c r="AR23" s="26">
        <f>AN23+AO23+AP23</f>
        <v>188.24</v>
      </c>
      <c r="AS23" s="48" t="s">
        <v>222</v>
      </c>
      <c r="AT23" s="48" t="s">
        <v>58</v>
      </c>
      <c r="AU23" s="27" t="s">
        <v>319</v>
      </c>
      <c r="AV23" s="27" t="s">
        <v>320</v>
      </c>
      <c r="AW23" s="48">
        <f>AM23</f>
        <v>2</v>
      </c>
      <c r="AX23" s="48">
        <f>AR23</f>
        <v>188.24</v>
      </c>
      <c r="AY23" s="48">
        <f>AU23+AW23</f>
        <v>18</v>
      </c>
      <c r="AZ23" s="48">
        <f>ROUND(((AU23*AV23)+(AW23*AX23))/(AU23+AW23),5)</f>
        <v>186.08428000000001</v>
      </c>
      <c r="BA23" s="50"/>
      <c r="BB23" s="50" t="s">
        <v>149</v>
      </c>
      <c r="BC23" s="51" t="s">
        <v>38</v>
      </c>
      <c r="BD23" s="52" t="s">
        <v>30</v>
      </c>
      <c r="BE23" s="52" t="s">
        <v>39</v>
      </c>
      <c r="BF23" s="50"/>
      <c r="BG23" s="50"/>
      <c r="BH23" s="50"/>
      <c r="BI23" s="48"/>
      <c r="BJ23" s="48"/>
      <c r="BK23" s="48"/>
      <c r="BL23" s="48" t="s">
        <v>230</v>
      </c>
      <c r="BM23" s="27" t="s">
        <v>321</v>
      </c>
      <c r="BN23" s="27" t="s">
        <v>307</v>
      </c>
      <c r="BO23" s="48">
        <f>ROUND((((AW23*AZ23)+(BN23*BM23))/(AW23+BN23)),5)</f>
        <v>184.80457999999999</v>
      </c>
      <c r="BP23" s="53">
        <f>BN23+AW23</f>
        <v>20</v>
      </c>
      <c r="BQ23" s="54">
        <v>88363221</v>
      </c>
    </row>
    <row r="24" spans="1:69">
      <c r="A24" s="16"/>
      <c r="B24" s="28"/>
      <c r="C24" s="28"/>
      <c r="D24" s="29" t="s">
        <v>87</v>
      </c>
      <c r="E24" s="29"/>
      <c r="F24" s="29"/>
      <c r="G24" s="30"/>
      <c r="H24" s="31">
        <f>SUM(H23:H23)</f>
        <v>400</v>
      </c>
      <c r="I24" s="25"/>
      <c r="J24" s="25"/>
      <c r="K24" s="25"/>
      <c r="L24" s="25"/>
      <c r="M24" s="25"/>
      <c r="N24" s="25"/>
      <c r="O24" s="25"/>
      <c r="P24" s="25"/>
      <c r="Q24" s="25"/>
      <c r="R24" s="31">
        <f t="shared" ref="R24:Y24" si="1">SUM(R23:R23)</f>
        <v>23.52</v>
      </c>
      <c r="S24" s="39">
        <f t="shared" si="1"/>
        <v>376.48</v>
      </c>
      <c r="T24" s="31"/>
      <c r="U24" s="31"/>
      <c r="V24" s="40">
        <f t="shared" si="1"/>
        <v>0</v>
      </c>
      <c r="W24" s="40">
        <f t="shared" si="1"/>
        <v>0</v>
      </c>
      <c r="X24" s="40">
        <f t="shared" si="1"/>
        <v>0</v>
      </c>
      <c r="Y24" s="40">
        <f t="shared" si="1"/>
        <v>0</v>
      </c>
      <c r="Z24" s="40"/>
      <c r="AA24" s="40">
        <f t="shared" ref="AA24:AE24" si="2">SUM(AA23:AA23)</f>
        <v>0</v>
      </c>
      <c r="AB24" s="31">
        <f t="shared" si="2"/>
        <v>0</v>
      </c>
      <c r="AC24" s="44">
        <f t="shared" si="2"/>
        <v>376.48</v>
      </c>
      <c r="AD24" s="45">
        <f t="shared" si="2"/>
        <v>120</v>
      </c>
      <c r="AE24" s="45">
        <f t="shared" si="2"/>
        <v>0</v>
      </c>
      <c r="AF24" s="44"/>
      <c r="AG24" s="45">
        <f t="shared" ref="AG24:AK24" si="3">SUM(AG23:AG23)</f>
        <v>0</v>
      </c>
      <c r="AH24" s="45">
        <f t="shared" si="3"/>
        <v>0</v>
      </c>
      <c r="AI24" s="45">
        <f t="shared" si="3"/>
        <v>376.48</v>
      </c>
      <c r="AJ24" s="45">
        <f t="shared" si="3"/>
        <v>0</v>
      </c>
      <c r="AK24" s="45">
        <f t="shared" si="3"/>
        <v>0</v>
      </c>
      <c r="AL24" s="44"/>
      <c r="AM24" s="44"/>
      <c r="AN24" s="44"/>
      <c r="AO24" s="44"/>
      <c r="AP24" s="44"/>
      <c r="AQ24" s="44"/>
      <c r="AR24" s="44"/>
      <c r="AS24" s="16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</row>
  </sheetData>
  <mergeCells count="3">
    <mergeCell ref="A1:AC1"/>
    <mergeCell ref="B19:G19"/>
    <mergeCell ref="A21:B21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>
  <dimension ref="A1:CZ38"/>
  <sheetViews>
    <sheetView topLeftCell="CT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0" t="s">
        <v>47</v>
      </c>
      <c r="B2" s="260"/>
      <c r="C2" s="260"/>
      <c r="D2" s="260"/>
      <c r="E2" s="260"/>
      <c r="F2" s="260"/>
      <c r="G2" s="260"/>
      <c r="H2" s="260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CZ38"/>
  <sheetViews>
    <sheetView topLeftCell="CT16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6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1" t="s">
        <v>47</v>
      </c>
      <c r="B2" s="261"/>
      <c r="C2" s="261"/>
      <c r="D2" s="261"/>
      <c r="E2" s="261"/>
      <c r="F2" s="261"/>
      <c r="G2" s="261"/>
      <c r="H2" s="261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511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90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90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660</v>
      </c>
      <c r="CC26">
        <v>0</v>
      </c>
      <c r="CD26">
        <f>(CC23*2%)</f>
        <v>90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  <c r="CB27" s="85" t="s">
        <v>661</v>
      </c>
      <c r="CC27">
        <v>0</v>
      </c>
      <c r="CD27">
        <f>CC23+CC24+CC25-CD26</f>
        <v>5220</v>
      </c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27:H27"/>
    <mergeCell ref="I27:J27"/>
    <mergeCell ref="G30:H30"/>
    <mergeCell ref="I30:J30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CZ38"/>
  <sheetViews>
    <sheetView topLeftCell="BS16" workbookViewId="0">
      <selection activeCell="CX23" sqref="CX23"/>
    </sheetView>
  </sheetViews>
  <sheetFormatPr defaultColWidth="9" defaultRowHeight="15"/>
  <cols>
    <col min="1" max="1" width="24.5703125" bestFit="1" customWidth="1"/>
    <col min="2" max="2" width="14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19.5703125" bestFit="1" customWidth="1"/>
    <col min="79" max="79" width="4.28515625" bestFit="1" customWidth="1"/>
    <col min="80" max="80" width="28.570312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2" t="s">
        <v>47</v>
      </c>
      <c r="B2" s="262"/>
      <c r="C2" s="262"/>
      <c r="D2" s="262"/>
      <c r="E2" s="262"/>
      <c r="F2" s="262"/>
      <c r="G2" s="262"/>
      <c r="H2" s="262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2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0</v>
      </c>
      <c r="W23" s="69">
        <f>IF($C$21=1,ROUND(((S23*U23)/2),2),0)</f>
        <v>0</v>
      </c>
      <c r="X23" s="69">
        <f>IF($C$21=2,ROUND(((S23*U23)),2),0)</f>
        <v>810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670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85" t="s">
        <v>671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  <c r="CU23">
        <f>CD25</f>
        <v>45</v>
      </c>
      <c r="CV23">
        <v>0</v>
      </c>
      <c r="CW23">
        <v>0</v>
      </c>
      <c r="CX23">
        <f>CU23+CD26</f>
        <v>5310</v>
      </c>
      <c r="CY23">
        <v>0</v>
      </c>
      <c r="CZ23">
        <f>CU23</f>
        <v>45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0</v>
      </c>
      <c r="W24" s="77">
        <f t="shared" si="1"/>
        <v>0</v>
      </c>
      <c r="X24" s="77">
        <f t="shared" si="1"/>
        <v>810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85" t="s">
        <v>625</v>
      </c>
      <c r="CC24">
        <f>X24</f>
        <v>810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85" t="s">
        <v>660</v>
      </c>
      <c r="CC25">
        <f>W24</f>
        <v>0</v>
      </c>
      <c r="CD25" s="256">
        <f>(CC23)*1%</f>
        <v>45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85" t="s">
        <v>668</v>
      </c>
      <c r="CC26">
        <v>0</v>
      </c>
      <c r="CD26">
        <f>CC23+CC24-CD25</f>
        <v>5265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CZ38"/>
  <sheetViews>
    <sheetView topLeftCell="CA13" workbookViewId="0">
      <selection activeCell="CC19" sqref="CC19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63" t="s">
        <v>47</v>
      </c>
      <c r="B2" s="263"/>
      <c r="C2" s="263"/>
      <c r="D2" s="263"/>
      <c r="E2" s="263"/>
      <c r="F2" s="263"/>
      <c r="G2" s="263"/>
      <c r="H2" s="263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 t="s">
        <v>695</v>
      </c>
      <c r="V23" s="69">
        <f>IF(OR($C$21=1,$C$21=4),ROUND(((S23*U23)/2),2),0)</f>
        <v>630</v>
      </c>
      <c r="W23" s="69">
        <f>IF($C$21=1,ROUND(((S23*U23)/2),2),0)</f>
        <v>630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1260</v>
      </c>
      <c r="AC23" s="68">
        <f>IF($V21=1,S23+AB23,S23)</f>
        <v>5760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630</v>
      </c>
      <c r="CQ23">
        <f>W23</f>
        <v>630</v>
      </c>
      <c r="CR23">
        <f>X23</f>
        <v>0</v>
      </c>
      <c r="CS23">
        <f>Y23</f>
        <v>0</v>
      </c>
      <c r="CT23">
        <f>AA23</f>
        <v>0</v>
      </c>
      <c r="CU23">
        <f>CD26</f>
        <v>5760</v>
      </c>
      <c r="CV23">
        <v>0</v>
      </c>
      <c r="CW23">
        <v>0</v>
      </c>
      <c r="CX23">
        <f>CU23+CD27</f>
        <v>5760</v>
      </c>
      <c r="CY23">
        <v>0</v>
      </c>
      <c r="CZ23">
        <f>CU23</f>
        <v>5760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630</v>
      </c>
      <c r="W24" s="77">
        <f t="shared" si="1"/>
        <v>630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1260</v>
      </c>
      <c r="AC24" s="80">
        <f t="shared" si="1"/>
        <v>5760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5760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697</v>
      </c>
      <c r="CC24">
        <f>V24</f>
        <v>630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698</v>
      </c>
      <c r="CC25">
        <f>W24</f>
        <v>630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5760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1260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5760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CZ39"/>
  <sheetViews>
    <sheetView topLeftCell="CT13" workbookViewId="0">
      <selection activeCell="CU22" sqref="CU22:CZ23"/>
    </sheetView>
  </sheetViews>
  <sheetFormatPr defaultColWidth="9" defaultRowHeight="15"/>
  <cols>
    <col min="1" max="1" width="24.5703125" bestFit="1" customWidth="1"/>
    <col min="2" max="2" width="18.425781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9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1" width="5.85546875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49" t="s">
        <v>47</v>
      </c>
      <c r="B2" s="249"/>
      <c r="C2" s="249"/>
      <c r="D2" s="249"/>
      <c r="E2" s="249"/>
      <c r="F2" s="249"/>
      <c r="G2" s="249"/>
      <c r="H2" s="24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IF($P$21=1,(S23/$S$25)*$E$36,AD23/$AD$25*$E$36)</f>
        <v>0</v>
      </c>
      <c r="AF23" s="89"/>
      <c r="AG23" s="89">
        <f>IF($P$21=1,(S23/$S$25)*$E$38,AD23/$AD$25*$E$38)</f>
        <v>0</v>
      </c>
      <c r="AH23" s="89">
        <f>IF($P$21=1,(S23/$S$25)*$E$39,AD23/$AD$25*$E$39)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SUMIF(BZ23:BZ24,"RAW MATERIAL",S23:S24)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10620</v>
      </c>
      <c r="CY23">
        <v>0</v>
      </c>
      <c r="CZ23">
        <f>CU23</f>
        <v>0</v>
      </c>
    </row>
    <row r="24" spans="1:104" ht="15.75" thickBot="1">
      <c r="A24" s="68">
        <v>2</v>
      </c>
      <c r="B24" s="68" t="s">
        <v>512</v>
      </c>
      <c r="C24" s="68" t="s">
        <v>162</v>
      </c>
      <c r="D24" s="68" t="s">
        <v>58</v>
      </c>
      <c r="E24" s="68" t="s">
        <v>163</v>
      </c>
      <c r="F24" s="69">
        <v>1</v>
      </c>
      <c r="G24" t="s">
        <v>562</v>
      </c>
      <c r="H24" s="69">
        <f>F24*G24</f>
        <v>4500</v>
      </c>
      <c r="I24">
        <v>0</v>
      </c>
      <c r="J24" s="69">
        <v>0</v>
      </c>
      <c r="K24" s="69">
        <v>0</v>
      </c>
      <c r="L24" s="69">
        <f>H24</f>
        <v>4500</v>
      </c>
      <c r="M24" s="69">
        <f>ROUND(L24*I24%,2)</f>
        <v>0</v>
      </c>
      <c r="N24" s="69">
        <f>H24-M24</f>
        <v>4500</v>
      </c>
      <c r="O24" s="69">
        <f>ROUND(N24*J24%,2)</f>
        <v>0</v>
      </c>
      <c r="P24" s="69">
        <f>ROUND(N24-O24,2)</f>
        <v>4500</v>
      </c>
      <c r="Q24" s="69">
        <f>ROUND(P24*K24%,2)</f>
        <v>0</v>
      </c>
      <c r="R24" s="69">
        <f>ROUND((M24+O24+Q24),2)</f>
        <v>0</v>
      </c>
      <c r="S24" s="69">
        <f>ROUND((H24-R24),2)</f>
        <v>4500</v>
      </c>
      <c r="T24" s="89" t="s">
        <v>146</v>
      </c>
      <c r="U24" s="79">
        <v>0.18</v>
      </c>
      <c r="V24" s="69">
        <f>IF(OR($C$21=1,$C$21=4),ROUND(((S24*U24)/2),2),0)</f>
        <v>405</v>
      </c>
      <c r="W24" s="69">
        <f>IF($C$21=1,ROUND(((S24*U24)/2),2),0)</f>
        <v>405</v>
      </c>
      <c r="X24" s="69">
        <f>IF($C$21=2,ROUND(((S24*U24)),2),0)</f>
        <v>0</v>
      </c>
      <c r="Y24" s="69">
        <f>IF($C$21=4,ROUND(((S24*U24)/2),2),0)</f>
        <v>0</v>
      </c>
      <c r="Z24" s="109">
        <v>0</v>
      </c>
      <c r="AA24" s="69">
        <f>IF($C19=3, 0, ROUND(S24*Z24, 2))</f>
        <v>0</v>
      </c>
      <c r="AB24" s="68">
        <f>V24+W24+X24+Y24+AA24</f>
        <v>810</v>
      </c>
      <c r="AC24" s="68">
        <f>IF($V21=1,S24+AB24,S24)</f>
        <v>5310</v>
      </c>
      <c r="AD24" s="89">
        <v>120</v>
      </c>
      <c r="AE24" s="89">
        <f>IF($P$21=1,(S24/$S$25)*$E$36,AD24/$AD$25*$E$36)</f>
        <v>0</v>
      </c>
      <c r="AF24" s="89"/>
      <c r="AG24" s="89">
        <f>IF($P$21=1,(S24/$S$25)*$E$38,AD24/$AD$25*$E$38)</f>
        <v>0</v>
      </c>
      <c r="AH24" s="89">
        <f>IF($P$21=1,(S24/$S$25)*$E$39,AD24/$AD$25*$E$39)</f>
        <v>0</v>
      </c>
      <c r="AI24" s="89">
        <f>S24*$M$21</f>
        <v>4500</v>
      </c>
      <c r="AJ24" s="89">
        <f>IF($C$21=3,0,AG24+AH24)</f>
        <v>0</v>
      </c>
      <c r="AK24" s="89">
        <f>IF($C$21=3,AE24+AG24+AH24,0)</f>
        <v>0</v>
      </c>
      <c r="AL24" s="108">
        <v>1</v>
      </c>
      <c r="AM24" s="89">
        <f>F24/AL24</f>
        <v>1</v>
      </c>
      <c r="AN24" s="89">
        <f>ROUND(AI24/AM24,5)</f>
        <v>4500</v>
      </c>
      <c r="AO24" s="89">
        <f>AJ24/AM24</f>
        <v>0</v>
      </c>
      <c r="AP24" s="89">
        <f>AK24/AM24</f>
        <v>0</v>
      </c>
      <c r="AQ24" s="89" t="s">
        <v>58</v>
      </c>
      <c r="AR24" s="89">
        <f>ROUND(AN24+AO24+AP24,5)</f>
        <v>4500</v>
      </c>
      <c r="AS24" s="83" t="s">
        <v>518</v>
      </c>
      <c r="AT24" s="83" t="s">
        <v>58</v>
      </c>
      <c r="AU24" t="s">
        <v>239</v>
      </c>
      <c r="AV24" t="s">
        <v>530</v>
      </c>
      <c r="AW24" s="83">
        <f>AM24</f>
        <v>1</v>
      </c>
      <c r="AX24" s="83">
        <f>AR24</f>
        <v>4500</v>
      </c>
      <c r="AY24" s="83">
        <f>AU24+AW24</f>
        <v>1</v>
      </c>
      <c r="AZ24" s="83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83"/>
      <c r="BJ24" s="83"/>
      <c r="BK24" s="83"/>
      <c r="BL24" s="111" t="s">
        <v>520</v>
      </c>
      <c r="BM24" t="s">
        <v>531</v>
      </c>
      <c r="BN24" t="s">
        <v>532</v>
      </c>
      <c r="BO24" s="83">
        <f>ROUND((((AW24*AZ24)+(BN24*BM24))/(AW24+BN24)),5)</f>
        <v>494.17237999999998</v>
      </c>
      <c r="BP24" s="87">
        <f>BN24+AW24</f>
        <v>186</v>
      </c>
      <c r="BQ24" s="88">
        <v>88363222</v>
      </c>
      <c r="BR24" s="253" t="s">
        <v>525</v>
      </c>
      <c r="BS24" s="253" t="s">
        <v>508</v>
      </c>
      <c r="BT24" s="253">
        <v>10100</v>
      </c>
      <c r="BU24" s="253" t="s">
        <v>526</v>
      </c>
      <c r="BV24" s="254" t="s">
        <v>527</v>
      </c>
      <c r="BW24" s="253" t="s">
        <v>509</v>
      </c>
      <c r="BX24" s="194" t="s">
        <v>510</v>
      </c>
      <c r="BY24" s="253">
        <v>800</v>
      </c>
      <c r="BZ24" s="253" t="s">
        <v>533</v>
      </c>
      <c r="CA24" s="255">
        <v>70</v>
      </c>
      <c r="CB24" s="253" t="s">
        <v>533</v>
      </c>
      <c r="CC24">
        <f>SUMIF(BZ23:BZ24,"COMMUNICATION EXPENSES",S23:S24)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4" si="1">V24</f>
        <v>405</v>
      </c>
      <c r="CQ24">
        <f t="shared" si="1"/>
        <v>405</v>
      </c>
      <c r="CR24">
        <f t="shared" si="1"/>
        <v>0</v>
      </c>
      <c r="CS24">
        <f t="shared" si="1"/>
        <v>0</v>
      </c>
      <c r="CT24">
        <f t="shared" ref="CT24" si="2">AA24</f>
        <v>0</v>
      </c>
    </row>
    <row r="25" spans="1:104" ht="15.75" thickBot="1">
      <c r="A25" s="66"/>
      <c r="C25" s="97" t="s">
        <v>87</v>
      </c>
      <c r="D25" s="29"/>
      <c r="E25" s="29"/>
      <c r="F25" s="29"/>
      <c r="G25" s="30"/>
      <c r="H25" s="71">
        <f>SUM(H23:H24)</f>
        <v>9000</v>
      </c>
      <c r="I25" s="68"/>
      <c r="J25" s="68"/>
      <c r="K25" s="68"/>
      <c r="L25" s="68"/>
      <c r="M25" s="68"/>
      <c r="N25" s="68"/>
      <c r="O25" s="68"/>
      <c r="P25" s="68"/>
      <c r="Q25" s="68"/>
      <c r="R25" s="71">
        <f>SUM(R23:R24)</f>
        <v>0</v>
      </c>
      <c r="S25" s="71">
        <f>SUM(S23:S24)</f>
        <v>9000</v>
      </c>
      <c r="T25" s="71"/>
      <c r="U25" s="71"/>
      <c r="V25" s="77">
        <f t="shared" ref="V25:AE25" si="3">SUM(V23:V24)</f>
        <v>810</v>
      </c>
      <c r="W25" s="77">
        <f t="shared" si="3"/>
        <v>810</v>
      </c>
      <c r="X25" s="77">
        <f t="shared" si="3"/>
        <v>0</v>
      </c>
      <c r="Y25" s="77">
        <f t="shared" si="3"/>
        <v>0</v>
      </c>
      <c r="Z25" s="110">
        <f t="shared" si="3"/>
        <v>0</v>
      </c>
      <c r="AA25" s="77">
        <f t="shared" si="3"/>
        <v>0</v>
      </c>
      <c r="AB25" s="71">
        <f t="shared" si="3"/>
        <v>1620</v>
      </c>
      <c r="AC25" s="80">
        <f t="shared" si="3"/>
        <v>10620</v>
      </c>
      <c r="AD25" s="81">
        <f t="shared" si="3"/>
        <v>240</v>
      </c>
      <c r="AE25" s="81">
        <f t="shared" si="3"/>
        <v>0</v>
      </c>
      <c r="AF25" s="80"/>
      <c r="AG25" s="81">
        <f>SUM(AG23:AG24)</f>
        <v>0</v>
      </c>
      <c r="AH25" s="81">
        <f>IF($P$21=1,(S25/$S$25)*$E$39,AD25/$AD$25*$E$39)</f>
        <v>0</v>
      </c>
      <c r="AI25" s="81">
        <f>SUM(AI23:AI24)</f>
        <v>9000</v>
      </c>
      <c r="AJ25" s="81">
        <f>SUM(AJ23:AJ24)</f>
        <v>0</v>
      </c>
      <c r="AK25" s="81">
        <f>SUM(AK23:AK24)</f>
        <v>0</v>
      </c>
      <c r="AL25" s="80"/>
      <c r="AM25" s="80"/>
      <c r="AN25" s="80"/>
      <c r="AO25" s="80"/>
      <c r="AP25" s="80"/>
      <c r="AQ25" s="80"/>
      <c r="AR25" s="80"/>
      <c r="AS25" s="66"/>
      <c r="AT25" s="66">
        <f>IF(AC25-INT(AC25) &gt;= 0.5, INT(AC25)+1, INT(AC25))</f>
        <v>10620</v>
      </c>
      <c r="AU25">
        <f>AT25-AC25</f>
        <v>0</v>
      </c>
      <c r="AW25" s="66">
        <f>SUMIF(BX23:BX24,"Item",S23:S24)</f>
        <v>0</v>
      </c>
      <c r="AX25" s="66">
        <f>SUMIF(BX23:BX24,"Exp.",S23:S24)</f>
        <v>0</v>
      </c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616</v>
      </c>
      <c r="CC25">
        <f>V25</f>
        <v>810</v>
      </c>
      <c r="CD25">
        <v>0</v>
      </c>
    </row>
    <row r="26" spans="1:104" ht="15.75" thickBo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66"/>
      <c r="BJ26" s="66"/>
      <c r="BK26" s="66"/>
      <c r="BL26" s="66"/>
      <c r="BM26" s="66"/>
      <c r="BN26" s="66"/>
      <c r="BO26" s="66"/>
      <c r="CB26" s="253" t="s">
        <v>617</v>
      </c>
      <c r="CC26">
        <f>W25</f>
        <v>810</v>
      </c>
      <c r="CD26" s="256">
        <v>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194</v>
      </c>
      <c r="H27" s="278"/>
      <c r="I27" s="280">
        <f>H25</f>
        <v>9000</v>
      </c>
      <c r="J27" s="280"/>
      <c r="K27" s="100"/>
      <c r="L27" s="66"/>
      <c r="M27" s="283" t="s">
        <v>195</v>
      </c>
      <c r="N27" s="284"/>
      <c r="O27" s="284"/>
      <c r="P27" s="285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374</v>
      </c>
      <c r="BI27" s="135" t="s">
        <v>375</v>
      </c>
      <c r="BJ27" s="66"/>
      <c r="BK27" s="66"/>
      <c r="BL27" s="66"/>
      <c r="BM27" s="66"/>
      <c r="BN27" s="66"/>
      <c r="BO27" s="66"/>
      <c r="CB27" s="253" t="s">
        <v>659</v>
      </c>
      <c r="CC27">
        <v>0</v>
      </c>
      <c r="CD27">
        <f>AC25</f>
        <v>10620</v>
      </c>
    </row>
    <row r="28" spans="1:104" ht="15.75" thickBot="1">
      <c r="A28" s="66"/>
      <c r="B28" s="66"/>
      <c r="C28" s="66"/>
      <c r="D28" s="66"/>
      <c r="E28" s="66"/>
      <c r="F28" s="66"/>
      <c r="G28" s="277" t="s">
        <v>196</v>
      </c>
      <c r="H28" s="278"/>
      <c r="I28" s="280">
        <f>R25</f>
        <v>0</v>
      </c>
      <c r="J28" s="280"/>
      <c r="K28" s="66"/>
      <c r="L28" s="66"/>
      <c r="M28" s="101">
        <v>1</v>
      </c>
      <c r="N28" s="101" t="s">
        <v>58</v>
      </c>
      <c r="O28" s="101">
        <v>2</v>
      </c>
      <c r="P28" s="101" t="s">
        <v>163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 t="s">
        <v>376</v>
      </c>
      <c r="BI28" s="135" t="s">
        <v>377</v>
      </c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197</v>
      </c>
      <c r="H29" s="278"/>
      <c r="I29" s="280">
        <f>S25</f>
        <v>9000</v>
      </c>
      <c r="J29" s="280"/>
      <c r="K29" s="66"/>
      <c r="L29" s="66"/>
      <c r="M29" s="68">
        <v>1</v>
      </c>
      <c r="N29" s="68" t="s">
        <v>58</v>
      </c>
      <c r="O29" s="68">
        <v>2.5</v>
      </c>
      <c r="P29" s="68" t="s">
        <v>176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198</v>
      </c>
      <c r="H30" s="278"/>
      <c r="I30" s="280">
        <f>AB25</f>
        <v>1620</v>
      </c>
      <c r="J30" s="280"/>
      <c r="K30" s="66"/>
      <c r="L30" s="66"/>
      <c r="M30" s="68">
        <v>1</v>
      </c>
      <c r="N30" s="68" t="s">
        <v>163</v>
      </c>
      <c r="O30" s="68">
        <v>1E-3</v>
      </c>
      <c r="P30" s="68" t="s">
        <v>185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 ht="15.75" thickBot="1">
      <c r="A31" s="66"/>
      <c r="B31" s="66"/>
      <c r="C31" s="66"/>
      <c r="D31" s="66"/>
      <c r="E31" s="66"/>
      <c r="F31" s="66"/>
      <c r="G31" s="277" t="s">
        <v>199</v>
      </c>
      <c r="H31" s="278"/>
      <c r="I31" s="279">
        <f>I29+I30</f>
        <v>10620</v>
      </c>
      <c r="J31" s="279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/>
      <c r="BN31" s="66"/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/>
      <c r="BL32" s="66"/>
      <c r="BM32" s="66" t="s">
        <v>378</v>
      </c>
      <c r="BN32" s="66" t="s">
        <v>379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380</v>
      </c>
      <c r="BL33" s="66">
        <v>12.5</v>
      </c>
      <c r="BM33" s="66">
        <f>BL35*BL36</f>
        <v>18277.77</v>
      </c>
      <c r="BN33" s="66">
        <f>BL33*BL34</f>
        <v>6092.59</v>
      </c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381</v>
      </c>
      <c r="BL34" s="66">
        <v>487.40719999999999</v>
      </c>
      <c r="BM34" s="66">
        <f>BL33+BL35</f>
        <v>50</v>
      </c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382</v>
      </c>
      <c r="BL35" s="66">
        <v>37.5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 t="s">
        <v>383</v>
      </c>
      <c r="BL36" s="66">
        <v>487.40719999999999</v>
      </c>
      <c r="BM36" s="66"/>
      <c r="BN36" s="66"/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>
        <f>BM33+BN33</f>
        <v>24370.36</v>
      </c>
      <c r="BN37" s="66">
        <f>BM37/BM34</f>
        <v>487.40719999999999</v>
      </c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  <row r="39" spans="1:67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  <c r="AA39" s="66"/>
      <c r="AB39" s="66"/>
      <c r="AC39" s="66"/>
      <c r="AD39" s="66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66"/>
      <c r="BM39" s="66"/>
      <c r="BN39" s="66"/>
      <c r="BO39" s="66"/>
    </row>
  </sheetData>
  <mergeCells count="14">
    <mergeCell ref="G31:H31"/>
    <mergeCell ref="I31:J31"/>
    <mergeCell ref="G28:H28"/>
    <mergeCell ref="I28:J28"/>
    <mergeCell ref="G29:H29"/>
    <mergeCell ref="I29:J29"/>
    <mergeCell ref="G30:H30"/>
    <mergeCell ref="I30:J30"/>
    <mergeCell ref="G27:H27"/>
    <mergeCell ref="I27:J27"/>
    <mergeCell ref="M27:P27"/>
    <mergeCell ref="A1:AC1"/>
    <mergeCell ref="B19:G19"/>
    <mergeCell ref="A21:B21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CZ38"/>
  <sheetViews>
    <sheetView topLeftCell="CR16" workbookViewId="0">
      <selection activeCell="CU22" sqref="CU22:CZ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7" t="s">
        <v>47</v>
      </c>
      <c r="B2" s="257"/>
      <c r="C2" s="257"/>
      <c r="D2" s="257"/>
      <c r="E2" s="257"/>
      <c r="F2" s="257"/>
      <c r="G2" s="257"/>
      <c r="H2" s="25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669</v>
      </c>
      <c r="H23" s="69">
        <f>F23*G23</f>
        <v>4700</v>
      </c>
      <c r="I23">
        <v>0</v>
      </c>
      <c r="J23" s="69">
        <v>0</v>
      </c>
      <c r="K23" s="69">
        <v>0</v>
      </c>
      <c r="L23" s="69">
        <f>H23</f>
        <v>4700</v>
      </c>
      <c r="M23" s="69">
        <f>ROUND(L23*I23%,2)</f>
        <v>0</v>
      </c>
      <c r="N23" s="69">
        <f>H23-M23</f>
        <v>4700</v>
      </c>
      <c r="O23" s="69">
        <f>ROUND(N23*J23%,2)</f>
        <v>0</v>
      </c>
      <c r="P23" s="69">
        <f>ROUND(N23-O23,2)</f>
        <v>4700</v>
      </c>
      <c r="Q23" s="69">
        <f>ROUND(P23*K23%,2)</f>
        <v>0</v>
      </c>
      <c r="R23" s="69">
        <f>ROUND((M23+O23+Q23),2)</f>
        <v>0</v>
      </c>
      <c r="S23" s="69">
        <f>ROUND((H23-R23),2)</f>
        <v>4700</v>
      </c>
      <c r="T23" s="89" t="s">
        <v>146</v>
      </c>
      <c r="U23" s="79">
        <v>0.18</v>
      </c>
      <c r="V23" s="69">
        <f>IF(OR($C$21=1,$C$21=4),ROUND(((S23*U23)/2),2),0)</f>
        <v>423</v>
      </c>
      <c r="W23" s="69">
        <f>IF($C$21=1,ROUND(((S23*U23)/2),2),0)</f>
        <v>423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846</v>
      </c>
      <c r="AC23" s="68">
        <f>IF($V21=1,S23+AB23,S23)</f>
        <v>5546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4700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4700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4700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4700</v>
      </c>
      <c r="AY23" s="83">
        <f>AU23+AW23</f>
        <v>1</v>
      </c>
      <c r="AZ23" s="83">
        <f>ROUND(((AU23*AV23)+(AW23*AX23))/(AU23+AW23),5)</f>
        <v>4700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495.24765000000002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4700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423</v>
      </c>
      <c r="CQ23">
        <f>W23</f>
        <v>423</v>
      </c>
      <c r="CR23">
        <f>X23</f>
        <v>0</v>
      </c>
      <c r="CS23">
        <f>Y23</f>
        <v>0</v>
      </c>
      <c r="CT23">
        <f>AA23</f>
        <v>0</v>
      </c>
      <c r="CU23">
        <f>CD26</f>
        <v>5546</v>
      </c>
      <c r="CV23">
        <v>0</v>
      </c>
      <c r="CW23">
        <v>0</v>
      </c>
      <c r="CX23">
        <f>CU23+CD27</f>
        <v>5546</v>
      </c>
      <c r="CY23">
        <v>0</v>
      </c>
      <c r="CZ23">
        <f>CU23</f>
        <v>5546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4700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4700</v>
      </c>
      <c r="T24" s="71"/>
      <c r="U24" s="71"/>
      <c r="V24" s="77">
        <f t="shared" ref="V24:AE24" si="1">SUM(V23:V23)</f>
        <v>423</v>
      </c>
      <c r="W24" s="77">
        <f t="shared" si="1"/>
        <v>423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846</v>
      </c>
      <c r="AC24" s="80">
        <f t="shared" si="1"/>
        <v>5546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4700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5546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423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423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4700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5546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4700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846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5546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A1:AC1"/>
    <mergeCell ref="B19:G19"/>
    <mergeCell ref="A21:B21"/>
    <mergeCell ref="G26:H26"/>
    <mergeCell ref="I26:J26"/>
    <mergeCell ref="G27:H27"/>
    <mergeCell ref="I27:J27"/>
    <mergeCell ref="M26:P26"/>
    <mergeCell ref="G28:H28"/>
    <mergeCell ref="I28:J28"/>
    <mergeCell ref="G29:H29"/>
    <mergeCell ref="I29:J29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CZ38"/>
  <sheetViews>
    <sheetView topLeftCell="CR10" workbookViewId="0">
      <selection activeCell="CZ26" sqref="CZ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8" t="s">
        <v>47</v>
      </c>
      <c r="B2" s="258"/>
      <c r="C2" s="258"/>
      <c r="D2" s="258"/>
      <c r="E2" s="258"/>
      <c r="F2" s="258"/>
      <c r="G2" s="258"/>
      <c r="H2" s="258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556</v>
      </c>
      <c r="H23" s="69">
        <f>F23*G23</f>
        <v>4400</v>
      </c>
      <c r="I23">
        <v>0</v>
      </c>
      <c r="J23" s="69">
        <v>0</v>
      </c>
      <c r="K23" s="69">
        <v>0</v>
      </c>
      <c r="L23" s="69">
        <f>H23</f>
        <v>4400</v>
      </c>
      <c r="M23" s="69">
        <f>ROUND(L23*I23%,2)</f>
        <v>0</v>
      </c>
      <c r="N23" s="69">
        <f>H23-M23</f>
        <v>4400</v>
      </c>
      <c r="O23" s="69">
        <f>ROUND(N23*J23%,2)</f>
        <v>0</v>
      </c>
      <c r="P23" s="69">
        <f>ROUND(N23-O23,2)</f>
        <v>4400</v>
      </c>
      <c r="Q23" s="69">
        <f>ROUND(P23*K23%,2)</f>
        <v>0</v>
      </c>
      <c r="R23" s="69">
        <f>ROUND((M23+O23+Q23),2)</f>
        <v>0</v>
      </c>
      <c r="S23" s="69">
        <f>ROUND((H23-R23),2)</f>
        <v>4400</v>
      </c>
      <c r="T23" s="89" t="s">
        <v>146</v>
      </c>
      <c r="U23" s="79">
        <v>0.18</v>
      </c>
      <c r="V23" s="69">
        <f>IF(OR($C$21=1,$C$21=4),ROUND(((S23*U23)/2),2),0)</f>
        <v>396</v>
      </c>
      <c r="W23" s="69">
        <f>IF($C$21=1,ROUND(((S23*U23)/2),2),0)</f>
        <v>396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792</v>
      </c>
      <c r="AC23" s="68">
        <f>IF($V21=1,S23+AB23,S23)</f>
        <v>5192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4400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4400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4400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4400</v>
      </c>
      <c r="AY23" s="83">
        <f>AU23+AW23</f>
        <v>1</v>
      </c>
      <c r="AZ23" s="83">
        <f>ROUND(((AU23*AV23)+(AW23*AX23))/(AU23+AW23),5)</f>
        <v>4400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493.63475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4400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396</v>
      </c>
      <c r="CQ23">
        <f>W23</f>
        <v>396</v>
      </c>
      <c r="CR23">
        <f>X23</f>
        <v>0</v>
      </c>
      <c r="CS23">
        <f>Y23</f>
        <v>0</v>
      </c>
      <c r="CT23">
        <f>AA23</f>
        <v>0</v>
      </c>
      <c r="CU23">
        <f>CD26</f>
        <v>5192</v>
      </c>
      <c r="CV23">
        <v>0</v>
      </c>
      <c r="CW23">
        <v>0</v>
      </c>
      <c r="CX23">
        <f>CU23+CD27</f>
        <v>5192</v>
      </c>
      <c r="CY23">
        <v>0</v>
      </c>
      <c r="CZ23">
        <f>CU23</f>
        <v>5192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4400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4400</v>
      </c>
      <c r="T24" s="71"/>
      <c r="U24" s="71"/>
      <c r="V24" s="77">
        <f t="shared" ref="V24:AE24" si="1">SUM(V23:V23)</f>
        <v>396</v>
      </c>
      <c r="W24" s="77">
        <f t="shared" si="1"/>
        <v>396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792</v>
      </c>
      <c r="AC24" s="80">
        <f t="shared" si="1"/>
        <v>5192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4400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5192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396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396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4400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5192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4400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792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5192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CZ38"/>
  <sheetViews>
    <sheetView topLeftCell="CQ16" workbookViewId="0">
      <selection activeCell="BR22" sqref="BR22:CZ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1" max="41" width="15.8554687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281" t="s">
        <v>154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  <c r="O1" s="281"/>
      <c r="P1" s="281"/>
      <c r="Q1" s="281"/>
      <c r="R1" s="281"/>
      <c r="S1" s="281"/>
      <c r="T1" s="281"/>
      <c r="U1" s="281"/>
      <c r="V1" s="281"/>
      <c r="W1" s="281"/>
      <c r="X1" s="281"/>
      <c r="Y1" s="281"/>
      <c r="Z1" s="281"/>
      <c r="AA1" s="281"/>
      <c r="AB1" s="281"/>
      <c r="AC1" s="281"/>
      <c r="AD1" s="103"/>
      <c r="AE1" s="103"/>
      <c r="AF1" s="103"/>
      <c r="AG1" s="103"/>
      <c r="AH1" s="103"/>
      <c r="AI1" s="103"/>
      <c r="AJ1" s="103"/>
      <c r="AK1" s="103"/>
      <c r="AL1" s="103"/>
      <c r="AM1" s="103"/>
      <c r="AN1" s="103"/>
      <c r="AO1" s="103"/>
      <c r="AP1" s="103"/>
      <c r="AQ1" s="103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</row>
    <row r="2" spans="1:67" ht="18.75" thickBot="1">
      <c r="A2" s="259" t="s">
        <v>47</v>
      </c>
      <c r="B2" s="259"/>
      <c r="C2" s="259"/>
      <c r="D2" s="259"/>
      <c r="E2" s="259"/>
      <c r="F2" s="259"/>
      <c r="G2" s="259"/>
      <c r="H2" s="259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</row>
    <row r="3" spans="1:67" ht="15.75" thickTop="1">
      <c r="A3" s="2" t="s">
        <v>48</v>
      </c>
      <c r="B3" s="3" t="s">
        <v>49</v>
      </c>
      <c r="C3" s="4" t="s">
        <v>50</v>
      </c>
      <c r="D3" s="3" t="s">
        <v>51</v>
      </c>
      <c r="E3" s="3" t="s">
        <v>52</v>
      </c>
      <c r="F3" s="3" t="s">
        <v>53</v>
      </c>
      <c r="G3" s="3" t="s">
        <v>54</v>
      </c>
      <c r="H3" s="5" t="s">
        <v>55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</row>
    <row r="4" spans="1:67">
      <c r="A4" s="56">
        <v>1</v>
      </c>
      <c r="B4" s="57" t="s">
        <v>56</v>
      </c>
      <c r="C4" s="57" t="s">
        <v>57</v>
      </c>
      <c r="D4" s="57" t="s">
        <v>58</v>
      </c>
      <c r="E4" s="57" t="s">
        <v>58</v>
      </c>
      <c r="F4" s="58">
        <v>25</v>
      </c>
      <c r="G4" s="59">
        <v>257.63</v>
      </c>
      <c r="H4" s="60">
        <f t="shared" ref="H4:H18" si="0">F4*G4</f>
        <v>6440.75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</row>
    <row r="5" spans="1:67">
      <c r="A5" s="56">
        <v>2</v>
      </c>
      <c r="B5" s="57" t="s">
        <v>59</v>
      </c>
      <c r="C5" s="57" t="s">
        <v>60</v>
      </c>
      <c r="D5" s="57" t="s">
        <v>58</v>
      </c>
      <c r="E5" s="57" t="s">
        <v>58</v>
      </c>
      <c r="F5" s="58">
        <v>35</v>
      </c>
      <c r="G5" s="59">
        <v>125.45</v>
      </c>
      <c r="H5" s="60">
        <f t="shared" si="0"/>
        <v>4390.75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</row>
    <row r="6" spans="1:67">
      <c r="A6" s="56">
        <v>3</v>
      </c>
      <c r="B6" s="57" t="s">
        <v>61</v>
      </c>
      <c r="C6" s="57" t="s">
        <v>62</v>
      </c>
      <c r="D6" s="57" t="s">
        <v>58</v>
      </c>
      <c r="E6" s="57" t="s">
        <v>58</v>
      </c>
      <c r="F6" s="58">
        <v>45</v>
      </c>
      <c r="G6" s="59">
        <v>125.36</v>
      </c>
      <c r="H6" s="60">
        <f t="shared" si="0"/>
        <v>5641.2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</row>
    <row r="7" spans="1:67">
      <c r="A7" s="56">
        <v>4</v>
      </c>
      <c r="B7" s="57" t="s">
        <v>63</v>
      </c>
      <c r="C7" s="57" t="s">
        <v>64</v>
      </c>
      <c r="D7" s="57" t="s">
        <v>58</v>
      </c>
      <c r="E7" s="57" t="s">
        <v>58</v>
      </c>
      <c r="F7" s="58">
        <v>55</v>
      </c>
      <c r="G7" s="59">
        <v>45.25</v>
      </c>
      <c r="H7" s="60">
        <f t="shared" si="0"/>
        <v>2488.75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</row>
    <row r="8" spans="1:67">
      <c r="A8" s="56">
        <v>5</v>
      </c>
      <c r="B8" s="57" t="s">
        <v>65</v>
      </c>
      <c r="C8" s="57" t="s">
        <v>66</v>
      </c>
      <c r="D8" s="57" t="s">
        <v>58</v>
      </c>
      <c r="E8" s="57" t="s">
        <v>58</v>
      </c>
      <c r="F8" s="58">
        <v>60</v>
      </c>
      <c r="G8" s="59">
        <v>45.5</v>
      </c>
      <c r="H8" s="60">
        <f t="shared" si="0"/>
        <v>2730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</row>
    <row r="9" spans="1:67">
      <c r="A9" s="56">
        <v>6</v>
      </c>
      <c r="B9" s="57" t="s">
        <v>67</v>
      </c>
      <c r="C9" s="57" t="s">
        <v>68</v>
      </c>
      <c r="D9" s="57" t="s">
        <v>58</v>
      </c>
      <c r="E9" s="57" t="s">
        <v>58</v>
      </c>
      <c r="F9" s="58">
        <v>75</v>
      </c>
      <c r="G9" s="59">
        <v>125.25</v>
      </c>
      <c r="H9" s="60">
        <f t="shared" si="0"/>
        <v>9393.75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</row>
    <row r="10" spans="1:67">
      <c r="A10" s="56">
        <v>7</v>
      </c>
      <c r="B10" s="57" t="s">
        <v>69</v>
      </c>
      <c r="C10" s="57" t="s">
        <v>70</v>
      </c>
      <c r="D10" s="57" t="s">
        <v>58</v>
      </c>
      <c r="E10" s="57" t="s">
        <v>58</v>
      </c>
      <c r="F10" s="58">
        <v>28</v>
      </c>
      <c r="G10" s="59">
        <v>150.5</v>
      </c>
      <c r="H10" s="60">
        <f t="shared" si="0"/>
        <v>4214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</row>
    <row r="11" spans="1:67">
      <c r="A11" s="56">
        <v>8</v>
      </c>
      <c r="B11" s="57" t="s">
        <v>71</v>
      </c>
      <c r="C11" s="57" t="s">
        <v>72</v>
      </c>
      <c r="D11" s="57" t="s">
        <v>58</v>
      </c>
      <c r="E11" s="57" t="s">
        <v>58</v>
      </c>
      <c r="F11" s="58">
        <v>30</v>
      </c>
      <c r="G11" s="59">
        <v>65.319999999999993</v>
      </c>
      <c r="H11" s="60">
        <f t="shared" si="0"/>
        <v>1959.6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</row>
    <row r="12" spans="1:67">
      <c r="A12" s="56">
        <v>9</v>
      </c>
      <c r="B12" s="57" t="s">
        <v>73</v>
      </c>
      <c r="C12" s="57" t="s">
        <v>74</v>
      </c>
      <c r="D12" s="57" t="s">
        <v>58</v>
      </c>
      <c r="E12" s="57" t="s">
        <v>58</v>
      </c>
      <c r="F12" s="58">
        <v>25</v>
      </c>
      <c r="G12" s="59">
        <v>74.89</v>
      </c>
      <c r="H12" s="60">
        <f t="shared" si="0"/>
        <v>1872.25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</row>
    <row r="13" spans="1:67">
      <c r="A13" s="56">
        <v>10</v>
      </c>
      <c r="B13" s="57" t="s">
        <v>75</v>
      </c>
      <c r="C13" s="57" t="s">
        <v>76</v>
      </c>
      <c r="D13" s="57" t="s">
        <v>58</v>
      </c>
      <c r="E13" s="57" t="s">
        <v>58</v>
      </c>
      <c r="F13" s="58">
        <v>28</v>
      </c>
      <c r="G13" s="59">
        <v>89.56</v>
      </c>
      <c r="H13" s="60">
        <f t="shared" si="0"/>
        <v>2507.6800000000003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</row>
    <row r="14" spans="1:67">
      <c r="A14" s="56">
        <v>11</v>
      </c>
      <c r="B14" s="57" t="s">
        <v>77</v>
      </c>
      <c r="C14" s="57" t="s">
        <v>78</v>
      </c>
      <c r="D14" s="57" t="s">
        <v>58</v>
      </c>
      <c r="E14" s="57" t="s">
        <v>58</v>
      </c>
      <c r="F14" s="58">
        <v>37</v>
      </c>
      <c r="G14" s="59">
        <v>89.54</v>
      </c>
      <c r="H14" s="60">
        <f t="shared" si="0"/>
        <v>3312.98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</row>
    <row r="15" spans="1:67">
      <c r="A15" s="56">
        <v>12</v>
      </c>
      <c r="B15" s="57" t="s">
        <v>79</v>
      </c>
      <c r="C15" s="57" t="s">
        <v>80</v>
      </c>
      <c r="D15" s="57" t="s">
        <v>58</v>
      </c>
      <c r="E15" s="57" t="s">
        <v>58</v>
      </c>
      <c r="F15" s="58">
        <v>39</v>
      </c>
      <c r="G15" s="59">
        <v>98.25</v>
      </c>
      <c r="H15" s="60">
        <f t="shared" si="0"/>
        <v>3831.75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</row>
    <row r="16" spans="1:67">
      <c r="A16" s="56">
        <v>13</v>
      </c>
      <c r="B16" s="57" t="s">
        <v>81</v>
      </c>
      <c r="C16" s="57" t="s">
        <v>82</v>
      </c>
      <c r="D16" s="57" t="s">
        <v>58</v>
      </c>
      <c r="E16" s="57" t="s">
        <v>58</v>
      </c>
      <c r="F16" s="58">
        <v>70</v>
      </c>
      <c r="G16" s="59">
        <v>102.25</v>
      </c>
      <c r="H16" s="60">
        <f t="shared" si="0"/>
        <v>7157.5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  <c r="AE16" s="66"/>
      <c r="AF16" s="66"/>
      <c r="AG16" s="66"/>
      <c r="AH16" s="66"/>
      <c r="AI16" s="66"/>
      <c r="AJ16" s="66"/>
      <c r="AK16" s="66"/>
      <c r="AL16" s="66"/>
      <c r="AM16" s="66"/>
      <c r="AN16" s="66"/>
      <c r="AO16" s="66"/>
      <c r="AP16" s="66"/>
      <c r="AQ16" s="66"/>
      <c r="AR16" s="66"/>
      <c r="AS16" s="66"/>
      <c r="AT16" s="66"/>
      <c r="AU16" s="66"/>
      <c r="AV16" s="66"/>
      <c r="AW16" s="66"/>
      <c r="AX16" s="66"/>
      <c r="AY16" s="66"/>
      <c r="AZ16" s="66"/>
      <c r="BA16" s="66"/>
      <c r="BB16" s="66"/>
      <c r="BC16" s="66"/>
      <c r="BD16" s="66"/>
      <c r="BE16" s="66"/>
      <c r="BF16" s="66"/>
      <c r="BG16" s="66"/>
      <c r="BH16" s="66"/>
      <c r="BI16" s="66"/>
      <c r="BJ16" s="66"/>
      <c r="BK16" s="66"/>
      <c r="BL16" s="66"/>
      <c r="BM16" s="66"/>
      <c r="BN16" s="66"/>
      <c r="BO16" s="66"/>
    </row>
    <row r="17" spans="1:104">
      <c r="A17" s="56">
        <v>14</v>
      </c>
      <c r="B17" s="57" t="s">
        <v>83</v>
      </c>
      <c r="C17" s="57" t="s">
        <v>84</v>
      </c>
      <c r="D17" s="57" t="s">
        <v>58</v>
      </c>
      <c r="E17" s="57" t="s">
        <v>58</v>
      </c>
      <c r="F17" s="58">
        <v>100</v>
      </c>
      <c r="G17" s="59">
        <v>103.5</v>
      </c>
      <c r="H17" s="60">
        <f t="shared" si="0"/>
        <v>10350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  <c r="AQ17" s="66"/>
      <c r="AR17" s="66"/>
      <c r="AS17" s="66"/>
      <c r="AT17" s="66"/>
      <c r="AU17" s="66"/>
      <c r="AV17" s="66"/>
      <c r="AW17" s="66"/>
      <c r="AX17" s="66"/>
      <c r="AY17" s="66"/>
      <c r="AZ17" s="66"/>
      <c r="BA17" s="66"/>
      <c r="BB17" s="66"/>
      <c r="BC17" s="66"/>
      <c r="BD17" s="66"/>
      <c r="BE17" s="66"/>
      <c r="BF17" s="66"/>
      <c r="BG17" s="66"/>
      <c r="BH17" s="66"/>
      <c r="BI17" s="66"/>
      <c r="BJ17" s="66"/>
      <c r="BK17" s="66"/>
      <c r="BL17" s="66"/>
      <c r="BM17" s="66"/>
      <c r="BN17" s="66"/>
      <c r="BO17" s="66"/>
    </row>
    <row r="18" spans="1:104" ht="15.75" thickBot="1">
      <c r="A18" s="61">
        <v>15</v>
      </c>
      <c r="B18" s="62" t="s">
        <v>85</v>
      </c>
      <c r="C18" s="62" t="s">
        <v>86</v>
      </c>
      <c r="D18" s="62" t="s">
        <v>58</v>
      </c>
      <c r="E18" s="62" t="s">
        <v>58</v>
      </c>
      <c r="F18" s="63">
        <v>85</v>
      </c>
      <c r="G18" s="64">
        <v>65.48</v>
      </c>
      <c r="H18" s="65">
        <f t="shared" si="0"/>
        <v>5565.8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/>
      <c r="AH18" s="66"/>
      <c r="AI18" s="66"/>
      <c r="AJ18" s="66"/>
      <c r="AK18" s="66"/>
      <c r="AL18" s="66"/>
      <c r="AM18" s="66"/>
      <c r="AN18" s="66"/>
      <c r="AO18" s="66"/>
      <c r="AP18" s="66"/>
      <c r="AQ18" s="66"/>
      <c r="AR18" s="66"/>
      <c r="AS18" s="66"/>
      <c r="AT18" s="66"/>
      <c r="AU18" s="66"/>
      <c r="AV18" s="66"/>
      <c r="AW18" s="66"/>
      <c r="AX18" s="66"/>
      <c r="AY18" s="66"/>
      <c r="AZ18" s="66"/>
      <c r="BA18" s="66"/>
      <c r="BB18" s="66"/>
      <c r="BC18" s="66"/>
      <c r="BD18" s="66"/>
      <c r="BE18" s="66"/>
      <c r="BF18" s="66"/>
      <c r="BG18" s="66"/>
      <c r="BH18" s="66"/>
      <c r="BI18" s="66"/>
      <c r="BJ18" s="66"/>
      <c r="BK18" s="66"/>
      <c r="BL18" s="66"/>
      <c r="BM18" s="66"/>
      <c r="BN18" s="66"/>
      <c r="BO18" s="66"/>
    </row>
    <row r="19" spans="1:104" ht="15.75" thickTop="1">
      <c r="A19" s="66"/>
      <c r="B19" s="275" t="s">
        <v>87</v>
      </c>
      <c r="C19" s="275"/>
      <c r="D19" s="275"/>
      <c r="E19" s="275"/>
      <c r="F19" s="275"/>
      <c r="G19" s="275"/>
      <c r="H19" s="17">
        <f>SUM(H4:H18)</f>
        <v>71856.759999999995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</row>
    <row r="20" spans="1:104">
      <c r="A20" s="67" t="s">
        <v>88</v>
      </c>
      <c r="B20" s="19"/>
      <c r="C20" s="19"/>
      <c r="D20" s="19"/>
      <c r="E20" s="19"/>
      <c r="F20" s="19"/>
      <c r="G20" s="19"/>
      <c r="H20" s="67"/>
      <c r="I20" s="75"/>
      <c r="J20" s="75"/>
      <c r="K20" s="75"/>
      <c r="L20" s="75"/>
      <c r="M20" s="75"/>
      <c r="N20" s="75"/>
      <c r="O20" s="75"/>
      <c r="P20" s="75"/>
      <c r="Q20" s="75"/>
      <c r="R20" s="67"/>
      <c r="S20" s="67"/>
      <c r="T20" s="67"/>
      <c r="U20" s="67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</row>
    <row r="21" spans="1:104" ht="15.75" thickBot="1">
      <c r="A21" s="276" t="s">
        <v>89</v>
      </c>
      <c r="B21" s="276"/>
      <c r="C21" s="20">
        <v>1</v>
      </c>
      <c r="D21" s="21" t="s">
        <v>210</v>
      </c>
      <c r="E21" s="19"/>
      <c r="F21" s="19"/>
      <c r="G21" s="19"/>
      <c r="H21" s="67"/>
      <c r="I21" s="75" t="s">
        <v>91</v>
      </c>
      <c r="J21" s="75" t="s">
        <v>92</v>
      </c>
      <c r="K21" s="75"/>
      <c r="L21" s="75" t="s">
        <v>93</v>
      </c>
      <c r="M21" s="75">
        <v>1</v>
      </c>
      <c r="N21" s="75"/>
      <c r="O21" s="75" t="s">
        <v>94</v>
      </c>
      <c r="P21" s="75">
        <v>2</v>
      </c>
      <c r="Q21" s="75" t="s">
        <v>95</v>
      </c>
      <c r="R21" s="67"/>
      <c r="S21" s="67"/>
      <c r="T21" s="67"/>
      <c r="U21" s="67"/>
      <c r="V21">
        <v>1</v>
      </c>
      <c r="W21" s="67" t="s">
        <v>211</v>
      </c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</row>
    <row r="22" spans="1:104" ht="58.5" thickTop="1" thickBot="1">
      <c r="A22" s="96" t="s">
        <v>155</v>
      </c>
      <c r="B22" s="96" t="s">
        <v>49</v>
      </c>
      <c r="C22" s="96" t="s">
        <v>156</v>
      </c>
      <c r="D22" s="96" t="s">
        <v>51</v>
      </c>
      <c r="E22" s="96" t="s">
        <v>52</v>
      </c>
      <c r="F22" s="96" t="s">
        <v>53</v>
      </c>
      <c r="G22" s="96" t="s">
        <v>54</v>
      </c>
      <c r="H22" s="96" t="s">
        <v>55</v>
      </c>
      <c r="I22" s="98" t="s">
        <v>97</v>
      </c>
      <c r="J22" s="98" t="s">
        <v>99</v>
      </c>
      <c r="K22" s="98" t="s">
        <v>98</v>
      </c>
      <c r="L22" s="250" t="s">
        <v>100</v>
      </c>
      <c r="M22" s="250" t="s">
        <v>101</v>
      </c>
      <c r="N22" s="250" t="s">
        <v>104</v>
      </c>
      <c r="O22" s="250" t="s">
        <v>105</v>
      </c>
      <c r="P22" s="250" t="s">
        <v>102</v>
      </c>
      <c r="Q22" s="250" t="s">
        <v>103</v>
      </c>
      <c r="R22" s="98" t="s">
        <v>106</v>
      </c>
      <c r="S22" s="96" t="s">
        <v>158</v>
      </c>
      <c r="T22" s="96" t="s">
        <v>108</v>
      </c>
      <c r="U22" s="102" t="s">
        <v>159</v>
      </c>
      <c r="V22" s="102" t="s">
        <v>110</v>
      </c>
      <c r="W22" s="102" t="s">
        <v>111</v>
      </c>
      <c r="X22" s="102" t="s">
        <v>112</v>
      </c>
      <c r="Y22" s="38" t="s">
        <v>212</v>
      </c>
      <c r="Z22" s="38" t="s">
        <v>213</v>
      </c>
      <c r="AA22" s="38" t="s">
        <v>214</v>
      </c>
      <c r="AB22" s="38" t="s">
        <v>113</v>
      </c>
      <c r="AC22" s="104" t="s">
        <v>114</v>
      </c>
      <c r="AD22" s="104" t="s">
        <v>115</v>
      </c>
      <c r="AE22" s="104" t="s">
        <v>116</v>
      </c>
      <c r="AF22" s="104" t="s">
        <v>117</v>
      </c>
      <c r="AG22" s="104" t="s">
        <v>118</v>
      </c>
      <c r="AH22" s="104" t="s">
        <v>119</v>
      </c>
      <c r="AI22" s="104" t="s">
        <v>120</v>
      </c>
      <c r="AJ22" s="104" t="s">
        <v>121</v>
      </c>
      <c r="AK22" s="104" t="s">
        <v>122</v>
      </c>
      <c r="AL22" s="104" t="s">
        <v>123</v>
      </c>
      <c r="AM22" s="104" t="s">
        <v>124</v>
      </c>
      <c r="AN22" s="104" t="s">
        <v>125</v>
      </c>
      <c r="AO22" s="104" t="s">
        <v>126</v>
      </c>
      <c r="AP22" s="104" t="s">
        <v>127</v>
      </c>
      <c r="AQ22" s="104" t="s">
        <v>128</v>
      </c>
      <c r="AR22" s="105" t="s">
        <v>160</v>
      </c>
      <c r="AS22" s="3" t="s">
        <v>215</v>
      </c>
      <c r="AT22" s="3" t="s">
        <v>128</v>
      </c>
      <c r="AU22" s="82" t="s">
        <v>131</v>
      </c>
      <c r="AV22" s="82" t="s">
        <v>132</v>
      </c>
      <c r="AW22" s="82" t="s">
        <v>133</v>
      </c>
      <c r="AX22" s="82" t="s">
        <v>134</v>
      </c>
      <c r="AY22" s="82" t="s">
        <v>135</v>
      </c>
      <c r="AZ22" s="82" t="s">
        <v>136</v>
      </c>
      <c r="BA22" s="82" t="s">
        <v>137</v>
      </c>
      <c r="BB22" s="82" t="s">
        <v>138</v>
      </c>
      <c r="BC22" s="84" t="s">
        <v>139</v>
      </c>
      <c r="BD22" s="84" t="s">
        <v>8</v>
      </c>
      <c r="BE22" s="84" t="s">
        <v>9</v>
      </c>
      <c r="BF22" s="82" t="s">
        <v>216</v>
      </c>
      <c r="BG22" s="82" t="s">
        <v>140</v>
      </c>
      <c r="BH22" s="82" t="s">
        <v>141</v>
      </c>
      <c r="BI22" s="82" t="s">
        <v>142</v>
      </c>
      <c r="BJ22" s="82" t="s">
        <v>143</v>
      </c>
      <c r="BK22" s="82" t="s">
        <v>144</v>
      </c>
      <c r="BL22" s="82" t="s">
        <v>217</v>
      </c>
      <c r="BM22" s="47" t="s">
        <v>218</v>
      </c>
      <c r="BN22" s="82" t="s">
        <v>219</v>
      </c>
      <c r="BO22" s="82" t="s">
        <v>136</v>
      </c>
      <c r="BP22" s="82" t="s">
        <v>220</v>
      </c>
      <c r="BQ22" s="82" t="s">
        <v>108</v>
      </c>
      <c r="BR22" s="251" t="s">
        <v>513</v>
      </c>
      <c r="BS22" s="251" t="s">
        <v>502</v>
      </c>
      <c r="BT22" s="251" t="s">
        <v>514</v>
      </c>
      <c r="BU22" s="251" t="s">
        <v>515</v>
      </c>
      <c r="BV22" s="251" t="s">
        <v>503</v>
      </c>
      <c r="BW22" s="251" t="s">
        <v>504</v>
      </c>
      <c r="BX22" s="251" t="s">
        <v>505</v>
      </c>
      <c r="BY22" s="251" t="s">
        <v>506</v>
      </c>
      <c r="BZ22" s="252" t="s">
        <v>621</v>
      </c>
      <c r="CA22" s="247" t="s">
        <v>53</v>
      </c>
      <c r="CB22" s="247" t="s">
        <v>620</v>
      </c>
      <c r="CC22" s="247" t="s">
        <v>618</v>
      </c>
      <c r="CD22" s="247" t="s">
        <v>619</v>
      </c>
      <c r="CE22" s="247" t="s">
        <v>622</v>
      </c>
      <c r="CF22" s="247" t="s">
        <v>623</v>
      </c>
      <c r="CG22" s="247" t="s">
        <v>624</v>
      </c>
      <c r="CH22" s="247" t="s">
        <v>626</v>
      </c>
      <c r="CI22" s="247" t="s">
        <v>645</v>
      </c>
      <c r="CJ22" s="247" t="s">
        <v>646</v>
      </c>
      <c r="CK22" s="247" t="s">
        <v>629</v>
      </c>
      <c r="CL22" s="247" t="s">
        <v>630</v>
      </c>
      <c r="CM22" s="247" t="s">
        <v>639</v>
      </c>
      <c r="CN22" s="247" t="s">
        <v>640</v>
      </c>
      <c r="CO22" s="247" t="s">
        <v>641</v>
      </c>
      <c r="CP22" s="247" t="s">
        <v>631</v>
      </c>
      <c r="CQ22" s="247" t="s">
        <v>632</v>
      </c>
      <c r="CR22" s="247" t="s">
        <v>642</v>
      </c>
      <c r="CS22" s="247" t="s">
        <v>643</v>
      </c>
      <c r="CT22" s="247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</row>
    <row r="23" spans="1:104" ht="15.75" thickBot="1">
      <c r="A23" s="68">
        <v>1</v>
      </c>
      <c r="B23" s="68" t="s">
        <v>507</v>
      </c>
      <c r="C23" s="68" t="s">
        <v>162</v>
      </c>
      <c r="D23" s="68" t="s">
        <v>58</v>
      </c>
      <c r="E23" s="68" t="s">
        <v>163</v>
      </c>
      <c r="F23" s="69">
        <v>1</v>
      </c>
      <c r="G23" t="s">
        <v>562</v>
      </c>
      <c r="H23" s="69">
        <f>F23*G23</f>
        <v>4500</v>
      </c>
      <c r="I23">
        <v>0</v>
      </c>
      <c r="J23" s="69">
        <v>0</v>
      </c>
      <c r="K23" s="69">
        <v>0</v>
      </c>
      <c r="L23" s="69">
        <f>H23</f>
        <v>4500</v>
      </c>
      <c r="M23" s="69">
        <f>ROUND(L23*I23%,2)</f>
        <v>0</v>
      </c>
      <c r="N23" s="69">
        <f>H23-M23</f>
        <v>4500</v>
      </c>
      <c r="O23" s="69">
        <f>ROUND(N23*J23%,2)</f>
        <v>0</v>
      </c>
      <c r="P23" s="69">
        <f>ROUND(N23-O23,2)</f>
        <v>4500</v>
      </c>
      <c r="Q23" s="69">
        <f>ROUND(P23*K23%,2)</f>
        <v>0</v>
      </c>
      <c r="R23" s="69">
        <f>ROUND((M23+O23+Q23),2)</f>
        <v>0</v>
      </c>
      <c r="S23" s="69">
        <f>ROUND((H23-R23),2)</f>
        <v>4500</v>
      </c>
      <c r="T23" s="89" t="s">
        <v>146</v>
      </c>
      <c r="U23" s="79">
        <v>0.18</v>
      </c>
      <c r="V23" s="69">
        <f>IF(OR($C$21=1,$C$21=4),ROUND(((S23*U23)/2),2),0)</f>
        <v>405</v>
      </c>
      <c r="W23" s="69">
        <f>IF($C$21=1,ROUND(((S23*U23)/2),2),0)</f>
        <v>405</v>
      </c>
      <c r="X23" s="69">
        <f>IF($C$21=2,ROUND(((S23*U23)),2),0)</f>
        <v>0</v>
      </c>
      <c r="Y23" s="69">
        <f>IF($C$21=4,ROUND(((S23*U23)/2),2),0)</f>
        <v>0</v>
      </c>
      <c r="Z23" s="109">
        <v>0</v>
      </c>
      <c r="AA23" s="69">
        <f>IF($C19=3, 0, ROUND(S23*Z23, 2))</f>
        <v>0</v>
      </c>
      <c r="AB23" s="68">
        <f>V23+W23+X23+Y23+AA23</f>
        <v>810</v>
      </c>
      <c r="AC23" s="68">
        <f>IF($V21=1,S23+AB23,S23)</f>
        <v>5310</v>
      </c>
      <c r="AD23" s="89">
        <v>120</v>
      </c>
      <c r="AE23" s="89">
        <f>IF($P$21=1,(S23/$S$24)*$E$35,AD23/$AD$24*$E$35)</f>
        <v>0</v>
      </c>
      <c r="AF23" s="89"/>
      <c r="AG23" s="89">
        <f>IF($P$21=1,(S23/$S$24)*$E$37,AD23/$AD$24*$E$37)</f>
        <v>0</v>
      </c>
      <c r="AH23" s="89">
        <f>IF($P$21=1,(S23/$S$24)*$E$38,AD23/$AD$24*$E$38)</f>
        <v>0</v>
      </c>
      <c r="AI23" s="89">
        <f>S23*$M$21</f>
        <v>4500</v>
      </c>
      <c r="AJ23" s="89">
        <f>IF($C$21=3,0,AG23+AH23)</f>
        <v>0</v>
      </c>
      <c r="AK23" s="89">
        <f>IF($C$21=3,AE23+AG23+AH23,0)</f>
        <v>0</v>
      </c>
      <c r="AL23" s="108">
        <v>1</v>
      </c>
      <c r="AM23" s="89">
        <f>F23/AL23</f>
        <v>1</v>
      </c>
      <c r="AN23" s="89">
        <f>ROUND(AI23/AM23,5)</f>
        <v>4500</v>
      </c>
      <c r="AO23" s="89">
        <f>AJ23/AM23</f>
        <v>0</v>
      </c>
      <c r="AP23" s="89">
        <f>AK23/AM23</f>
        <v>0</v>
      </c>
      <c r="AQ23" s="89" t="s">
        <v>58</v>
      </c>
      <c r="AR23" s="89">
        <f>AN23+AO23+AP23</f>
        <v>4500</v>
      </c>
      <c r="AS23" s="83" t="s">
        <v>518</v>
      </c>
      <c r="AT23" s="83" t="s">
        <v>58</v>
      </c>
      <c r="AU23" t="s">
        <v>239</v>
      </c>
      <c r="AV23" t="s">
        <v>530</v>
      </c>
      <c r="AW23" s="83">
        <f>AM23</f>
        <v>1</v>
      </c>
      <c r="AX23" s="83">
        <f>AR23</f>
        <v>4500</v>
      </c>
      <c r="AY23" s="83">
        <f>AU23+AW23</f>
        <v>1</v>
      </c>
      <c r="AZ23" s="83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83"/>
      <c r="BJ23" s="83"/>
      <c r="BK23" s="83"/>
      <c r="BL23" s="111" t="s">
        <v>520</v>
      </c>
      <c r="BM23" t="s">
        <v>531</v>
      </c>
      <c r="BN23" t="s">
        <v>532</v>
      </c>
      <c r="BO23" s="83">
        <f>ROUND((((AW23*AZ23)+(BN23*BM23))/(AW23+BN23)),5)</f>
        <v>494.17237999999998</v>
      </c>
      <c r="BP23" s="87">
        <f>BN23+AW23</f>
        <v>186</v>
      </c>
      <c r="BQ23" s="88">
        <v>88363222</v>
      </c>
      <c r="BR23" s="253" t="s">
        <v>525</v>
      </c>
      <c r="BS23" s="253" t="s">
        <v>508</v>
      </c>
      <c r="BT23" s="253">
        <v>10100</v>
      </c>
      <c r="BU23" s="253" t="s">
        <v>526</v>
      </c>
      <c r="BV23" s="254" t="s">
        <v>527</v>
      </c>
      <c r="BW23" s="253" t="s">
        <v>509</v>
      </c>
      <c r="BX23" s="194" t="s">
        <v>510</v>
      </c>
      <c r="BY23" s="253">
        <v>450</v>
      </c>
      <c r="BZ23" s="253" t="s">
        <v>615</v>
      </c>
      <c r="CA23" s="255">
        <v>60</v>
      </c>
      <c r="CB23" s="253" t="s">
        <v>658</v>
      </c>
      <c r="CC23">
        <f>SUMIF(BZ23:BZ23,"RAW MATERIAL",S23:S23)</f>
        <v>4500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  <c r="CU23">
        <f>CD26</f>
        <v>5310</v>
      </c>
      <c r="CV23">
        <v>0</v>
      </c>
      <c r="CW23">
        <v>0</v>
      </c>
      <c r="CX23">
        <f>CU23+CD27</f>
        <v>5310</v>
      </c>
      <c r="CY23">
        <v>0</v>
      </c>
      <c r="CZ23">
        <f>CU23</f>
        <v>5310</v>
      </c>
    </row>
    <row r="24" spans="1:104" ht="15.75" thickBot="1">
      <c r="A24" s="66"/>
      <c r="C24" s="97" t="s">
        <v>87</v>
      </c>
      <c r="D24" s="29"/>
      <c r="E24" s="29"/>
      <c r="F24" s="29"/>
      <c r="G24" s="30"/>
      <c r="H24" s="71">
        <f>SUM(H23:H23)</f>
        <v>4500</v>
      </c>
      <c r="I24" s="68"/>
      <c r="J24" s="68"/>
      <c r="K24" s="68"/>
      <c r="L24" s="68"/>
      <c r="M24" s="68"/>
      <c r="N24" s="68"/>
      <c r="O24" s="68"/>
      <c r="P24" s="68"/>
      <c r="Q24" s="68"/>
      <c r="R24" s="71">
        <f>SUM(R23:R23)</f>
        <v>0</v>
      </c>
      <c r="S24" s="71">
        <f>SUM(S23:S23)</f>
        <v>4500</v>
      </c>
      <c r="T24" s="71"/>
      <c r="U24" s="71"/>
      <c r="V24" s="77">
        <f t="shared" ref="V24:AE24" si="1">SUM(V23:V23)</f>
        <v>405</v>
      </c>
      <c r="W24" s="77">
        <f t="shared" si="1"/>
        <v>405</v>
      </c>
      <c r="X24" s="77">
        <f t="shared" si="1"/>
        <v>0</v>
      </c>
      <c r="Y24" s="77">
        <f t="shared" si="1"/>
        <v>0</v>
      </c>
      <c r="Z24" s="110">
        <f t="shared" si="1"/>
        <v>0</v>
      </c>
      <c r="AA24" s="77">
        <f t="shared" si="1"/>
        <v>0</v>
      </c>
      <c r="AB24" s="71">
        <f t="shared" si="1"/>
        <v>810</v>
      </c>
      <c r="AC24" s="80">
        <f t="shared" si="1"/>
        <v>5310</v>
      </c>
      <c r="AD24" s="81">
        <f t="shared" si="1"/>
        <v>120</v>
      </c>
      <c r="AE24" s="81">
        <f t="shared" si="1"/>
        <v>0</v>
      </c>
      <c r="AF24" s="80"/>
      <c r="AG24" s="81">
        <f>SUM(AG23:AG23)</f>
        <v>0</v>
      </c>
      <c r="AH24" s="81">
        <f>IF($P$21=1,(S24/$S$24)*$E$38,AD24/$AD$24*$E$38)</f>
        <v>0</v>
      </c>
      <c r="AI24" s="81">
        <f>SUM(AI23:AI23)</f>
        <v>4500</v>
      </c>
      <c r="AJ24" s="81">
        <f>SUM(AJ23:AJ23)</f>
        <v>0</v>
      </c>
      <c r="AK24" s="81">
        <f>SUM(AK23:AK23)</f>
        <v>0</v>
      </c>
      <c r="AL24" s="80"/>
      <c r="AM24" s="80"/>
      <c r="AN24" s="80"/>
      <c r="AO24" s="80"/>
      <c r="AP24" s="80"/>
      <c r="AQ24" s="80"/>
      <c r="AR24" s="80"/>
      <c r="AS24" s="66"/>
      <c r="AT24" s="66">
        <f>IF(AC24-INT(AC24) &gt;= 0.5, INT(AC24)+1, INT(AC24))</f>
        <v>5310</v>
      </c>
      <c r="AU24">
        <f>AT24-AC24</f>
        <v>0</v>
      </c>
      <c r="AW24" s="66">
        <f>SUMIF(BX23:BX23,"Item",S23:S23)</f>
        <v>0</v>
      </c>
      <c r="AX24" s="66">
        <f>SUMIF(BX23:BX23,"Exp.",S23:S23)</f>
        <v>0</v>
      </c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66"/>
      <c r="BJ24" s="66"/>
      <c r="BK24" s="66"/>
      <c r="BL24" s="66"/>
      <c r="BM24" s="66"/>
      <c r="BN24" s="66"/>
      <c r="BO24" s="66"/>
      <c r="CB24" s="253" t="s">
        <v>616</v>
      </c>
      <c r="CC24">
        <f>V24</f>
        <v>405</v>
      </c>
      <c r="CD24">
        <v>0</v>
      </c>
    </row>
    <row r="25" spans="1:104" ht="15.75" thickBo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66"/>
      <c r="BJ25" s="66"/>
      <c r="BK25" s="66"/>
      <c r="BL25" s="66"/>
      <c r="BM25" s="66"/>
      <c r="BN25" s="66"/>
      <c r="BO25" s="66"/>
      <c r="CB25" s="253" t="s">
        <v>617</v>
      </c>
      <c r="CC25">
        <f>W24</f>
        <v>405</v>
      </c>
      <c r="CD25" s="256">
        <v>0</v>
      </c>
    </row>
    <row r="26" spans="1:104" ht="15.75" thickBot="1">
      <c r="A26" s="66"/>
      <c r="B26" s="66"/>
      <c r="C26" s="66"/>
      <c r="D26" s="66"/>
      <c r="E26" s="66"/>
      <c r="F26" s="66"/>
      <c r="G26" s="277" t="s">
        <v>194</v>
      </c>
      <c r="H26" s="278"/>
      <c r="I26" s="280">
        <f>H24</f>
        <v>4500</v>
      </c>
      <c r="J26" s="280"/>
      <c r="K26" s="100"/>
      <c r="L26" s="66"/>
      <c r="M26" s="283" t="s">
        <v>195</v>
      </c>
      <c r="N26" s="284"/>
      <c r="O26" s="284"/>
      <c r="P26" s="285"/>
      <c r="Q26" s="66"/>
      <c r="R26" s="66"/>
      <c r="S26" s="66"/>
      <c r="T26" s="66"/>
      <c r="U26" s="66"/>
      <c r="V26" s="66"/>
      <c r="W26" s="66"/>
      <c r="X26" s="66"/>
      <c r="Y26" s="66"/>
      <c r="Z26" s="66"/>
      <c r="AA26" s="66"/>
      <c r="AB26" s="66"/>
      <c r="AC26" s="66"/>
      <c r="AD26" s="66"/>
      <c r="AE26" s="66"/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 t="s">
        <v>374</v>
      </c>
      <c r="BI26" s="135" t="s">
        <v>375</v>
      </c>
      <c r="BJ26" s="66"/>
      <c r="BK26" s="66"/>
      <c r="BL26" s="66"/>
      <c r="BM26" s="66"/>
      <c r="BN26" s="66"/>
      <c r="BO26" s="66"/>
      <c r="CB26" s="253" t="s">
        <v>659</v>
      </c>
      <c r="CC26">
        <v>0</v>
      </c>
      <c r="CD26">
        <f>AC24</f>
        <v>5310</v>
      </c>
    </row>
    <row r="27" spans="1:104" ht="15.75" thickBot="1">
      <c r="A27" s="66"/>
      <c r="B27" s="66"/>
      <c r="C27" s="66"/>
      <c r="D27" s="66"/>
      <c r="E27" s="66"/>
      <c r="F27" s="66"/>
      <c r="G27" s="277" t="s">
        <v>196</v>
      </c>
      <c r="H27" s="278"/>
      <c r="I27" s="280">
        <f>R24</f>
        <v>0</v>
      </c>
      <c r="J27" s="280"/>
      <c r="K27" s="66"/>
      <c r="L27" s="66"/>
      <c r="M27" s="101">
        <v>1</v>
      </c>
      <c r="N27" s="101" t="s">
        <v>58</v>
      </c>
      <c r="O27" s="101">
        <v>2</v>
      </c>
      <c r="P27" s="101" t="s">
        <v>163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 t="s">
        <v>376</v>
      </c>
      <c r="BI27" s="135" t="s">
        <v>377</v>
      </c>
      <c r="BJ27" s="66"/>
      <c r="BK27" s="66"/>
      <c r="BL27" s="66"/>
      <c r="BM27" s="66"/>
      <c r="BN27" s="66"/>
      <c r="BO27" s="66"/>
    </row>
    <row r="28" spans="1:104" ht="15.75" thickBot="1">
      <c r="A28" s="66"/>
      <c r="B28" s="66"/>
      <c r="C28" s="66"/>
      <c r="D28" s="66"/>
      <c r="E28" s="66"/>
      <c r="F28" s="66"/>
      <c r="G28" s="277" t="s">
        <v>197</v>
      </c>
      <c r="H28" s="278"/>
      <c r="I28" s="280">
        <f>S24</f>
        <v>4500</v>
      </c>
      <c r="J28" s="280"/>
      <c r="K28" s="66"/>
      <c r="L28" s="66"/>
      <c r="M28" s="68">
        <v>1</v>
      </c>
      <c r="N28" s="68" t="s">
        <v>58</v>
      </c>
      <c r="O28" s="68">
        <v>2.5</v>
      </c>
      <c r="P28" s="68" t="s">
        <v>176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</row>
    <row r="29" spans="1:104" ht="15.75" thickBot="1">
      <c r="A29" s="66"/>
      <c r="B29" s="66"/>
      <c r="C29" s="66"/>
      <c r="D29" s="66"/>
      <c r="E29" s="66"/>
      <c r="F29" s="66"/>
      <c r="G29" s="277" t="s">
        <v>198</v>
      </c>
      <c r="H29" s="278"/>
      <c r="I29" s="280">
        <f>AB24</f>
        <v>810</v>
      </c>
      <c r="J29" s="280"/>
      <c r="K29" s="66"/>
      <c r="L29" s="66"/>
      <c r="M29" s="68">
        <v>1</v>
      </c>
      <c r="N29" s="68" t="s">
        <v>163</v>
      </c>
      <c r="O29" s="68">
        <v>1E-3</v>
      </c>
      <c r="P29" s="68" t="s">
        <v>185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</row>
    <row r="30" spans="1:104" ht="15.75" thickBot="1">
      <c r="A30" s="66"/>
      <c r="B30" s="66"/>
      <c r="C30" s="66"/>
      <c r="D30" s="66"/>
      <c r="E30" s="66"/>
      <c r="F30" s="66"/>
      <c r="G30" s="277" t="s">
        <v>199</v>
      </c>
      <c r="H30" s="278"/>
      <c r="I30" s="279">
        <f>I28+I29</f>
        <v>5310</v>
      </c>
      <c r="J30" s="279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</row>
    <row r="31" spans="1:104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6"/>
      <c r="AB31" s="66"/>
      <c r="AC31" s="66"/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66"/>
      <c r="BJ31" s="66"/>
      <c r="BK31" s="66"/>
      <c r="BL31" s="66"/>
      <c r="BM31" s="66" t="s">
        <v>378</v>
      </c>
      <c r="BN31" s="66" t="s">
        <v>379</v>
      </c>
      <c r="BO31" s="66"/>
    </row>
    <row r="32" spans="1:104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  <c r="AA32" s="66"/>
      <c r="AB32" s="66"/>
      <c r="AC32" s="66"/>
      <c r="AD32" s="66"/>
      <c r="AE32" s="66"/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/>
      <c r="BJ32" s="66"/>
      <c r="BK32" s="66" t="s">
        <v>380</v>
      </c>
      <c r="BL32" s="66">
        <v>12.5</v>
      </c>
      <c r="BM32" s="66">
        <f>BL34*BL35</f>
        <v>18277.77</v>
      </c>
      <c r="BN32" s="66">
        <f>BL32*BL33</f>
        <v>6092.59</v>
      </c>
      <c r="BO32" s="66"/>
    </row>
    <row r="33" spans="1:67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66"/>
      <c r="BJ33" s="66"/>
      <c r="BK33" s="66" t="s">
        <v>381</v>
      </c>
      <c r="BL33" s="66">
        <v>487.40719999999999</v>
      </c>
      <c r="BM33" s="66">
        <f>BL32+BL34</f>
        <v>50</v>
      </c>
      <c r="BN33" s="66"/>
      <c r="BO33" s="66"/>
    </row>
    <row r="34" spans="1:67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  <c r="AA34" s="66"/>
      <c r="AB34" s="66"/>
      <c r="AC34" s="66"/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 t="s">
        <v>382</v>
      </c>
      <c r="BL34" s="66">
        <v>37.5</v>
      </c>
      <c r="BM34" s="66"/>
      <c r="BN34" s="66"/>
      <c r="BO34" s="66"/>
    </row>
    <row r="35" spans="1:67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  <c r="AA35" s="66"/>
      <c r="AB35" s="66"/>
      <c r="AC35" s="66"/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 t="s">
        <v>383</v>
      </c>
      <c r="BL35" s="66">
        <v>487.40719999999999</v>
      </c>
      <c r="BM35" s="66"/>
      <c r="BN35" s="66"/>
      <c r="BO35" s="66"/>
    </row>
    <row r="36" spans="1:67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>
        <f>BM32+BN32</f>
        <v>24370.36</v>
      </c>
      <c r="BN36" s="66">
        <f>BM36/BM33</f>
        <v>487.40719999999999</v>
      </c>
      <c r="BO36" s="66"/>
    </row>
    <row r="37" spans="1:67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  <c r="AA37" s="66"/>
      <c r="AB37" s="66"/>
      <c r="AC37" s="66"/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66"/>
      <c r="BJ37" s="66"/>
      <c r="BK37" s="66"/>
      <c r="BL37" s="66"/>
      <c r="BM37" s="66"/>
      <c r="BN37" s="66"/>
      <c r="BO37" s="66"/>
    </row>
    <row r="38" spans="1:67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</row>
  </sheetData>
  <mergeCells count="14">
    <mergeCell ref="G29:H29"/>
    <mergeCell ref="I29:J29"/>
    <mergeCell ref="G30:H30"/>
    <mergeCell ref="I30:J30"/>
    <mergeCell ref="G27:H27"/>
    <mergeCell ref="I27:J27"/>
    <mergeCell ref="G28:H28"/>
    <mergeCell ref="I28:J28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ER38"/>
  <sheetViews>
    <sheetView topLeftCell="EG13" workbookViewId="0">
      <selection activeCell="D27" sqref="D27"/>
    </sheetView>
  </sheetViews>
  <sheetFormatPr defaultColWidth="9" defaultRowHeight="15"/>
  <cols>
    <col min="2" max="2" width="36.57031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136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R1" s="301" t="s">
        <v>154</v>
      </c>
      <c r="BS1" s="301"/>
      <c r="BT1" s="301"/>
      <c r="BU1" s="301"/>
      <c r="BV1" s="301"/>
      <c r="BW1" s="301"/>
      <c r="BX1" s="301"/>
      <c r="BY1" s="301"/>
      <c r="BZ1" s="301"/>
      <c r="CA1" s="301"/>
      <c r="CB1" s="301"/>
      <c r="CC1" s="301"/>
      <c r="CD1" s="301"/>
      <c r="CE1" s="301"/>
      <c r="CF1" s="301"/>
      <c r="CG1" s="301"/>
      <c r="CH1" s="301"/>
      <c r="CI1" s="301"/>
      <c r="CJ1" s="301"/>
      <c r="CK1" s="301"/>
      <c r="CL1" s="301"/>
      <c r="CM1" s="301"/>
      <c r="CN1" s="301"/>
      <c r="CO1" s="301"/>
      <c r="CP1" s="301"/>
      <c r="CQ1" s="301"/>
      <c r="CR1" s="301"/>
      <c r="CS1" s="301"/>
      <c r="CT1" s="301"/>
      <c r="CU1" s="136"/>
      <c r="CV1" s="136"/>
      <c r="CW1" s="136"/>
      <c r="CX1" s="136"/>
      <c r="CY1" s="136"/>
      <c r="CZ1" s="136"/>
      <c r="DA1" s="136"/>
      <c r="DB1" s="136"/>
      <c r="DC1" s="136"/>
      <c r="DD1" s="136"/>
      <c r="DE1" s="136"/>
      <c r="DF1" s="136"/>
      <c r="DG1" s="136"/>
      <c r="DH1" s="136"/>
      <c r="DI1" s="137"/>
      <c r="DJ1" s="137"/>
      <c r="DK1" s="137"/>
      <c r="DL1" s="137"/>
      <c r="DM1" s="137"/>
      <c r="DN1" s="137"/>
      <c r="DO1" s="137"/>
      <c r="DP1" s="137"/>
      <c r="DQ1" s="137"/>
      <c r="DR1" s="137"/>
      <c r="DS1" s="137"/>
      <c r="DT1" s="137"/>
      <c r="DU1" s="137"/>
      <c r="DV1" s="137"/>
      <c r="DW1" s="137"/>
      <c r="DX1" s="137"/>
      <c r="DY1" s="137"/>
      <c r="DZ1" s="137"/>
      <c r="EA1" s="137"/>
      <c r="EB1" s="137"/>
      <c r="EC1" s="137"/>
      <c r="ED1" s="137"/>
      <c r="EE1" s="137"/>
      <c r="EF1" s="137"/>
    </row>
    <row r="2" spans="1:136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R2" s="138" t="s">
        <v>47</v>
      </c>
      <c r="BS2" s="138"/>
      <c r="BT2" s="138"/>
      <c r="BU2" s="138"/>
      <c r="BV2" s="138"/>
      <c r="BW2" s="138"/>
      <c r="BX2" s="138"/>
      <c r="BY2" s="138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  <c r="DF2" s="137"/>
      <c r="DG2" s="137"/>
      <c r="DH2" s="137"/>
      <c r="DI2" s="137"/>
      <c r="DJ2" s="137"/>
      <c r="DK2" s="137"/>
      <c r="DL2" s="137"/>
      <c r="DM2" s="137"/>
      <c r="DN2" s="137"/>
      <c r="DO2" s="137"/>
      <c r="DP2" s="137"/>
      <c r="DQ2" s="137"/>
      <c r="DR2" s="137"/>
      <c r="DS2" s="137"/>
      <c r="DT2" s="137"/>
      <c r="DU2" s="137"/>
      <c r="DV2" s="137"/>
      <c r="DW2" s="137"/>
      <c r="DX2" s="137"/>
      <c r="DY2" s="137"/>
      <c r="DZ2" s="137"/>
      <c r="EA2" s="137"/>
      <c r="EB2" s="137"/>
      <c r="EC2" s="137"/>
      <c r="ED2" s="137"/>
      <c r="EE2" s="137"/>
      <c r="EF2" s="137"/>
    </row>
    <row r="3" spans="1:136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R3" s="139" t="s">
        <v>48</v>
      </c>
      <c r="BS3" s="140" t="s">
        <v>49</v>
      </c>
      <c r="BT3" s="141" t="s">
        <v>50</v>
      </c>
      <c r="BU3" s="140" t="s">
        <v>51</v>
      </c>
      <c r="BV3" s="140" t="s">
        <v>52</v>
      </c>
      <c r="BW3" s="140" t="s">
        <v>53</v>
      </c>
      <c r="BX3" s="140" t="s">
        <v>54</v>
      </c>
      <c r="BY3" s="142" t="s">
        <v>55</v>
      </c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  <c r="DF3" s="137"/>
      <c r="DG3" s="137"/>
      <c r="DH3" s="137"/>
      <c r="DI3" s="137"/>
      <c r="DJ3" s="137"/>
      <c r="DK3" s="137"/>
      <c r="DL3" s="137"/>
      <c r="DM3" s="137"/>
      <c r="DN3" s="137"/>
      <c r="DO3" s="137"/>
      <c r="DP3" s="137"/>
      <c r="DQ3" s="137"/>
      <c r="DR3" s="137"/>
      <c r="DS3" s="137"/>
      <c r="DT3" s="137"/>
      <c r="DU3" s="137"/>
      <c r="DV3" s="137"/>
      <c r="DW3" s="137"/>
      <c r="DX3" s="137"/>
      <c r="DY3" s="137"/>
      <c r="DZ3" s="137"/>
      <c r="EA3" s="137"/>
      <c r="EB3" s="137"/>
      <c r="EC3" s="137"/>
      <c r="ED3" s="137"/>
      <c r="EE3" s="137"/>
      <c r="EF3" s="137"/>
    </row>
    <row r="4" spans="1:136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R4" s="143">
        <v>1</v>
      </c>
      <c r="BS4" s="144" t="s">
        <v>56</v>
      </c>
      <c r="BT4" s="144" t="s">
        <v>57</v>
      </c>
      <c r="BU4" s="144" t="s">
        <v>58</v>
      </c>
      <c r="BV4" s="144" t="s">
        <v>58</v>
      </c>
      <c r="BW4" s="145">
        <v>25</v>
      </c>
      <c r="BX4" s="146">
        <v>257.63</v>
      </c>
      <c r="BY4" s="147">
        <f>BW4*BX4</f>
        <v>6440.75</v>
      </c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  <c r="DF4" s="137"/>
      <c r="DG4" s="137"/>
      <c r="DH4" s="137"/>
      <c r="DI4" s="137"/>
      <c r="DJ4" s="137"/>
      <c r="DK4" s="137"/>
      <c r="DL4" s="137"/>
      <c r="DM4" s="137"/>
      <c r="DN4" s="137"/>
      <c r="DO4" s="137"/>
      <c r="DP4" s="137"/>
      <c r="DQ4" s="137"/>
      <c r="DR4" s="137"/>
      <c r="DS4" s="137"/>
      <c r="DT4" s="137"/>
      <c r="DU4" s="137"/>
      <c r="DV4" s="137"/>
      <c r="DW4" s="137"/>
      <c r="DX4" s="137"/>
      <c r="DY4" s="137"/>
      <c r="DZ4" s="137"/>
      <c r="EA4" s="137"/>
      <c r="EB4" s="137"/>
      <c r="EC4" s="137"/>
      <c r="ED4" s="137"/>
      <c r="EE4" s="137"/>
      <c r="EF4" s="137"/>
    </row>
    <row r="5" spans="1:136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R5" s="143">
        <v>2</v>
      </c>
      <c r="BS5" s="144" t="s">
        <v>59</v>
      </c>
      <c r="BT5" s="144" t="s">
        <v>60</v>
      </c>
      <c r="BU5" s="144" t="s">
        <v>58</v>
      </c>
      <c r="BV5" s="144" t="s">
        <v>58</v>
      </c>
      <c r="BW5" s="145">
        <v>35</v>
      </c>
      <c r="BX5" s="146">
        <v>125.45</v>
      </c>
      <c r="BY5" s="147">
        <f>BW5*BX5</f>
        <v>4390.75</v>
      </c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  <c r="DF5" s="137"/>
      <c r="DG5" s="137"/>
      <c r="DH5" s="137"/>
      <c r="DI5" s="137"/>
      <c r="DJ5" s="137"/>
      <c r="DK5" s="137"/>
      <c r="DL5" s="137"/>
      <c r="DM5" s="137"/>
      <c r="DN5" s="137"/>
      <c r="DO5" s="137"/>
      <c r="DP5" s="137"/>
      <c r="DQ5" s="137"/>
      <c r="DR5" s="137"/>
      <c r="DS5" s="137"/>
      <c r="DT5" s="137"/>
      <c r="DU5" s="137"/>
      <c r="DV5" s="137"/>
      <c r="DW5" s="137"/>
      <c r="DX5" s="137"/>
      <c r="DY5" s="137"/>
      <c r="DZ5" s="137"/>
      <c r="EA5" s="137"/>
      <c r="EB5" s="137"/>
      <c r="EC5" s="137"/>
      <c r="ED5" s="137"/>
      <c r="EE5" s="137"/>
      <c r="EF5" s="137"/>
    </row>
    <row r="6" spans="1:136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R6" s="143">
        <v>3</v>
      </c>
      <c r="BS6" s="144" t="s">
        <v>61</v>
      </c>
      <c r="BT6" s="144" t="s">
        <v>62</v>
      </c>
      <c r="BU6" s="144" t="s">
        <v>58</v>
      </c>
      <c r="BV6" s="144" t="s">
        <v>58</v>
      </c>
      <c r="BW6" s="145">
        <v>45</v>
      </c>
      <c r="BX6" s="146">
        <v>125.36</v>
      </c>
      <c r="BY6" s="147">
        <f>BW6*BX6</f>
        <v>5641.2</v>
      </c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  <c r="DF6" s="137"/>
      <c r="DG6" s="137"/>
      <c r="DH6" s="137"/>
      <c r="DI6" s="137"/>
      <c r="DJ6" s="137"/>
      <c r="DK6" s="137"/>
      <c r="DL6" s="137"/>
      <c r="DM6" s="137"/>
      <c r="DN6" s="137"/>
      <c r="DO6" s="137"/>
      <c r="DP6" s="137"/>
      <c r="DQ6" s="137"/>
      <c r="DR6" s="137"/>
      <c r="DS6" s="137"/>
      <c r="DT6" s="137"/>
      <c r="DU6" s="137"/>
      <c r="DV6" s="137"/>
      <c r="DW6" s="137"/>
      <c r="DX6" s="137"/>
      <c r="DY6" s="137"/>
      <c r="DZ6" s="137"/>
      <c r="EA6" s="137"/>
      <c r="EB6" s="137"/>
      <c r="EC6" s="137"/>
      <c r="ED6" s="137"/>
      <c r="EE6" s="137"/>
      <c r="EF6" s="137"/>
    </row>
    <row r="7" spans="1:136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R7" s="143">
        <v>4</v>
      </c>
      <c r="BS7" s="144" t="s">
        <v>63</v>
      </c>
      <c r="BT7" s="144" t="s">
        <v>64</v>
      </c>
      <c r="BU7" s="144" t="s">
        <v>58</v>
      </c>
      <c r="BV7" s="144" t="s">
        <v>58</v>
      </c>
      <c r="BW7" s="145">
        <v>55</v>
      </c>
      <c r="BX7" s="146">
        <v>45.25</v>
      </c>
      <c r="BY7" s="147">
        <f t="shared" ref="BY7:BY18" si="1">BW7*BX7</f>
        <v>2488.75</v>
      </c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  <c r="DF7" s="137"/>
      <c r="DG7" s="137"/>
      <c r="DH7" s="137"/>
      <c r="DI7" s="137"/>
      <c r="DJ7" s="137"/>
      <c r="DK7" s="137"/>
      <c r="DL7" s="137"/>
      <c r="DM7" s="137"/>
      <c r="DN7" s="137"/>
      <c r="DO7" s="137"/>
      <c r="DP7" s="137"/>
      <c r="DQ7" s="137"/>
      <c r="DR7" s="137"/>
      <c r="DS7" s="137"/>
      <c r="DT7" s="137"/>
      <c r="DU7" s="137"/>
      <c r="DV7" s="137"/>
      <c r="DW7" s="137"/>
      <c r="DX7" s="137"/>
      <c r="DY7" s="137"/>
      <c r="DZ7" s="137"/>
      <c r="EA7" s="137"/>
      <c r="EB7" s="137"/>
      <c r="EC7" s="137"/>
      <c r="ED7" s="137"/>
      <c r="EE7" s="137"/>
      <c r="EF7" s="137"/>
    </row>
    <row r="8" spans="1:136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R8" s="143">
        <v>5</v>
      </c>
      <c r="BS8" s="144" t="s">
        <v>65</v>
      </c>
      <c r="BT8" s="144" t="s">
        <v>66</v>
      </c>
      <c r="BU8" s="144" t="s">
        <v>58</v>
      </c>
      <c r="BV8" s="144" t="s">
        <v>58</v>
      </c>
      <c r="BW8" s="145">
        <v>60</v>
      </c>
      <c r="BX8" s="146">
        <v>45.5</v>
      </c>
      <c r="BY8" s="147">
        <f t="shared" si="1"/>
        <v>2730</v>
      </c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  <c r="DF8" s="137"/>
      <c r="DG8" s="137"/>
      <c r="DH8" s="137"/>
      <c r="DI8" s="137"/>
      <c r="DJ8" s="137"/>
      <c r="DK8" s="137"/>
      <c r="DL8" s="137"/>
      <c r="DM8" s="137"/>
      <c r="DN8" s="137"/>
      <c r="DO8" s="137"/>
      <c r="DP8" s="137"/>
      <c r="DQ8" s="137"/>
      <c r="DR8" s="137"/>
      <c r="DS8" s="137"/>
      <c r="DT8" s="137"/>
      <c r="DU8" s="137"/>
      <c r="DV8" s="137"/>
      <c r="DW8" s="137"/>
      <c r="DX8" s="137"/>
      <c r="DY8" s="137"/>
      <c r="DZ8" s="137"/>
      <c r="EA8" s="137"/>
      <c r="EB8" s="137"/>
      <c r="EC8" s="137"/>
      <c r="ED8" s="137"/>
      <c r="EE8" s="137"/>
      <c r="EF8" s="137"/>
    </row>
    <row r="9" spans="1:136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R9" s="143">
        <v>6</v>
      </c>
      <c r="BS9" s="144" t="s">
        <v>67</v>
      </c>
      <c r="BT9" s="144" t="s">
        <v>68</v>
      </c>
      <c r="BU9" s="144" t="s">
        <v>58</v>
      </c>
      <c r="BV9" s="144" t="s">
        <v>58</v>
      </c>
      <c r="BW9" s="145">
        <v>75</v>
      </c>
      <c r="BX9" s="146">
        <v>125.25</v>
      </c>
      <c r="BY9" s="147">
        <f t="shared" si="1"/>
        <v>9393.75</v>
      </c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  <c r="DF9" s="137"/>
      <c r="DG9" s="137"/>
      <c r="DH9" s="137"/>
      <c r="DI9" s="137"/>
      <c r="DJ9" s="137"/>
      <c r="DK9" s="137"/>
      <c r="DL9" s="137"/>
      <c r="DM9" s="137"/>
      <c r="DN9" s="137"/>
      <c r="DO9" s="137"/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7"/>
      <c r="EC9" s="137"/>
      <c r="ED9" s="137"/>
      <c r="EE9" s="137"/>
      <c r="EF9" s="137"/>
    </row>
    <row r="10" spans="1:136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R10" s="143">
        <v>7</v>
      </c>
      <c r="BS10" s="144" t="s">
        <v>69</v>
      </c>
      <c r="BT10" s="144" t="s">
        <v>70</v>
      </c>
      <c r="BU10" s="144" t="s">
        <v>58</v>
      </c>
      <c r="BV10" s="144" t="s">
        <v>58</v>
      </c>
      <c r="BW10" s="145">
        <v>28</v>
      </c>
      <c r="BX10" s="146">
        <v>150.5</v>
      </c>
      <c r="BY10" s="147">
        <f t="shared" si="1"/>
        <v>4214</v>
      </c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  <c r="DF10" s="137"/>
      <c r="DG10" s="137"/>
      <c r="DH10" s="137"/>
      <c r="DI10" s="137"/>
      <c r="DJ10" s="137"/>
      <c r="DK10" s="137"/>
      <c r="DL10" s="137"/>
      <c r="DM10" s="137"/>
      <c r="DN10" s="137"/>
      <c r="DO10" s="137"/>
      <c r="DP10" s="137"/>
      <c r="DQ10" s="137"/>
      <c r="DR10" s="137"/>
      <c r="DS10" s="137"/>
      <c r="DT10" s="137"/>
      <c r="DU10" s="137"/>
      <c r="DV10" s="137"/>
      <c r="DW10" s="137"/>
      <c r="DX10" s="137"/>
      <c r="DY10" s="137"/>
      <c r="DZ10" s="137"/>
      <c r="EA10" s="137"/>
      <c r="EB10" s="137"/>
      <c r="EC10" s="137"/>
      <c r="ED10" s="137"/>
      <c r="EE10" s="137"/>
      <c r="EF10" s="137"/>
    </row>
    <row r="11" spans="1:136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R11" s="143">
        <v>8</v>
      </c>
      <c r="BS11" s="144" t="s">
        <v>71</v>
      </c>
      <c r="BT11" s="144" t="s">
        <v>72</v>
      </c>
      <c r="BU11" s="144" t="s">
        <v>58</v>
      </c>
      <c r="BV11" s="144" t="s">
        <v>58</v>
      </c>
      <c r="BW11" s="145">
        <v>30</v>
      </c>
      <c r="BX11" s="146">
        <v>65.319999999999993</v>
      </c>
      <c r="BY11" s="147">
        <f t="shared" si="1"/>
        <v>1959.6</v>
      </c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  <c r="DF11" s="137"/>
      <c r="DG11" s="137"/>
      <c r="DH11" s="137"/>
      <c r="DI11" s="137"/>
      <c r="DJ11" s="137"/>
      <c r="DK11" s="137"/>
      <c r="DL11" s="137"/>
      <c r="DM11" s="137"/>
      <c r="DN11" s="137"/>
      <c r="DO11" s="137"/>
      <c r="DP11" s="137"/>
      <c r="DQ11" s="137"/>
      <c r="DR11" s="137"/>
      <c r="DS11" s="137"/>
      <c r="DT11" s="137"/>
      <c r="DU11" s="137"/>
      <c r="DV11" s="137"/>
      <c r="DW11" s="137"/>
      <c r="DX11" s="137"/>
      <c r="DY11" s="137"/>
      <c r="DZ11" s="137"/>
      <c r="EA11" s="137"/>
      <c r="EB11" s="137"/>
      <c r="EC11" s="137"/>
      <c r="ED11" s="137"/>
      <c r="EE11" s="137"/>
      <c r="EF11" s="137"/>
    </row>
    <row r="12" spans="1:136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R12" s="143">
        <v>9</v>
      </c>
      <c r="BS12" s="144" t="s">
        <v>73</v>
      </c>
      <c r="BT12" s="144" t="s">
        <v>74</v>
      </c>
      <c r="BU12" s="144" t="s">
        <v>58</v>
      </c>
      <c r="BV12" s="144" t="s">
        <v>58</v>
      </c>
      <c r="BW12" s="145">
        <v>25</v>
      </c>
      <c r="BX12" s="146">
        <v>74.89</v>
      </c>
      <c r="BY12" s="147">
        <f t="shared" si="1"/>
        <v>1872.25</v>
      </c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  <c r="DF12" s="137"/>
      <c r="DG12" s="137"/>
      <c r="DH12" s="137"/>
      <c r="DI12" s="137"/>
      <c r="DJ12" s="137"/>
      <c r="DK12" s="137"/>
      <c r="DL12" s="137"/>
      <c r="DM12" s="137"/>
      <c r="DN12" s="137"/>
      <c r="DO12" s="137"/>
      <c r="DP12" s="137"/>
      <c r="DQ12" s="137"/>
      <c r="DR12" s="137"/>
      <c r="DS12" s="137"/>
      <c r="DT12" s="137"/>
      <c r="DU12" s="137"/>
      <c r="DV12" s="137"/>
      <c r="DW12" s="137"/>
      <c r="DX12" s="137"/>
      <c r="DY12" s="137"/>
      <c r="DZ12" s="137"/>
      <c r="EA12" s="137"/>
      <c r="EB12" s="137"/>
      <c r="EC12" s="137"/>
      <c r="ED12" s="137"/>
      <c r="EE12" s="137"/>
      <c r="EF12" s="137"/>
    </row>
    <row r="13" spans="1:136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R13" s="143">
        <v>10</v>
      </c>
      <c r="BS13" s="144" t="s">
        <v>75</v>
      </c>
      <c r="BT13" s="144" t="s">
        <v>76</v>
      </c>
      <c r="BU13" s="144" t="s">
        <v>58</v>
      </c>
      <c r="BV13" s="144" t="s">
        <v>58</v>
      </c>
      <c r="BW13" s="145">
        <v>28</v>
      </c>
      <c r="BX13" s="146">
        <v>89.56</v>
      </c>
      <c r="BY13" s="147">
        <f t="shared" si="1"/>
        <v>2507.6800000000003</v>
      </c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  <c r="DF13" s="137"/>
      <c r="DG13" s="137"/>
      <c r="DH13" s="137"/>
      <c r="DI13" s="137"/>
      <c r="DJ13" s="137"/>
      <c r="DK13" s="137"/>
      <c r="DL13" s="137"/>
      <c r="DM13" s="137"/>
      <c r="DN13" s="137"/>
      <c r="DO13" s="137"/>
      <c r="DP13" s="137"/>
      <c r="DQ13" s="137"/>
      <c r="DR13" s="137"/>
      <c r="DS13" s="137"/>
      <c r="DT13" s="137"/>
      <c r="DU13" s="137"/>
      <c r="DV13" s="137"/>
      <c r="DW13" s="137"/>
      <c r="DX13" s="137"/>
      <c r="DY13" s="137"/>
      <c r="DZ13" s="137"/>
      <c r="EA13" s="137"/>
      <c r="EB13" s="137"/>
      <c r="EC13" s="137"/>
      <c r="ED13" s="137"/>
      <c r="EE13" s="137"/>
      <c r="EF13" s="137"/>
    </row>
    <row r="14" spans="1:136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R14" s="143">
        <v>11</v>
      </c>
      <c r="BS14" s="144" t="s">
        <v>77</v>
      </c>
      <c r="BT14" s="144" t="s">
        <v>78</v>
      </c>
      <c r="BU14" s="144" t="s">
        <v>58</v>
      </c>
      <c r="BV14" s="144" t="s">
        <v>58</v>
      </c>
      <c r="BW14" s="145">
        <v>37</v>
      </c>
      <c r="BX14" s="146">
        <v>89.54</v>
      </c>
      <c r="BY14" s="147">
        <f t="shared" si="1"/>
        <v>3312.98</v>
      </c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  <c r="DF14" s="137"/>
      <c r="DG14" s="137"/>
      <c r="DH14" s="137"/>
      <c r="DI14" s="137"/>
      <c r="DJ14" s="137"/>
      <c r="DK14" s="137"/>
      <c r="DL14" s="137"/>
      <c r="DM14" s="137"/>
      <c r="DN14" s="137"/>
      <c r="DO14" s="137"/>
      <c r="DP14" s="137"/>
      <c r="DQ14" s="137"/>
      <c r="DR14" s="137"/>
      <c r="DS14" s="137"/>
      <c r="DT14" s="137"/>
      <c r="DU14" s="137"/>
      <c r="DV14" s="137"/>
      <c r="DW14" s="137"/>
      <c r="DX14" s="137"/>
      <c r="DY14" s="137"/>
      <c r="DZ14" s="137"/>
      <c r="EA14" s="137"/>
      <c r="EB14" s="137"/>
      <c r="EC14" s="137"/>
      <c r="ED14" s="137"/>
      <c r="EE14" s="137"/>
      <c r="EF14" s="137"/>
    </row>
    <row r="15" spans="1:136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R15" s="143">
        <v>12</v>
      </c>
      <c r="BS15" s="144" t="s">
        <v>79</v>
      </c>
      <c r="BT15" s="144" t="s">
        <v>80</v>
      </c>
      <c r="BU15" s="144" t="s">
        <v>58</v>
      </c>
      <c r="BV15" s="144" t="s">
        <v>58</v>
      </c>
      <c r="BW15" s="145">
        <v>39</v>
      </c>
      <c r="BX15" s="146">
        <v>98.25</v>
      </c>
      <c r="BY15" s="147">
        <f t="shared" si="1"/>
        <v>3831.75</v>
      </c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  <c r="DF15" s="137"/>
      <c r="DG15" s="137"/>
      <c r="DH15" s="137"/>
      <c r="DI15" s="137"/>
      <c r="DJ15" s="137"/>
      <c r="DK15" s="137"/>
      <c r="DL15" s="137"/>
      <c r="DM15" s="137"/>
      <c r="DN15" s="137"/>
      <c r="DO15" s="137"/>
      <c r="DP15" s="137"/>
      <c r="DQ15" s="137"/>
      <c r="DR15" s="137"/>
      <c r="DS15" s="137"/>
      <c r="DT15" s="137"/>
      <c r="DU15" s="137"/>
      <c r="DV15" s="137"/>
      <c r="DW15" s="137"/>
      <c r="DX15" s="137"/>
      <c r="DY15" s="137"/>
      <c r="DZ15" s="137"/>
      <c r="EA15" s="137"/>
      <c r="EB15" s="137"/>
      <c r="EC15" s="137"/>
      <c r="ED15" s="137"/>
      <c r="EE15" s="137"/>
      <c r="EF15" s="137"/>
    </row>
    <row r="16" spans="1:136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R16" s="143">
        <v>13</v>
      </c>
      <c r="BS16" s="144" t="s">
        <v>81</v>
      </c>
      <c r="BT16" s="144" t="s">
        <v>82</v>
      </c>
      <c r="BU16" s="144" t="s">
        <v>58</v>
      </c>
      <c r="BV16" s="144" t="s">
        <v>58</v>
      </c>
      <c r="BW16" s="145">
        <v>70</v>
      </c>
      <c r="BX16" s="146">
        <v>102.25</v>
      </c>
      <c r="BY16" s="147">
        <f t="shared" si="1"/>
        <v>7157.5</v>
      </c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  <c r="DF16" s="137"/>
      <c r="DG16" s="137"/>
      <c r="DH16" s="137"/>
      <c r="DI16" s="137"/>
      <c r="DJ16" s="137"/>
      <c r="DK16" s="137"/>
      <c r="DL16" s="137"/>
      <c r="DM16" s="137"/>
      <c r="DN16" s="137"/>
      <c r="DO16" s="137"/>
      <c r="DP16" s="137"/>
      <c r="DQ16" s="137"/>
      <c r="DR16" s="137"/>
      <c r="DS16" s="137"/>
      <c r="DT16" s="137"/>
      <c r="DU16" s="137"/>
      <c r="DV16" s="137"/>
      <c r="DW16" s="137"/>
      <c r="DX16" s="137"/>
      <c r="DY16" s="137"/>
      <c r="DZ16" s="137"/>
      <c r="EA16" s="137"/>
      <c r="EB16" s="137"/>
      <c r="EC16" s="137"/>
      <c r="ED16" s="137"/>
      <c r="EE16" s="137"/>
      <c r="EF16" s="137"/>
    </row>
    <row r="17" spans="1:14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R17" s="143">
        <v>14</v>
      </c>
      <c r="BS17" s="144" t="s">
        <v>83</v>
      </c>
      <c r="BT17" s="144" t="s">
        <v>84</v>
      </c>
      <c r="BU17" s="144" t="s">
        <v>58</v>
      </c>
      <c r="BV17" s="144" t="s">
        <v>58</v>
      </c>
      <c r="BW17" s="145">
        <v>100</v>
      </c>
      <c r="BX17" s="146">
        <v>103.5</v>
      </c>
      <c r="BY17" s="147">
        <f t="shared" si="1"/>
        <v>10350</v>
      </c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  <c r="DF17" s="137"/>
      <c r="DG17" s="137"/>
      <c r="DH17" s="137"/>
      <c r="DI17" s="137"/>
      <c r="DJ17" s="137"/>
      <c r="DK17" s="137"/>
      <c r="DL17" s="137"/>
      <c r="DM17" s="137"/>
      <c r="DN17" s="137"/>
      <c r="DO17" s="137"/>
      <c r="DP17" s="137"/>
      <c r="DQ17" s="137"/>
      <c r="DR17" s="137"/>
      <c r="DS17" s="137"/>
      <c r="DT17" s="137"/>
      <c r="DU17" s="137"/>
      <c r="DV17" s="137"/>
      <c r="DW17" s="137"/>
      <c r="DX17" s="137"/>
      <c r="DY17" s="137"/>
      <c r="DZ17" s="137"/>
      <c r="EA17" s="137"/>
      <c r="EB17" s="137"/>
      <c r="EC17" s="137"/>
      <c r="ED17" s="137"/>
      <c r="EE17" s="137"/>
      <c r="EF17" s="137"/>
    </row>
    <row r="18" spans="1:14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R18" s="148">
        <v>15</v>
      </c>
      <c r="BS18" s="149" t="s">
        <v>85</v>
      </c>
      <c r="BT18" s="149" t="s">
        <v>86</v>
      </c>
      <c r="BU18" s="149" t="s">
        <v>58</v>
      </c>
      <c r="BV18" s="149" t="s">
        <v>58</v>
      </c>
      <c r="BW18" s="150">
        <v>85</v>
      </c>
      <c r="BX18" s="151">
        <v>65.48</v>
      </c>
      <c r="BY18" s="152">
        <f t="shared" si="1"/>
        <v>5565.8</v>
      </c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  <c r="CM18" s="137"/>
      <c r="CN18" s="137"/>
      <c r="CO18" s="137"/>
      <c r="CP18" s="137"/>
      <c r="CQ18" s="137"/>
      <c r="CR18" s="137"/>
      <c r="CS18" s="137"/>
      <c r="CT18" s="137"/>
      <c r="CU18" s="137"/>
      <c r="CV18" s="137"/>
      <c r="CW18" s="137"/>
      <c r="CX18" s="137"/>
      <c r="CY18" s="137"/>
      <c r="CZ18" s="137"/>
      <c r="DA18" s="137"/>
      <c r="DB18" s="137"/>
      <c r="DC18" s="137"/>
      <c r="DD18" s="137"/>
      <c r="DE18" s="137"/>
      <c r="DF18" s="137"/>
      <c r="DG18" s="137"/>
      <c r="DH18" s="137"/>
      <c r="DI18" s="137"/>
      <c r="DJ18" s="137"/>
      <c r="DK18" s="137"/>
      <c r="DL18" s="137"/>
      <c r="DM18" s="137"/>
      <c r="DN18" s="137"/>
      <c r="DO18" s="137"/>
      <c r="DP18" s="137"/>
      <c r="DQ18" s="137"/>
      <c r="DR18" s="137"/>
      <c r="DS18" s="137"/>
      <c r="DT18" s="137"/>
      <c r="DU18" s="137"/>
      <c r="DV18" s="137"/>
      <c r="DW18" s="137"/>
      <c r="DX18" s="137"/>
      <c r="DY18" s="137"/>
      <c r="DZ18" s="137"/>
      <c r="EA18" s="137"/>
      <c r="EB18" s="137"/>
      <c r="EC18" s="137"/>
      <c r="ED18" s="137"/>
      <c r="EE18" s="137"/>
      <c r="EF18" s="137"/>
    </row>
    <row r="19" spans="1:14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  <c r="BR19" s="137"/>
      <c r="BS19" s="302" t="s">
        <v>87</v>
      </c>
      <c r="BT19" s="302"/>
      <c r="BU19" s="302"/>
      <c r="BV19" s="302"/>
      <c r="BW19" s="302"/>
      <c r="BX19" s="302"/>
      <c r="BY19" s="153">
        <f>SUM(BY4:BY18)</f>
        <v>71856.759999999995</v>
      </c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  <c r="CO19" s="137"/>
      <c r="CP19" s="137"/>
      <c r="CQ19" s="137"/>
      <c r="CR19" s="137"/>
      <c r="CS19" s="137"/>
      <c r="CT19" s="137"/>
      <c r="CU19" s="137"/>
      <c r="CV19" s="137"/>
      <c r="CW19" s="137"/>
      <c r="CX19" s="137"/>
      <c r="CY19" s="137"/>
      <c r="CZ19" s="137"/>
      <c r="DA19" s="137"/>
      <c r="DB19" s="137"/>
      <c r="DC19" s="137"/>
      <c r="DD19" s="137"/>
      <c r="DE19" s="137"/>
      <c r="DF19" s="137"/>
      <c r="DG19" s="137"/>
      <c r="DH19" s="137"/>
      <c r="DI19" s="137"/>
      <c r="DJ19" s="137"/>
      <c r="DK19" s="137"/>
      <c r="DL19" s="137"/>
      <c r="DM19" s="137"/>
      <c r="DN19" s="137"/>
      <c r="DO19" s="137"/>
      <c r="DP19" s="137"/>
      <c r="DQ19" s="137"/>
      <c r="DR19" s="137"/>
      <c r="DS19" s="137"/>
      <c r="DT19" s="137"/>
      <c r="DU19" s="137"/>
      <c r="DV19" s="137"/>
      <c r="DW19" s="137"/>
      <c r="DX19" s="137"/>
      <c r="DY19" s="137"/>
      <c r="DZ19" s="137"/>
      <c r="EA19" s="137"/>
      <c r="EB19" s="137"/>
      <c r="EC19" s="137"/>
      <c r="ED19" s="137"/>
      <c r="EE19" s="137"/>
      <c r="EF19" s="137"/>
    </row>
    <row r="20" spans="1:14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R20" s="154" t="s">
        <v>88</v>
      </c>
      <c r="BS20" s="155"/>
      <c r="BT20" s="155"/>
      <c r="BU20" s="155"/>
      <c r="BV20" s="155"/>
      <c r="BW20" s="155"/>
      <c r="BX20" s="155"/>
      <c r="BY20" s="154"/>
      <c r="BZ20" s="156"/>
      <c r="CA20" s="156"/>
      <c r="CB20" s="156"/>
      <c r="CC20" s="156"/>
      <c r="CD20" s="156"/>
      <c r="CE20" s="156"/>
      <c r="CF20" s="156"/>
      <c r="CG20" s="156"/>
      <c r="CH20" s="156"/>
      <c r="CI20" s="154"/>
      <c r="CJ20" s="154"/>
      <c r="CK20" s="154"/>
      <c r="CL20" s="154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  <c r="DF20" s="137"/>
      <c r="DG20" s="137"/>
      <c r="DH20" s="137"/>
      <c r="DI20" s="137"/>
      <c r="DJ20" s="137"/>
      <c r="DK20" s="137"/>
      <c r="DL20" s="137"/>
      <c r="DM20" s="137"/>
      <c r="DN20" s="137"/>
      <c r="DO20" s="137"/>
      <c r="DP20" s="137"/>
      <c r="DQ20" s="137"/>
      <c r="DR20" s="137"/>
      <c r="DS20" s="137"/>
      <c r="DT20" s="137"/>
      <c r="DU20" s="137"/>
      <c r="DV20" s="137"/>
      <c r="DW20" s="137"/>
      <c r="DX20" s="137"/>
      <c r="DY20" s="137"/>
      <c r="DZ20" s="137"/>
      <c r="EA20" s="137"/>
      <c r="EB20" s="137"/>
      <c r="EC20" s="137"/>
      <c r="ED20" s="137"/>
      <c r="EE20" s="137"/>
      <c r="EF20" s="137"/>
    </row>
    <row r="21" spans="1:14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R21" s="303" t="s">
        <v>89</v>
      </c>
      <c r="BS21" s="303"/>
      <c r="BT21" s="157">
        <v>1</v>
      </c>
      <c r="BU21" s="158" t="s">
        <v>210</v>
      </c>
      <c r="BV21" s="155"/>
      <c r="BW21" s="155"/>
      <c r="BX21" s="155"/>
      <c r="BY21" s="154"/>
      <c r="BZ21" s="156" t="s">
        <v>91</v>
      </c>
      <c r="CA21" s="156" t="s">
        <v>92</v>
      </c>
      <c r="CB21" s="156"/>
      <c r="CC21" s="156" t="s">
        <v>93</v>
      </c>
      <c r="CD21" s="156">
        <v>1</v>
      </c>
      <c r="CE21" s="156"/>
      <c r="CF21" s="156" t="s">
        <v>94</v>
      </c>
      <c r="CG21" s="156">
        <v>2</v>
      </c>
      <c r="CH21" s="156" t="s">
        <v>95</v>
      </c>
      <c r="CI21" s="154"/>
      <c r="CJ21" s="154"/>
      <c r="CK21" s="154"/>
      <c r="CL21" s="154"/>
      <c r="CM21" s="154">
        <v>1</v>
      </c>
      <c r="CN21" s="154" t="s">
        <v>211</v>
      </c>
      <c r="CO21" s="137"/>
      <c r="CP21" s="137"/>
      <c r="CQ21" s="137"/>
      <c r="CR21" s="137"/>
      <c r="CS21" s="137"/>
      <c r="CT21" s="137"/>
      <c r="CU21" s="137"/>
      <c r="CV21" s="137"/>
      <c r="CW21" s="137"/>
      <c r="CX21" s="137"/>
      <c r="CY21" s="137"/>
      <c r="CZ21" s="137"/>
      <c r="DA21" s="137"/>
      <c r="DB21" s="137"/>
      <c r="DC21" s="137"/>
      <c r="DD21" s="137"/>
      <c r="DE21" s="137"/>
      <c r="DF21" s="137"/>
      <c r="DG21" s="137"/>
      <c r="DH21" s="137"/>
      <c r="DI21" s="137"/>
      <c r="DJ21" s="137"/>
      <c r="DK21" s="137"/>
      <c r="DL21" s="137"/>
      <c r="DM21" s="137"/>
      <c r="DN21" s="137"/>
      <c r="DO21" s="137"/>
      <c r="DP21" s="137"/>
      <c r="DQ21" s="137"/>
      <c r="DR21" s="137"/>
      <c r="DS21" s="137"/>
      <c r="DT21" s="137"/>
      <c r="DU21" s="137"/>
      <c r="DV21" s="137"/>
      <c r="DW21" s="137"/>
      <c r="DX21" s="137"/>
      <c r="DY21" s="137"/>
      <c r="DZ21" s="137"/>
      <c r="EA21" s="137"/>
      <c r="EB21" s="137"/>
      <c r="EC21" s="137"/>
      <c r="ED21" s="137"/>
      <c r="EE21" s="137"/>
      <c r="EF21" s="137"/>
    </row>
    <row r="22" spans="1:14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59" t="s">
        <v>155</v>
      </c>
      <c r="BS22" s="159" t="s">
        <v>49</v>
      </c>
      <c r="BT22" s="159" t="s">
        <v>156</v>
      </c>
      <c r="BU22" s="159" t="s">
        <v>51</v>
      </c>
      <c r="BV22" s="159" t="s">
        <v>52</v>
      </c>
      <c r="BW22" s="159" t="s">
        <v>53</v>
      </c>
      <c r="BX22" s="159" t="s">
        <v>54</v>
      </c>
      <c r="BY22" s="159" t="s">
        <v>55</v>
      </c>
      <c r="BZ22" s="160" t="s">
        <v>97</v>
      </c>
      <c r="CA22" s="160" t="s">
        <v>99</v>
      </c>
      <c r="CB22" s="160" t="s">
        <v>98</v>
      </c>
      <c r="CC22" s="161" t="s">
        <v>100</v>
      </c>
      <c r="CD22" s="161" t="s">
        <v>101</v>
      </c>
      <c r="CE22" s="161" t="s">
        <v>104</v>
      </c>
      <c r="CF22" s="161" t="s">
        <v>105</v>
      </c>
      <c r="CG22" s="161" t="s">
        <v>157</v>
      </c>
      <c r="CH22" s="161" t="s">
        <v>103</v>
      </c>
      <c r="CI22" s="160" t="s">
        <v>106</v>
      </c>
      <c r="CJ22" s="159" t="s">
        <v>158</v>
      </c>
      <c r="CK22" s="159" t="s">
        <v>108</v>
      </c>
      <c r="CL22" s="162" t="s">
        <v>159</v>
      </c>
      <c r="CM22" s="162" t="s">
        <v>110</v>
      </c>
      <c r="CN22" s="162" t="s">
        <v>111</v>
      </c>
      <c r="CO22" s="162" t="s">
        <v>112</v>
      </c>
      <c r="CP22" s="163" t="s">
        <v>212</v>
      </c>
      <c r="CQ22" s="163" t="s">
        <v>213</v>
      </c>
      <c r="CR22" s="163" t="s">
        <v>214</v>
      </c>
      <c r="CS22" s="163" t="s">
        <v>113</v>
      </c>
      <c r="CT22" s="164" t="s">
        <v>114</v>
      </c>
      <c r="CU22" s="164" t="s">
        <v>115</v>
      </c>
      <c r="CV22" s="164" t="s">
        <v>116</v>
      </c>
      <c r="CW22" s="164" t="s">
        <v>117</v>
      </c>
      <c r="CX22" s="164" t="s">
        <v>118</v>
      </c>
      <c r="CY22" s="164" t="s">
        <v>119</v>
      </c>
      <c r="CZ22" s="164" t="s">
        <v>120</v>
      </c>
      <c r="DA22" s="164" t="s">
        <v>121</v>
      </c>
      <c r="DB22" s="164" t="s">
        <v>122</v>
      </c>
      <c r="DC22" s="164" t="s">
        <v>123</v>
      </c>
      <c r="DD22" s="164" t="s">
        <v>124</v>
      </c>
      <c r="DE22" s="164" t="s">
        <v>125</v>
      </c>
      <c r="DF22" s="164" t="s">
        <v>126</v>
      </c>
      <c r="DG22" s="164" t="s">
        <v>127</v>
      </c>
      <c r="DH22" s="164" t="s">
        <v>128</v>
      </c>
      <c r="DI22" s="165" t="s">
        <v>160</v>
      </c>
      <c r="DJ22" s="140" t="s">
        <v>215</v>
      </c>
      <c r="DK22" s="140" t="s">
        <v>128</v>
      </c>
      <c r="DL22" s="166" t="s">
        <v>131</v>
      </c>
      <c r="DM22" s="166" t="s">
        <v>132</v>
      </c>
      <c r="DN22" s="166" t="s">
        <v>133</v>
      </c>
      <c r="DO22" s="166" t="s">
        <v>134</v>
      </c>
      <c r="DP22" s="166" t="s">
        <v>135</v>
      </c>
      <c r="DQ22" s="166" t="s">
        <v>136</v>
      </c>
      <c r="DR22" s="166" t="s">
        <v>137</v>
      </c>
      <c r="DS22" s="166" t="s">
        <v>138</v>
      </c>
      <c r="DT22" s="167" t="s">
        <v>139</v>
      </c>
      <c r="DU22" s="167" t="s">
        <v>8</v>
      </c>
      <c r="DV22" s="167" t="s">
        <v>9</v>
      </c>
      <c r="DW22" s="166" t="s">
        <v>216</v>
      </c>
      <c r="DX22" s="166" t="s">
        <v>140</v>
      </c>
      <c r="DY22" s="166" t="s">
        <v>141</v>
      </c>
      <c r="DZ22" s="166" t="s">
        <v>142</v>
      </c>
      <c r="EA22" s="166" t="s">
        <v>143</v>
      </c>
      <c r="EB22" s="166" t="s">
        <v>144</v>
      </c>
      <c r="EC22" s="166" t="s">
        <v>217</v>
      </c>
      <c r="ED22" s="168" t="s">
        <v>218</v>
      </c>
      <c r="EE22" s="166" t="s">
        <v>219</v>
      </c>
      <c r="EF22" s="166" t="s">
        <v>136</v>
      </c>
      <c r="EG22" s="166" t="s">
        <v>220</v>
      </c>
      <c r="EH22" s="166" t="s">
        <v>108</v>
      </c>
      <c r="EI22" s="188" t="s">
        <v>513</v>
      </c>
      <c r="EJ22" s="188" t="s">
        <v>502</v>
      </c>
      <c r="EK22" s="188" t="s">
        <v>514</v>
      </c>
      <c r="EL22" s="188" t="s">
        <v>515</v>
      </c>
      <c r="EM22" s="188" t="s">
        <v>503</v>
      </c>
      <c r="EN22" s="188" t="s">
        <v>504</v>
      </c>
      <c r="EO22" s="188" t="s">
        <v>505</v>
      </c>
      <c r="EP22" s="188" t="s">
        <v>506</v>
      </c>
      <c r="EQ22" s="188" t="s">
        <v>516</v>
      </c>
      <c r="ER22" s="189" t="s">
        <v>53</v>
      </c>
    </row>
    <row r="23" spans="1:14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 t="s">
        <v>360</v>
      </c>
      <c r="H23" s="170">
        <f>F23*G23</f>
        <v>7200</v>
      </c>
      <c r="I23" t="s">
        <v>263</v>
      </c>
      <c r="J23" s="170">
        <v>2</v>
      </c>
      <c r="K23" s="170">
        <v>2.5</v>
      </c>
      <c r="L23" s="170">
        <f>H23</f>
        <v>7200</v>
      </c>
      <c r="M23" s="170">
        <f>ROUND(L23*I23%,2)</f>
        <v>216</v>
      </c>
      <c r="N23" s="170">
        <f>H23-M23</f>
        <v>6984</v>
      </c>
      <c r="O23" s="170">
        <f>ROUND(N23*J23%,2)</f>
        <v>139.68</v>
      </c>
      <c r="P23" s="170">
        <f>ROUND(N23-O23,2)</f>
        <v>6844.32</v>
      </c>
      <c r="Q23" s="170">
        <f>ROUND(P23*K23%,2)</f>
        <v>171.11</v>
      </c>
      <c r="R23" s="170">
        <f>ROUND((M23+O23+Q23),2)</f>
        <v>526.79</v>
      </c>
      <c r="S23" s="170">
        <f>ROUND((H23-R23),2)</f>
        <v>6673.21</v>
      </c>
      <c r="T23" s="171" t="s">
        <v>146</v>
      </c>
      <c r="U23" s="172">
        <v>0.18</v>
      </c>
      <c r="V23" s="170">
        <f>IF(OR($C$21=1,$C$21=4),ROUND(((S23*U23)/2),2),0)</f>
        <v>600.59</v>
      </c>
      <c r="W23" s="170">
        <f>IF($C$21=1,ROUND(((S23*U23)/2),2),0)</f>
        <v>600.59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1201.18</v>
      </c>
      <c r="AC23" s="169">
        <f>IF($V20=1,S23+AB23,S23)</f>
        <v>6673.21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 t="shared" ref="AI23" si="2">S23*$M$21</f>
        <v>6673.21</v>
      </c>
      <c r="AJ23" s="171">
        <f>IF($C$21=3,0,AG23+AH23)</f>
        <v>0</v>
      </c>
      <c r="AK23" s="171">
        <f t="shared" ref="AK23" si="3">IF($C$21=3,AE23+AG23+AH23,0)</f>
        <v>0</v>
      </c>
      <c r="AL23" s="174">
        <v>1</v>
      </c>
      <c r="AM23" s="171">
        <f>F23/AL23</f>
        <v>12</v>
      </c>
      <c r="AN23" s="171">
        <f>ROUND(AI23/AM23,5)</f>
        <v>556.10082999999997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556.10082999999997</v>
      </c>
      <c r="AS23" s="175" t="s">
        <v>518</v>
      </c>
      <c r="AT23" s="175" t="s">
        <v>58</v>
      </c>
      <c r="AU23" t="s">
        <v>239</v>
      </c>
      <c r="AV23" t="s">
        <v>519</v>
      </c>
      <c r="AW23" s="175">
        <f>AM23</f>
        <v>12</v>
      </c>
      <c r="AX23" s="175">
        <f>AR23</f>
        <v>556.10082999999997</v>
      </c>
      <c r="AY23" s="175">
        <f>AU23+AW23</f>
        <v>12</v>
      </c>
      <c r="AZ23" s="175">
        <f>ROUND(((AU23*AV23)+(AW23*AX23))/(AU23+AW23),5)</f>
        <v>556.10082999999997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521</v>
      </c>
      <c r="BN23" t="s">
        <v>522</v>
      </c>
      <c r="BO23" s="175">
        <f>ROUND((((AW23*AZ23)+(BN23*BM23))/(AW23+BN23)),5)</f>
        <v>429.41982000000002</v>
      </c>
      <c r="BP23" s="87">
        <f>BN23+AW23</f>
        <v>158</v>
      </c>
      <c r="BQ23" s="88">
        <v>88363222</v>
      </c>
      <c r="BR23" s="169">
        <v>1</v>
      </c>
      <c r="BS23" s="169" t="s">
        <v>517</v>
      </c>
      <c r="BT23" s="169" t="s">
        <v>162</v>
      </c>
      <c r="BU23" s="169" t="s">
        <v>58</v>
      </c>
      <c r="BV23" s="169" t="s">
        <v>163</v>
      </c>
      <c r="BW23" s="170">
        <v>12</v>
      </c>
      <c r="BX23">
        <f>G23+500</f>
        <v>1100</v>
      </c>
      <c r="BY23" s="170">
        <f>BW23*BX23</f>
        <v>13200</v>
      </c>
      <c r="BZ23" t="s">
        <v>263</v>
      </c>
      <c r="CA23" s="170">
        <v>2</v>
      </c>
      <c r="CB23" s="170">
        <v>2.5</v>
      </c>
      <c r="CC23" s="170">
        <f>BY23</f>
        <v>13200</v>
      </c>
      <c r="CD23" s="170">
        <f>ROUND(CC23*BZ23%,2)</f>
        <v>396</v>
      </c>
      <c r="CE23" s="170">
        <f>BY23-CD23</f>
        <v>12804</v>
      </c>
      <c r="CF23" s="170">
        <f>ROUND(CE23*CA23%,2)</f>
        <v>256.08</v>
      </c>
      <c r="CG23" s="170">
        <f>ROUND(CE23-CF23,2)</f>
        <v>12547.92</v>
      </c>
      <c r="CH23" s="170">
        <f>ROUND(CG23*CB23%,2)</f>
        <v>313.7</v>
      </c>
      <c r="CI23" s="170">
        <f>ROUND((CD23+CF23+CH23),2)</f>
        <v>965.78</v>
      </c>
      <c r="CJ23" s="170">
        <f>ROUND((BY23-CI23),2)</f>
        <v>12234.22</v>
      </c>
      <c r="CK23" s="171" t="s">
        <v>146</v>
      </c>
      <c r="CL23" s="172">
        <v>0.18</v>
      </c>
      <c r="CM23" s="170">
        <f>IF(OR($C$21=1,$C$21=4),ROUND(((CJ23*CL23)/2),2),0)</f>
        <v>1101.08</v>
      </c>
      <c r="CN23" s="170">
        <f>IF($C$21=1,ROUND(((CJ23*CL23)/2),2),0)</f>
        <v>1101.08</v>
      </c>
      <c r="CO23" s="170">
        <f>IF($C$21=2,ROUND(((CJ23*CL23)),2),0)</f>
        <v>0</v>
      </c>
      <c r="CP23" s="170">
        <f>IF($C$21=4,ROUND(((CJ23*CL23)/2),2),0)</f>
        <v>0</v>
      </c>
      <c r="CQ23" s="173">
        <v>0</v>
      </c>
      <c r="CR23" s="170">
        <f>IF($C20=3, 0, ROUND(CJ23*CQ23, 2))</f>
        <v>0</v>
      </c>
      <c r="CS23" s="169">
        <f>CM23+CN23+CO23+CP23+CR23</f>
        <v>2202.16</v>
      </c>
      <c r="CT23" s="169">
        <f>IF($V20=1,CJ23+CS23,CJ23)</f>
        <v>12234.22</v>
      </c>
      <c r="CU23" s="171">
        <v>120</v>
      </c>
      <c r="CV23" s="171">
        <f>IF($P$21=1,(CJ23/$S$24)*$E$35,CU23/$AD$24*$E$35)</f>
        <v>0</v>
      </c>
      <c r="CW23" s="171"/>
      <c r="CX23" s="171">
        <f>IF($P$21=1,(CJ23/$S$24)*$E$37,CU23/$AD$24*$E$37)</f>
        <v>0</v>
      </c>
      <c r="CY23" s="171">
        <f>IF($P$21=1,(CJ23/$S$24)*$E$38,CU23/$AD$24*$E$38)</f>
        <v>0</v>
      </c>
      <c r="CZ23" s="171">
        <f t="shared" ref="CZ23" si="4">CJ23*$M$21</f>
        <v>12234.22</v>
      </c>
      <c r="DA23" s="171">
        <f>IF($C$21=3,0,CX23+CY23)</f>
        <v>0</v>
      </c>
      <c r="DB23" s="171">
        <f t="shared" ref="DB23" si="5">IF($C$21=3,CV23+CX23+CY23,0)</f>
        <v>0</v>
      </c>
      <c r="DC23" s="174">
        <v>1</v>
      </c>
      <c r="DD23" s="171">
        <f>BW23/DC23</f>
        <v>12</v>
      </c>
      <c r="DE23" s="171">
        <f>ROUND(CZ23/DD23,5)</f>
        <v>1019.51833</v>
      </c>
      <c r="DF23" s="171">
        <f>DA23/DD23</f>
        <v>0</v>
      </c>
      <c r="DG23" s="171">
        <f>DB23/DD23</f>
        <v>0</v>
      </c>
      <c r="DH23" s="171" t="s">
        <v>58</v>
      </c>
      <c r="DI23" s="171">
        <f>ROUND(DE23+DF23+DG23,5)</f>
        <v>1019.51833</v>
      </c>
      <c r="DJ23" s="175" t="s">
        <v>518</v>
      </c>
      <c r="DK23" s="175" t="s">
        <v>58</v>
      </c>
      <c r="DL23" t="s">
        <v>239</v>
      </c>
      <c r="DM23" t="s">
        <v>523</v>
      </c>
      <c r="DN23" s="175">
        <f>DD23</f>
        <v>12</v>
      </c>
      <c r="DO23" s="175">
        <f>DI23</f>
        <v>1019.51833</v>
      </c>
      <c r="DP23" s="175">
        <f>DL23+DN23</f>
        <v>12</v>
      </c>
      <c r="DQ23" s="175">
        <f>ROUND(((DL23*DM23)+(DN23*DO23))/(DL23+DN23),5)</f>
        <v>1019.51833</v>
      </c>
      <c r="DR23" s="85"/>
      <c r="DS23" s="85" t="s">
        <v>149</v>
      </c>
      <c r="DT23" s="95" t="s">
        <v>38</v>
      </c>
      <c r="DU23" s="86" t="s">
        <v>30</v>
      </c>
      <c r="DV23" s="86" t="s">
        <v>39</v>
      </c>
      <c r="DW23" s="85"/>
      <c r="DX23" s="85"/>
      <c r="DY23" s="85"/>
      <c r="DZ23" s="175"/>
      <c r="EA23" s="175"/>
      <c r="EB23" s="175"/>
      <c r="EC23" s="176" t="s">
        <v>520</v>
      </c>
      <c r="ED23" t="s">
        <v>524</v>
      </c>
      <c r="EE23" t="s">
        <v>460</v>
      </c>
      <c r="EF23" s="175">
        <f>ROUND((((DN23*DQ23)+(EE23*ED23))/(DN23+EE23)),5)</f>
        <v>641.80885000000001</v>
      </c>
      <c r="EG23" s="87">
        <f>EE23+DN23</f>
        <v>26</v>
      </c>
      <c r="EH23" s="88">
        <v>88363222</v>
      </c>
      <c r="EI23" s="190" t="s">
        <v>525</v>
      </c>
      <c r="EJ23" s="190" t="s">
        <v>508</v>
      </c>
      <c r="EK23" s="190">
        <v>10100</v>
      </c>
      <c r="EL23" s="190" t="s">
        <v>526</v>
      </c>
      <c r="EM23" s="191" t="s">
        <v>527</v>
      </c>
      <c r="EN23" s="190" t="s">
        <v>509</v>
      </c>
      <c r="EO23" s="192" t="s">
        <v>528</v>
      </c>
      <c r="EP23" s="190">
        <v>450</v>
      </c>
      <c r="EQ23" s="190" t="s">
        <v>529</v>
      </c>
      <c r="ER23" s="193">
        <v>60</v>
      </c>
    </row>
    <row r="24" spans="1:148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7200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526.79</v>
      </c>
      <c r="S24" s="180">
        <f>SUM(S23)</f>
        <v>6673.21</v>
      </c>
      <c r="T24" s="180"/>
      <c r="U24" s="180"/>
      <c r="V24" s="181">
        <f t="shared" ref="V24:AE24" si="6">SUM(V23)</f>
        <v>600.59</v>
      </c>
      <c r="W24" s="181">
        <f t="shared" si="6"/>
        <v>600.59</v>
      </c>
      <c r="X24" s="181">
        <f t="shared" si="6"/>
        <v>0</v>
      </c>
      <c r="Y24" s="181">
        <f t="shared" si="6"/>
        <v>0</v>
      </c>
      <c r="Z24" s="182">
        <f t="shared" si="6"/>
        <v>0</v>
      </c>
      <c r="AA24" s="181">
        <f t="shared" si="6"/>
        <v>0</v>
      </c>
      <c r="AB24" s="180">
        <f t="shared" si="6"/>
        <v>1201.18</v>
      </c>
      <c r="AC24" s="183">
        <f t="shared" si="6"/>
        <v>6673.21</v>
      </c>
      <c r="AD24" s="184">
        <f t="shared" si="6"/>
        <v>120</v>
      </c>
      <c r="AE24" s="184">
        <f t="shared" si="6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6673.21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37"/>
      <c r="BT24" s="177" t="s">
        <v>87</v>
      </c>
      <c r="BU24" s="178"/>
      <c r="BV24" s="178"/>
      <c r="BW24" s="178"/>
      <c r="BX24" s="179"/>
      <c r="BY24" s="180">
        <f>SUM(BY23)</f>
        <v>13200</v>
      </c>
      <c r="BZ24" s="169"/>
      <c r="CA24" s="169"/>
      <c r="CB24" s="169"/>
      <c r="CC24" s="169"/>
      <c r="CD24" s="169"/>
      <c r="CE24" s="169"/>
      <c r="CF24" s="169"/>
      <c r="CG24" s="169"/>
      <c r="CH24" s="169"/>
      <c r="CI24" s="180">
        <f>SUM(CI23)</f>
        <v>965.78</v>
      </c>
      <c r="CJ24" s="180">
        <f>SUM(CJ23)</f>
        <v>12234.22</v>
      </c>
      <c r="CK24" s="180"/>
      <c r="CL24" s="180"/>
      <c r="CM24" s="181">
        <f t="shared" ref="CM24:CV24" si="7">SUM(CM23)</f>
        <v>1101.08</v>
      </c>
      <c r="CN24" s="181">
        <f t="shared" si="7"/>
        <v>1101.08</v>
      </c>
      <c r="CO24" s="181">
        <f t="shared" si="7"/>
        <v>0</v>
      </c>
      <c r="CP24" s="181">
        <f t="shared" si="7"/>
        <v>0</v>
      </c>
      <c r="CQ24" s="182">
        <f t="shared" si="7"/>
        <v>0</v>
      </c>
      <c r="CR24" s="181">
        <f t="shared" si="7"/>
        <v>0</v>
      </c>
      <c r="CS24" s="180">
        <f t="shared" si="7"/>
        <v>2202.16</v>
      </c>
      <c r="CT24" s="183">
        <f t="shared" si="7"/>
        <v>12234.22</v>
      </c>
      <c r="CU24" s="184">
        <f t="shared" si="7"/>
        <v>120</v>
      </c>
      <c r="CV24" s="184">
        <f t="shared" si="7"/>
        <v>0</v>
      </c>
      <c r="CW24" s="183"/>
      <c r="CX24" s="184">
        <f>SUM(CX23)</f>
        <v>0</v>
      </c>
      <c r="CY24" s="184">
        <f>IF($P$21=1,(CJ24/$S$24)*$E$38,CU24/$AD$24*$E$38)</f>
        <v>0</v>
      </c>
      <c r="CZ24" s="184">
        <f>SUM(CZ23)</f>
        <v>12234.22</v>
      </c>
      <c r="DA24" s="184">
        <f>SUM(DA23)</f>
        <v>0</v>
      </c>
      <c r="DB24" s="184">
        <f>SUM(DB23)</f>
        <v>0</v>
      </c>
      <c r="DC24" s="183"/>
      <c r="DD24" s="183"/>
      <c r="DE24" s="183"/>
      <c r="DF24" s="183"/>
      <c r="DG24" s="183"/>
      <c r="DH24" s="183"/>
      <c r="DI24" s="183"/>
      <c r="DJ24" s="137"/>
      <c r="DK24" s="137"/>
      <c r="DN24" s="137"/>
      <c r="DO24" s="137"/>
      <c r="DP24" s="137"/>
      <c r="DQ24" s="137"/>
      <c r="DR24" s="137"/>
      <c r="DS24" s="137"/>
      <c r="DT24" s="137"/>
      <c r="DU24" s="137"/>
      <c r="DV24" s="137"/>
      <c r="DW24" s="137"/>
      <c r="DX24" s="137"/>
      <c r="DY24" s="137"/>
      <c r="DZ24" s="137"/>
      <c r="EA24" s="137"/>
      <c r="EB24" s="137"/>
      <c r="EC24" s="137"/>
      <c r="ED24" s="137"/>
      <c r="EE24" s="137"/>
      <c r="EF24" s="137"/>
      <c r="EI24" s="190"/>
      <c r="EJ24" s="190"/>
      <c r="EK24" s="190"/>
      <c r="EL24" s="190"/>
      <c r="EM24" s="191"/>
      <c r="EN24" s="190"/>
      <c r="EO24" s="192"/>
      <c r="EP24" s="190"/>
      <c r="EQ24" s="190"/>
      <c r="ER24" s="193"/>
    </row>
    <row r="25" spans="1:148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  <c r="BR25" s="137"/>
      <c r="BS25" s="137"/>
      <c r="BT25" s="137"/>
      <c r="BU25" s="137"/>
      <c r="BV25" s="137"/>
      <c r="BW25" s="137"/>
      <c r="BX25" s="137"/>
      <c r="BY25" s="137"/>
      <c r="BZ25" s="137"/>
      <c r="CA25" s="137"/>
      <c r="CB25" s="137"/>
      <c r="CC25" s="137"/>
      <c r="CD25" s="137"/>
      <c r="CE25" s="137"/>
      <c r="CF25" s="137"/>
      <c r="CG25" s="137"/>
      <c r="CH25" s="137"/>
      <c r="CI25" s="137"/>
      <c r="CJ25" s="137"/>
      <c r="CK25" s="137"/>
      <c r="CL25" s="137"/>
      <c r="CM25" s="137"/>
      <c r="CN25" s="137"/>
      <c r="CO25" s="137"/>
      <c r="CP25" s="137"/>
      <c r="CQ25" s="137"/>
      <c r="CR25" s="137"/>
      <c r="CS25" s="137"/>
      <c r="CT25" s="137"/>
      <c r="CU25" s="137"/>
      <c r="CV25" s="137"/>
      <c r="CW25" s="137"/>
      <c r="CX25" s="137"/>
      <c r="CY25" s="137"/>
      <c r="CZ25" s="137"/>
      <c r="DA25" s="137"/>
      <c r="DB25" s="137"/>
      <c r="DC25" s="137"/>
      <c r="DD25" s="137"/>
      <c r="DE25" s="137"/>
      <c r="DF25" s="137"/>
      <c r="DG25" s="137"/>
      <c r="DH25" s="137"/>
      <c r="DI25" s="137"/>
      <c r="DJ25" s="137"/>
      <c r="DK25" s="137"/>
      <c r="DL25" s="137"/>
      <c r="DM25" s="137"/>
      <c r="DN25" s="137"/>
      <c r="DO25" s="137"/>
      <c r="DP25" s="137"/>
      <c r="DQ25" s="137"/>
      <c r="DR25" s="137"/>
      <c r="DS25" s="137"/>
      <c r="DT25" s="137"/>
      <c r="DU25" s="137"/>
      <c r="DV25" s="137"/>
      <c r="DW25" s="137"/>
      <c r="DX25" s="137"/>
      <c r="DY25" s="137"/>
      <c r="DZ25" s="137"/>
      <c r="EA25" s="137"/>
      <c r="EB25" s="137"/>
      <c r="EC25" s="137"/>
      <c r="ED25" s="137"/>
      <c r="EE25" s="137"/>
      <c r="EF25" s="137"/>
    </row>
    <row r="26" spans="1:148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7200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37"/>
      <c r="BS26" s="137"/>
      <c r="BT26" s="137"/>
      <c r="BU26" s="137"/>
      <c r="BV26" s="137"/>
      <c r="BW26" s="137"/>
      <c r="BX26" s="304" t="s">
        <v>194</v>
      </c>
      <c r="BY26" s="305"/>
      <c r="BZ26" s="306">
        <f>BY24</f>
        <v>13200</v>
      </c>
      <c r="CA26" s="306"/>
      <c r="CB26" s="185"/>
      <c r="CC26" s="137"/>
      <c r="CD26" s="298" t="s">
        <v>195</v>
      </c>
      <c r="CE26" s="299"/>
      <c r="CF26" s="299"/>
      <c r="CG26" s="300"/>
      <c r="CH26" s="137"/>
      <c r="CI26" s="137"/>
      <c r="CJ26" s="137"/>
      <c r="CK26" s="137"/>
      <c r="CL26" s="137"/>
      <c r="CM26" s="137"/>
      <c r="CN26" s="137"/>
      <c r="CO26" s="137"/>
      <c r="CP26" s="137"/>
      <c r="CQ26" s="137"/>
      <c r="CR26" s="137"/>
      <c r="CS26" s="137"/>
      <c r="CT26" s="137"/>
      <c r="CU26" s="137"/>
      <c r="CV26" s="137"/>
      <c r="CW26" s="137"/>
      <c r="CX26" s="137"/>
      <c r="CY26" s="137"/>
      <c r="CZ26" s="137"/>
      <c r="DA26" s="137"/>
      <c r="DB26" s="137"/>
      <c r="DC26" s="137"/>
      <c r="DD26" s="137"/>
      <c r="DE26" s="137"/>
      <c r="DF26" s="137"/>
      <c r="DG26" s="137"/>
      <c r="DH26" s="137"/>
      <c r="DI26" s="137"/>
      <c r="DJ26" s="137"/>
      <c r="DK26" s="137"/>
      <c r="DL26" s="137"/>
      <c r="DM26" s="137"/>
      <c r="DN26" s="137"/>
      <c r="DO26" s="137"/>
      <c r="DP26" s="137"/>
      <c r="DQ26" s="137"/>
      <c r="DR26" s="137"/>
      <c r="DS26" s="137"/>
      <c r="DT26" s="137"/>
      <c r="DU26" s="137"/>
      <c r="DV26" s="137"/>
      <c r="DW26" s="137"/>
      <c r="DX26" s="137"/>
      <c r="DY26" s="137" t="s">
        <v>374</v>
      </c>
      <c r="DZ26" s="186" t="s">
        <v>375</v>
      </c>
      <c r="EA26" s="137"/>
      <c r="EB26" s="137"/>
      <c r="EC26" s="137"/>
      <c r="ED26" s="137"/>
      <c r="EE26" s="137"/>
      <c r="EF26" s="137"/>
      <c r="EI26" s="193"/>
      <c r="EJ26" s="190"/>
      <c r="EK26" s="190"/>
      <c r="EL26" s="190"/>
      <c r="EM26" s="191"/>
      <c r="EN26" s="190"/>
      <c r="EO26" s="194"/>
      <c r="EP26" s="190"/>
      <c r="EQ26" s="190"/>
      <c r="ER26" s="193"/>
    </row>
    <row r="27" spans="1:148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526.79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  <c r="BR27" s="137"/>
      <c r="BS27" s="137"/>
      <c r="BT27" s="137"/>
      <c r="BU27" s="137"/>
      <c r="BV27" s="137"/>
      <c r="BW27" s="137"/>
      <c r="BX27" s="304" t="s">
        <v>196</v>
      </c>
      <c r="BY27" s="305"/>
      <c r="BZ27" s="306">
        <f>CI24</f>
        <v>965.78</v>
      </c>
      <c r="CA27" s="306"/>
      <c r="CB27" s="137"/>
      <c r="CC27" s="137"/>
      <c r="CD27" s="187">
        <v>1</v>
      </c>
      <c r="CE27" s="187" t="s">
        <v>58</v>
      </c>
      <c r="CF27" s="187">
        <v>2</v>
      </c>
      <c r="CG27" s="187" t="s">
        <v>163</v>
      </c>
      <c r="CH27" s="137"/>
      <c r="CI27" s="137"/>
      <c r="CJ27" s="137"/>
      <c r="CK27" s="137"/>
      <c r="CL27" s="137"/>
      <c r="CM27" s="137"/>
      <c r="CN27" s="137"/>
      <c r="CO27" s="137"/>
      <c r="CP27" s="137"/>
      <c r="CQ27" s="137"/>
      <c r="CR27" s="137"/>
      <c r="CS27" s="137"/>
      <c r="CT27" s="137"/>
      <c r="CU27" s="137"/>
      <c r="CV27" s="137"/>
      <c r="CW27" s="137"/>
      <c r="CX27" s="137"/>
      <c r="CY27" s="137"/>
      <c r="CZ27" s="137"/>
      <c r="DA27" s="137"/>
      <c r="DB27" s="137"/>
      <c r="DC27" s="137"/>
      <c r="DD27" s="137"/>
      <c r="DE27" s="137"/>
      <c r="DF27" s="137"/>
      <c r="DG27" s="137"/>
      <c r="DH27" s="137"/>
      <c r="DI27" s="137"/>
      <c r="DJ27" s="137"/>
      <c r="DK27" s="137"/>
      <c r="DL27" s="137"/>
      <c r="DM27" s="137"/>
      <c r="DN27" s="137"/>
      <c r="DO27" s="137"/>
      <c r="DP27" s="137"/>
      <c r="DQ27" s="137"/>
      <c r="DR27" s="137"/>
      <c r="DS27" s="137"/>
      <c r="DT27" s="137"/>
      <c r="DU27" s="137"/>
      <c r="DV27" s="137"/>
      <c r="DW27" s="137"/>
      <c r="DX27" s="137"/>
      <c r="DY27" s="137" t="s">
        <v>376</v>
      </c>
      <c r="DZ27" s="186" t="s">
        <v>377</v>
      </c>
      <c r="EA27" s="137"/>
      <c r="EB27" s="137"/>
      <c r="EC27" s="137"/>
      <c r="ED27" s="137"/>
      <c r="EE27" s="137"/>
      <c r="EF27" s="137"/>
    </row>
    <row r="28" spans="1:148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6673.21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BR28" s="137"/>
      <c r="BS28" s="137"/>
      <c r="BT28" s="137"/>
      <c r="BU28" s="137"/>
      <c r="BV28" s="137"/>
      <c r="BW28" s="137"/>
      <c r="BX28" s="304" t="s">
        <v>197</v>
      </c>
      <c r="BY28" s="305"/>
      <c r="BZ28" s="306">
        <f>CJ24</f>
        <v>12234.22</v>
      </c>
      <c r="CA28" s="306"/>
      <c r="CB28" s="137"/>
      <c r="CC28" s="137"/>
      <c r="CD28" s="169">
        <v>1</v>
      </c>
      <c r="CE28" s="169" t="s">
        <v>58</v>
      </c>
      <c r="CF28" s="169">
        <v>2.5</v>
      </c>
      <c r="CG28" s="169" t="s">
        <v>176</v>
      </c>
      <c r="CH28" s="137"/>
      <c r="CI28" s="137"/>
      <c r="CJ28" s="137"/>
      <c r="CK28" s="137"/>
      <c r="CL28" s="137"/>
      <c r="CM28" s="137"/>
      <c r="CN28" s="137"/>
      <c r="CO28" s="137"/>
      <c r="CP28" s="137"/>
      <c r="CQ28" s="137"/>
      <c r="CR28" s="137"/>
      <c r="CS28" s="137"/>
      <c r="CT28" s="137"/>
      <c r="CU28" s="137"/>
      <c r="CV28" s="137"/>
      <c r="CW28" s="137"/>
      <c r="CX28" s="137"/>
      <c r="CY28" s="137"/>
      <c r="CZ28" s="137"/>
      <c r="DA28" s="137"/>
      <c r="DB28" s="137"/>
      <c r="DC28" s="137"/>
      <c r="DD28" s="137"/>
      <c r="DE28" s="137"/>
      <c r="DF28" s="137"/>
      <c r="DG28" s="137"/>
      <c r="DH28" s="137"/>
      <c r="DI28" s="137"/>
      <c r="DJ28" s="137"/>
      <c r="DK28" s="137"/>
      <c r="DL28" s="137"/>
      <c r="DM28" s="137"/>
      <c r="DN28" s="137"/>
      <c r="DO28" s="137"/>
      <c r="DP28" s="137"/>
      <c r="DQ28" s="137"/>
      <c r="DR28" s="137"/>
      <c r="DS28" s="137"/>
      <c r="DT28" s="137"/>
      <c r="DU28" s="137"/>
      <c r="DV28" s="137"/>
      <c r="DW28" s="137"/>
      <c r="DX28" s="137"/>
      <c r="DY28" s="137"/>
      <c r="DZ28" s="137"/>
      <c r="EA28" s="137"/>
      <c r="EB28" s="137"/>
      <c r="EC28" s="137"/>
      <c r="ED28" s="137"/>
      <c r="EE28" s="137"/>
      <c r="EF28" s="137"/>
    </row>
    <row r="29" spans="1:148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1201.18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BR29" s="137"/>
      <c r="BS29" s="137"/>
      <c r="BT29" s="137"/>
      <c r="BU29" s="137"/>
      <c r="BV29" s="137"/>
      <c r="BW29" s="137"/>
      <c r="BX29" s="304" t="s">
        <v>198</v>
      </c>
      <c r="BY29" s="305"/>
      <c r="BZ29" s="306">
        <f>CS24</f>
        <v>2202.16</v>
      </c>
      <c r="CA29" s="306"/>
      <c r="CB29" s="137"/>
      <c r="CC29" s="137"/>
      <c r="CD29" s="169">
        <v>1</v>
      </c>
      <c r="CE29" s="169" t="s">
        <v>163</v>
      </c>
      <c r="CF29" s="169">
        <v>1E-3</v>
      </c>
      <c r="CG29" s="169" t="s">
        <v>185</v>
      </c>
      <c r="CH29" s="137"/>
      <c r="CI29" s="137"/>
      <c r="CJ29" s="137"/>
      <c r="CK29" s="137"/>
      <c r="CL29" s="137"/>
      <c r="CM29" s="137"/>
      <c r="CN29" s="137"/>
      <c r="CO29" s="137"/>
      <c r="CP29" s="137"/>
      <c r="CQ29" s="137"/>
      <c r="CR29" s="137"/>
      <c r="CS29" s="137"/>
      <c r="CT29" s="137"/>
      <c r="CU29" s="137"/>
      <c r="CV29" s="137"/>
      <c r="CW29" s="137"/>
      <c r="CX29" s="137"/>
      <c r="CY29" s="137"/>
      <c r="CZ29" s="137"/>
      <c r="DA29" s="137"/>
      <c r="DB29" s="137"/>
      <c r="DC29" s="137"/>
      <c r="DD29" s="137"/>
      <c r="DE29" s="137"/>
      <c r="DF29" s="137"/>
      <c r="DG29" s="137"/>
      <c r="DH29" s="137"/>
      <c r="DI29" s="137"/>
      <c r="DJ29" s="137"/>
      <c r="DK29" s="137"/>
      <c r="DL29" s="137"/>
      <c r="DM29" s="137"/>
      <c r="DN29" s="137"/>
      <c r="DO29" s="137"/>
      <c r="DP29" s="137"/>
      <c r="DQ29" s="137"/>
      <c r="DR29" s="137"/>
      <c r="DS29" s="137"/>
      <c r="DT29" s="137"/>
      <c r="DU29" s="137"/>
      <c r="DV29" s="137"/>
      <c r="DW29" s="137"/>
      <c r="DX29" s="137"/>
      <c r="DY29" s="137"/>
      <c r="DZ29" s="137"/>
      <c r="EA29" s="137"/>
      <c r="EB29" s="137"/>
      <c r="EC29" s="137"/>
      <c r="ED29" s="137"/>
      <c r="EE29" s="137"/>
      <c r="EF29" s="137"/>
    </row>
    <row r="30" spans="1:148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7874.39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  <c r="BR30" s="137"/>
      <c r="BS30" s="137"/>
      <c r="BT30" s="137"/>
      <c r="BU30" s="137"/>
      <c r="BV30" s="137"/>
      <c r="BW30" s="137"/>
      <c r="BX30" s="304" t="s">
        <v>199</v>
      </c>
      <c r="BY30" s="305"/>
      <c r="BZ30" s="307">
        <f>BZ28+BZ29</f>
        <v>14436.38</v>
      </c>
      <c r="CA30" s="307"/>
      <c r="CB30" s="137"/>
      <c r="CC30" s="137"/>
      <c r="CD30" s="137"/>
      <c r="CE30" s="137"/>
      <c r="CF30" s="137"/>
      <c r="CG30" s="137"/>
      <c r="CH30" s="137"/>
      <c r="CI30" s="137"/>
      <c r="CJ30" s="137"/>
      <c r="CK30" s="137"/>
      <c r="CL30" s="137"/>
      <c r="CM30" s="137"/>
      <c r="CN30" s="137"/>
      <c r="CO30" s="137"/>
      <c r="CP30" s="137"/>
      <c r="CQ30" s="137"/>
      <c r="CR30" s="137"/>
      <c r="CS30" s="137"/>
      <c r="CT30" s="137"/>
      <c r="CU30" s="137"/>
      <c r="CV30" s="137"/>
      <c r="CW30" s="137"/>
      <c r="CX30" s="137"/>
      <c r="CY30" s="137"/>
      <c r="CZ30" s="137"/>
      <c r="DA30" s="137"/>
      <c r="DB30" s="137"/>
      <c r="DC30" s="137"/>
      <c r="DD30" s="137"/>
      <c r="DE30" s="137"/>
      <c r="DF30" s="137"/>
      <c r="DG30" s="137"/>
      <c r="DH30" s="137"/>
      <c r="DI30" s="137"/>
      <c r="DJ30" s="137"/>
      <c r="DK30" s="137"/>
      <c r="DL30" s="137"/>
      <c r="DM30" s="137"/>
      <c r="DN30" s="137"/>
      <c r="DO30" s="137"/>
      <c r="DP30" s="137"/>
      <c r="DQ30" s="137"/>
      <c r="DR30" s="137"/>
      <c r="DS30" s="137"/>
      <c r="DT30" s="137"/>
      <c r="DU30" s="137"/>
      <c r="DV30" s="137"/>
      <c r="DW30" s="137"/>
      <c r="DX30" s="137"/>
      <c r="DY30" s="137"/>
      <c r="DZ30" s="137"/>
      <c r="EA30" s="137"/>
      <c r="EB30" s="137"/>
      <c r="EC30" s="137"/>
      <c r="ED30" s="137"/>
      <c r="EE30" s="137"/>
      <c r="EF30" s="137"/>
    </row>
    <row r="31" spans="1:148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  <c r="BR31" s="137"/>
      <c r="BS31" s="137"/>
      <c r="BT31" s="137"/>
      <c r="BU31" s="137"/>
      <c r="BV31" s="137"/>
      <c r="BW31" s="137"/>
      <c r="BX31" s="137"/>
      <c r="BY31" s="137"/>
      <c r="BZ31" s="137"/>
      <c r="CA31" s="137"/>
      <c r="CB31" s="137"/>
      <c r="CC31" s="137"/>
      <c r="CD31" s="137"/>
      <c r="CE31" s="137"/>
      <c r="CF31" s="137"/>
      <c r="CG31" s="137"/>
      <c r="CH31" s="137"/>
      <c r="CI31" s="137"/>
      <c r="CJ31" s="137"/>
      <c r="CK31" s="137"/>
      <c r="CL31" s="137"/>
      <c r="CM31" s="137"/>
      <c r="CN31" s="137"/>
      <c r="CO31" s="137"/>
      <c r="CP31" s="137"/>
      <c r="CQ31" s="137"/>
      <c r="CR31" s="137"/>
      <c r="CS31" s="137"/>
      <c r="CT31" s="137"/>
      <c r="CU31" s="137"/>
      <c r="CV31" s="137"/>
      <c r="CW31" s="137"/>
      <c r="CX31" s="137"/>
      <c r="CY31" s="137"/>
      <c r="CZ31" s="137"/>
      <c r="DA31" s="137"/>
      <c r="DB31" s="137"/>
      <c r="DC31" s="137"/>
      <c r="DD31" s="137"/>
      <c r="DE31" s="137"/>
      <c r="DF31" s="137"/>
      <c r="DG31" s="137"/>
      <c r="DH31" s="137"/>
      <c r="DI31" s="137"/>
      <c r="DJ31" s="137"/>
      <c r="DK31" s="137"/>
      <c r="DL31" s="137"/>
      <c r="DM31" s="137"/>
      <c r="DN31" s="137"/>
      <c r="DO31" s="137"/>
      <c r="DP31" s="137"/>
      <c r="DQ31" s="137"/>
      <c r="DR31" s="137"/>
      <c r="DS31" s="137"/>
      <c r="DT31" s="137"/>
      <c r="DU31" s="137"/>
      <c r="DV31" s="137"/>
      <c r="DW31" s="137"/>
      <c r="DX31" s="137"/>
      <c r="DY31" s="137"/>
      <c r="DZ31" s="137"/>
      <c r="EA31" s="137"/>
      <c r="EB31" s="137"/>
      <c r="EC31" s="137"/>
      <c r="ED31" s="137" t="s">
        <v>378</v>
      </c>
      <c r="EE31" s="137" t="s">
        <v>379</v>
      </c>
      <c r="EF31" s="137"/>
    </row>
    <row r="32" spans="1:148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  <c r="BR32" s="137"/>
      <c r="BS32" s="137"/>
      <c r="BT32" s="137"/>
      <c r="BU32" s="137"/>
      <c r="BV32" s="137"/>
      <c r="BW32" s="137"/>
      <c r="BX32" s="137"/>
      <c r="BY32" s="137"/>
      <c r="BZ32" s="137"/>
      <c r="CA32" s="137"/>
      <c r="CB32" s="137"/>
      <c r="CC32" s="137"/>
      <c r="CD32" s="137"/>
      <c r="CE32" s="137"/>
      <c r="CF32" s="137"/>
      <c r="CG32" s="137"/>
      <c r="CH32" s="137"/>
      <c r="CI32" s="137"/>
      <c r="CJ32" s="137"/>
      <c r="CK32" s="137"/>
      <c r="CL32" s="137"/>
      <c r="CM32" s="137"/>
      <c r="CN32" s="137"/>
      <c r="CO32" s="137"/>
      <c r="CP32" s="137"/>
      <c r="CQ32" s="137"/>
      <c r="CR32" s="137"/>
      <c r="CS32" s="137"/>
      <c r="CT32" s="137"/>
      <c r="CU32" s="137"/>
      <c r="CV32" s="137"/>
      <c r="CW32" s="137"/>
      <c r="CX32" s="137"/>
      <c r="CY32" s="137"/>
      <c r="CZ32" s="137"/>
      <c r="DA32" s="137"/>
      <c r="DB32" s="137"/>
      <c r="DC32" s="137"/>
      <c r="DD32" s="137"/>
      <c r="DE32" s="137"/>
      <c r="DF32" s="137"/>
      <c r="DG32" s="137"/>
      <c r="DH32" s="137"/>
      <c r="DI32" s="137"/>
      <c r="DJ32" s="137"/>
      <c r="DK32" s="137"/>
      <c r="DL32" s="137"/>
      <c r="DM32" s="137"/>
      <c r="DN32" s="137"/>
      <c r="DO32" s="137"/>
      <c r="DP32" s="137"/>
      <c r="DQ32" s="137"/>
      <c r="DR32" s="137"/>
      <c r="DS32" s="137"/>
      <c r="DT32" s="137"/>
      <c r="DU32" s="137"/>
      <c r="DV32" s="137"/>
      <c r="DW32" s="137"/>
      <c r="DX32" s="137"/>
      <c r="DY32" s="137"/>
      <c r="DZ32" s="137"/>
      <c r="EA32" s="137"/>
      <c r="EB32" s="137" t="s">
        <v>380</v>
      </c>
      <c r="EC32" s="137">
        <v>12.5</v>
      </c>
      <c r="ED32" s="137">
        <f>EC34*EC35</f>
        <v>18277.77</v>
      </c>
      <c r="EE32" s="137">
        <f>EC32*EC33</f>
        <v>6092.59</v>
      </c>
      <c r="EF32" s="137"/>
    </row>
    <row r="33" spans="1:136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  <c r="BR33" s="137"/>
      <c r="BS33" s="137"/>
      <c r="BT33" s="137"/>
      <c r="BU33" s="137"/>
      <c r="BV33" s="137"/>
      <c r="BW33" s="137"/>
      <c r="BX33" s="137"/>
      <c r="BY33" s="137"/>
      <c r="BZ33" s="137"/>
      <c r="CA33" s="137"/>
      <c r="CB33" s="137"/>
      <c r="CC33" s="137"/>
      <c r="CD33" s="137"/>
      <c r="CE33" s="137"/>
      <c r="CF33" s="137"/>
      <c r="CG33" s="137"/>
      <c r="CH33" s="137"/>
      <c r="CI33" s="137"/>
      <c r="CJ33" s="137"/>
      <c r="CK33" s="137"/>
      <c r="CL33" s="137"/>
      <c r="CM33" s="137"/>
      <c r="CN33" s="137"/>
      <c r="CO33" s="137"/>
      <c r="CP33" s="137"/>
      <c r="CQ33" s="137"/>
      <c r="CR33" s="137"/>
      <c r="CS33" s="137"/>
      <c r="CT33" s="137"/>
      <c r="CU33" s="137"/>
      <c r="CV33" s="137"/>
      <c r="CW33" s="137"/>
      <c r="CX33" s="137"/>
      <c r="CY33" s="137"/>
      <c r="CZ33" s="137"/>
      <c r="DA33" s="137"/>
      <c r="DB33" s="137"/>
      <c r="DC33" s="137"/>
      <c r="DD33" s="137"/>
      <c r="DE33" s="137"/>
      <c r="DF33" s="137"/>
      <c r="DG33" s="137"/>
      <c r="DH33" s="137"/>
      <c r="DI33" s="137"/>
      <c r="DJ33" s="137"/>
      <c r="DK33" s="137"/>
      <c r="DL33" s="137"/>
      <c r="DM33" s="137"/>
      <c r="DN33" s="137"/>
      <c r="DO33" s="137"/>
      <c r="DP33" s="137"/>
      <c r="DQ33" s="137"/>
      <c r="DR33" s="137"/>
      <c r="DS33" s="137"/>
      <c r="DT33" s="137"/>
      <c r="DU33" s="137"/>
      <c r="DV33" s="137"/>
      <c r="DW33" s="137"/>
      <c r="DX33" s="137"/>
      <c r="DY33" s="137"/>
      <c r="DZ33" s="137"/>
      <c r="EA33" s="137"/>
      <c r="EB33" s="137" t="s">
        <v>381</v>
      </c>
      <c r="EC33" s="137">
        <v>487.40719999999999</v>
      </c>
      <c r="ED33" s="137">
        <f>EC32+EC34</f>
        <v>50</v>
      </c>
      <c r="EE33" s="137"/>
      <c r="EF33" s="137"/>
    </row>
    <row r="34" spans="1:136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  <c r="BR34" s="137"/>
      <c r="BS34" s="137"/>
      <c r="BT34" s="137"/>
      <c r="BU34" s="137"/>
      <c r="BV34" s="137"/>
      <c r="BW34" s="137"/>
      <c r="BX34" s="137"/>
      <c r="BY34" s="137"/>
      <c r="BZ34" s="137"/>
      <c r="CA34" s="137"/>
      <c r="CB34" s="137"/>
      <c r="CC34" s="137"/>
      <c r="CD34" s="137"/>
      <c r="CE34" s="137"/>
      <c r="CF34" s="137"/>
      <c r="CG34" s="137"/>
      <c r="CH34" s="137"/>
      <c r="CI34" s="137"/>
      <c r="CJ34" s="137"/>
      <c r="CK34" s="137"/>
      <c r="CL34" s="137"/>
      <c r="CM34" s="137"/>
      <c r="CN34" s="137"/>
      <c r="CO34" s="137"/>
      <c r="CP34" s="137"/>
      <c r="CQ34" s="137"/>
      <c r="CR34" s="137"/>
      <c r="CS34" s="137"/>
      <c r="CT34" s="137"/>
      <c r="CU34" s="137"/>
      <c r="CV34" s="137"/>
      <c r="CW34" s="137"/>
      <c r="CX34" s="137"/>
      <c r="CY34" s="137"/>
      <c r="CZ34" s="137"/>
      <c r="DA34" s="137"/>
      <c r="DB34" s="137"/>
      <c r="DC34" s="137"/>
      <c r="DD34" s="137"/>
      <c r="DE34" s="137"/>
      <c r="DF34" s="137"/>
      <c r="DG34" s="137"/>
      <c r="DH34" s="137"/>
      <c r="DI34" s="137"/>
      <c r="DJ34" s="137"/>
      <c r="DK34" s="137"/>
      <c r="DL34" s="137"/>
      <c r="DM34" s="137"/>
      <c r="DN34" s="137"/>
      <c r="DO34" s="137"/>
      <c r="DP34" s="137"/>
      <c r="DQ34" s="137"/>
      <c r="DR34" s="137"/>
      <c r="DS34" s="137"/>
      <c r="DT34" s="137"/>
      <c r="DU34" s="137"/>
      <c r="DV34" s="137"/>
      <c r="DW34" s="137"/>
      <c r="DX34" s="137"/>
      <c r="DY34" s="137"/>
      <c r="DZ34" s="137"/>
      <c r="EA34" s="137"/>
      <c r="EB34" s="137" t="s">
        <v>382</v>
      </c>
      <c r="EC34" s="137">
        <v>37.5</v>
      </c>
      <c r="ED34" s="137"/>
      <c r="EE34" s="137"/>
      <c r="EF34" s="137"/>
    </row>
    <row r="35" spans="1:136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  <c r="BR35" s="137"/>
      <c r="BS35" s="137"/>
      <c r="BT35" s="137"/>
      <c r="BU35" s="137"/>
      <c r="BV35" s="137"/>
      <c r="BW35" s="137"/>
      <c r="BX35" s="137"/>
      <c r="BY35" s="137"/>
      <c r="BZ35" s="137"/>
      <c r="CA35" s="137"/>
      <c r="CB35" s="137"/>
      <c r="CC35" s="137"/>
      <c r="CD35" s="137"/>
      <c r="CE35" s="137"/>
      <c r="CF35" s="137"/>
      <c r="CG35" s="137"/>
      <c r="CH35" s="137"/>
      <c r="CI35" s="137"/>
      <c r="CJ35" s="137"/>
      <c r="CK35" s="137"/>
      <c r="CL35" s="137"/>
      <c r="CM35" s="137"/>
      <c r="CN35" s="137"/>
      <c r="CO35" s="137"/>
      <c r="CP35" s="137"/>
      <c r="CQ35" s="137"/>
      <c r="CR35" s="137"/>
      <c r="CS35" s="137"/>
      <c r="CT35" s="137"/>
      <c r="CU35" s="137"/>
      <c r="CV35" s="137"/>
      <c r="CW35" s="137"/>
      <c r="CX35" s="137"/>
      <c r="CY35" s="137"/>
      <c r="CZ35" s="137"/>
      <c r="DA35" s="137"/>
      <c r="DB35" s="137"/>
      <c r="DC35" s="137"/>
      <c r="DD35" s="137"/>
      <c r="DE35" s="137"/>
      <c r="DF35" s="137"/>
      <c r="DG35" s="137"/>
      <c r="DH35" s="137"/>
      <c r="DI35" s="137"/>
      <c r="DJ35" s="137"/>
      <c r="DK35" s="137"/>
      <c r="DL35" s="137"/>
      <c r="DM35" s="137"/>
      <c r="DN35" s="137"/>
      <c r="DO35" s="137"/>
      <c r="DP35" s="137"/>
      <c r="DQ35" s="137"/>
      <c r="DR35" s="137"/>
      <c r="DS35" s="137"/>
      <c r="DT35" s="137"/>
      <c r="DU35" s="137"/>
      <c r="DV35" s="137"/>
      <c r="DW35" s="137"/>
      <c r="DX35" s="137"/>
      <c r="DY35" s="137"/>
      <c r="DZ35" s="137"/>
      <c r="EA35" s="137"/>
      <c r="EB35" s="137" t="s">
        <v>383</v>
      </c>
      <c r="EC35" s="137">
        <v>487.40719999999999</v>
      </c>
      <c r="ED35" s="137"/>
      <c r="EE35" s="137"/>
      <c r="EF35" s="137"/>
    </row>
    <row r="36" spans="1:136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  <c r="BR36" s="137"/>
      <c r="BS36" s="137"/>
      <c r="BT36" s="137"/>
      <c r="BU36" s="137"/>
      <c r="BV36" s="137"/>
      <c r="BW36" s="137"/>
      <c r="BX36" s="137"/>
      <c r="BY36" s="137"/>
      <c r="BZ36" s="137"/>
      <c r="CA36" s="137"/>
      <c r="CB36" s="137"/>
      <c r="CC36" s="137"/>
      <c r="CD36" s="137"/>
      <c r="CE36" s="137"/>
      <c r="CF36" s="137"/>
      <c r="CG36" s="137"/>
      <c r="CH36" s="137"/>
      <c r="CI36" s="137"/>
      <c r="CJ36" s="137"/>
      <c r="CK36" s="137"/>
      <c r="CL36" s="137"/>
      <c r="CM36" s="137"/>
      <c r="CN36" s="137"/>
      <c r="CO36" s="137"/>
      <c r="CP36" s="137"/>
      <c r="CQ36" s="137"/>
      <c r="CR36" s="137"/>
      <c r="CS36" s="137"/>
      <c r="CT36" s="137"/>
      <c r="CU36" s="137"/>
      <c r="CV36" s="137"/>
      <c r="CW36" s="137"/>
      <c r="CX36" s="137"/>
      <c r="CY36" s="137"/>
      <c r="CZ36" s="137"/>
      <c r="DA36" s="137"/>
      <c r="DB36" s="137"/>
      <c r="DC36" s="137"/>
      <c r="DD36" s="137"/>
      <c r="DE36" s="137"/>
      <c r="DF36" s="137"/>
      <c r="DG36" s="137"/>
      <c r="DH36" s="137"/>
      <c r="DI36" s="137"/>
      <c r="DJ36" s="137"/>
      <c r="DK36" s="137"/>
      <c r="DL36" s="137"/>
      <c r="DM36" s="137"/>
      <c r="DN36" s="137"/>
      <c r="DO36" s="137"/>
      <c r="DP36" s="137"/>
      <c r="DQ36" s="137"/>
      <c r="DR36" s="137"/>
      <c r="DS36" s="137"/>
      <c r="DT36" s="137"/>
      <c r="DU36" s="137"/>
      <c r="DV36" s="137"/>
      <c r="DW36" s="137"/>
      <c r="DX36" s="137"/>
      <c r="DY36" s="137"/>
      <c r="DZ36" s="137"/>
      <c r="EA36" s="137"/>
      <c r="EB36" s="137"/>
      <c r="EC36" s="137"/>
      <c r="ED36" s="137">
        <f>ED32+EE32</f>
        <v>24370.36</v>
      </c>
      <c r="EE36" s="137">
        <f>ED36/ED33</f>
        <v>487.40719999999999</v>
      </c>
      <c r="EF36" s="137"/>
    </row>
    <row r="37" spans="1:136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  <c r="BR37" s="137"/>
      <c r="BS37" s="137"/>
      <c r="BT37" s="137"/>
      <c r="BU37" s="137"/>
      <c r="BV37" s="137"/>
      <c r="BW37" s="137"/>
      <c r="BX37" s="137"/>
      <c r="BY37" s="137"/>
      <c r="BZ37" s="137"/>
      <c r="CA37" s="137"/>
      <c r="CB37" s="137"/>
      <c r="CC37" s="137"/>
      <c r="CD37" s="137"/>
      <c r="CE37" s="137"/>
      <c r="CF37" s="137"/>
      <c r="CG37" s="137"/>
      <c r="CH37" s="137"/>
      <c r="CI37" s="137"/>
      <c r="CJ37" s="137"/>
      <c r="CK37" s="137"/>
      <c r="CL37" s="137"/>
      <c r="CM37" s="137"/>
      <c r="CN37" s="137"/>
      <c r="CO37" s="137"/>
      <c r="CP37" s="137"/>
      <c r="CQ37" s="137"/>
      <c r="CR37" s="137"/>
      <c r="CS37" s="137"/>
      <c r="CT37" s="137"/>
      <c r="CU37" s="137"/>
      <c r="CV37" s="137"/>
      <c r="CW37" s="137"/>
      <c r="CX37" s="137"/>
      <c r="CY37" s="137"/>
      <c r="CZ37" s="137"/>
      <c r="DA37" s="137"/>
      <c r="DB37" s="137"/>
      <c r="DC37" s="137"/>
      <c r="DD37" s="137"/>
      <c r="DE37" s="137"/>
      <c r="DF37" s="137"/>
      <c r="DG37" s="137"/>
      <c r="DH37" s="137"/>
      <c r="DI37" s="137"/>
      <c r="DJ37" s="137"/>
      <c r="DK37" s="137"/>
      <c r="DL37" s="137"/>
      <c r="DM37" s="137"/>
      <c r="DN37" s="137"/>
      <c r="DO37" s="137"/>
      <c r="DP37" s="137"/>
      <c r="DQ37" s="137"/>
      <c r="DR37" s="137"/>
      <c r="DS37" s="137"/>
      <c r="DT37" s="137"/>
      <c r="DU37" s="137"/>
      <c r="DV37" s="137"/>
      <c r="DW37" s="137"/>
      <c r="DX37" s="137"/>
      <c r="DY37" s="137"/>
      <c r="DZ37" s="137"/>
      <c r="EA37" s="137"/>
      <c r="EB37" s="137"/>
      <c r="EC37" s="137"/>
      <c r="ED37" s="137"/>
      <c r="EE37" s="137"/>
      <c r="EF37" s="137"/>
    </row>
    <row r="38" spans="1:136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  <c r="BR38" s="137"/>
      <c r="BS38" s="137"/>
      <c r="BT38" s="137"/>
      <c r="BU38" s="137"/>
      <c r="BV38" s="137"/>
      <c r="BW38" s="137"/>
      <c r="BX38" s="137"/>
      <c r="BY38" s="137"/>
      <c r="BZ38" s="137"/>
      <c r="CA38" s="137"/>
      <c r="CB38" s="137"/>
      <c r="CC38" s="137"/>
      <c r="CD38" s="137"/>
      <c r="CE38" s="137"/>
      <c r="CF38" s="137"/>
      <c r="CG38" s="137"/>
      <c r="CH38" s="137"/>
      <c r="CI38" s="137"/>
      <c r="CJ38" s="137"/>
      <c r="CK38" s="137"/>
      <c r="CL38" s="137"/>
      <c r="CM38" s="137"/>
      <c r="CN38" s="137"/>
      <c r="CO38" s="137"/>
      <c r="CP38" s="137"/>
      <c r="CQ38" s="137"/>
      <c r="CR38" s="137"/>
      <c r="CS38" s="137"/>
      <c r="CT38" s="137"/>
      <c r="CU38" s="137"/>
      <c r="CV38" s="137"/>
      <c r="CW38" s="137"/>
      <c r="CX38" s="137"/>
      <c r="CY38" s="137"/>
      <c r="CZ38" s="137"/>
      <c r="DA38" s="137"/>
      <c r="DB38" s="137"/>
      <c r="DC38" s="137"/>
      <c r="DD38" s="137"/>
      <c r="DE38" s="137"/>
      <c r="DF38" s="137"/>
      <c r="DG38" s="137"/>
      <c r="DH38" s="137"/>
      <c r="DI38" s="137"/>
      <c r="DJ38" s="137"/>
      <c r="DK38" s="137"/>
      <c r="DL38" s="137"/>
      <c r="DM38" s="137"/>
      <c r="DN38" s="137"/>
      <c r="DO38" s="137"/>
      <c r="DP38" s="137"/>
      <c r="DQ38" s="137"/>
      <c r="DR38" s="137"/>
      <c r="DS38" s="137"/>
      <c r="DT38" s="137"/>
      <c r="DU38" s="137"/>
      <c r="DV38" s="137"/>
      <c r="DW38" s="137"/>
      <c r="DX38" s="137"/>
      <c r="DY38" s="137"/>
      <c r="DZ38" s="137"/>
      <c r="EA38" s="137"/>
      <c r="EB38" s="137"/>
      <c r="EC38" s="137"/>
      <c r="ED38" s="137"/>
      <c r="EE38" s="137"/>
      <c r="EF38" s="137"/>
    </row>
  </sheetData>
  <mergeCells count="28">
    <mergeCell ref="G29:H29"/>
    <mergeCell ref="I29:J29"/>
    <mergeCell ref="BX29:BY29"/>
    <mergeCell ref="BZ29:CA29"/>
    <mergeCell ref="G30:H30"/>
    <mergeCell ref="I30:J30"/>
    <mergeCell ref="BX30:BY30"/>
    <mergeCell ref="BZ30:CA30"/>
    <mergeCell ref="G27:H27"/>
    <mergeCell ref="I27:J27"/>
    <mergeCell ref="BX27:BY27"/>
    <mergeCell ref="BZ27:CA27"/>
    <mergeCell ref="G28:H28"/>
    <mergeCell ref="I28:J28"/>
    <mergeCell ref="BX28:BY28"/>
    <mergeCell ref="BZ28:CA28"/>
    <mergeCell ref="CD26:CG26"/>
    <mergeCell ref="A1:AC1"/>
    <mergeCell ref="BR1:CT1"/>
    <mergeCell ref="B19:G19"/>
    <mergeCell ref="BS19:BX19"/>
    <mergeCell ref="A21:B21"/>
    <mergeCell ref="BR21:BS21"/>
    <mergeCell ref="G26:H26"/>
    <mergeCell ref="I26:J26"/>
    <mergeCell ref="M26:P26"/>
    <mergeCell ref="BX26:BY26"/>
    <mergeCell ref="BZ26:CA26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B42"/>
  <sheetViews>
    <sheetView topLeftCell="BV16" workbookViewId="0">
      <selection activeCell="CB28" sqref="CB28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8" t="s">
        <v>47</v>
      </c>
      <c r="B2" s="268"/>
      <c r="C2" s="268"/>
      <c r="D2" s="268"/>
      <c r="E2" s="268"/>
      <c r="F2" s="268"/>
      <c r="G2" s="268"/>
      <c r="H2" s="26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686</v>
      </c>
      <c r="H23" s="170">
        <f>F23*G23</f>
        <v>6600</v>
      </c>
      <c r="I23">
        <v>1</v>
      </c>
      <c r="J23" s="170">
        <v>2</v>
      </c>
      <c r="K23" s="170">
        <v>3</v>
      </c>
      <c r="L23" s="170">
        <f>H23</f>
        <v>6600</v>
      </c>
      <c r="M23" s="170">
        <f>ROUND(L23*I23%,2)</f>
        <v>66</v>
      </c>
      <c r="N23" s="170">
        <f>H23-M23</f>
        <v>6534</v>
      </c>
      <c r="O23" s="170">
        <f>ROUND(N23*J23%,2)</f>
        <v>130.68</v>
      </c>
      <c r="P23" s="170">
        <f>ROUND(N23-O23,2)</f>
        <v>6403.32</v>
      </c>
      <c r="Q23" s="170">
        <f>ROUND(P23*K23%,2)</f>
        <v>192.1</v>
      </c>
      <c r="R23" s="170">
        <f>ROUND((M23+O23+Q23),2)</f>
        <v>388.78</v>
      </c>
      <c r="S23" s="170">
        <f>ROUND((H23-R23),2)</f>
        <v>6211.22</v>
      </c>
      <c r="T23" s="171" t="s">
        <v>146</v>
      </c>
      <c r="U23" s="172">
        <v>0.18</v>
      </c>
      <c r="V23" s="170">
        <f>IF(OR($C$21=1,$C$21=4),ROUND(((S23*U23)/2),2),0)</f>
        <v>559.01</v>
      </c>
      <c r="W23" s="170">
        <f>IF($C$21=1,ROUND(((S23*U23)/2),2),0)</f>
        <v>559.01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1118.02</v>
      </c>
      <c r="AC23" s="169">
        <f>IF($V21=1,S23+AB23,S23)</f>
        <v>6211.22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6211.22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6211.22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6211.22</v>
      </c>
      <c r="AS23" s="175" t="s">
        <v>518</v>
      </c>
      <c r="AT23" s="175" t="s">
        <v>58</v>
      </c>
      <c r="AU23" t="s">
        <v>239</v>
      </c>
      <c r="AV23" t="s">
        <v>687</v>
      </c>
      <c r="AW23" s="175">
        <f>AM23</f>
        <v>1</v>
      </c>
      <c r="AX23" s="175">
        <f>AR23</f>
        <v>6211.22</v>
      </c>
      <c r="AY23" s="175">
        <f>AU23+AW23</f>
        <v>1</v>
      </c>
      <c r="AZ23" s="175">
        <f>ROUND(((AU23*AV23)+(AW23*AX23))/(AU23+AW23),5)</f>
        <v>6211.22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689</v>
      </c>
      <c r="BN23" t="s">
        <v>688</v>
      </c>
      <c r="BO23" s="175">
        <f>ROUND((((AW23*AZ23)+(BN23*BM23))/(AW23+BN23)),5)</f>
        <v>2644.8006599999999</v>
      </c>
      <c r="BP23" s="87">
        <f>BN23+AW23</f>
        <v>486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12511.220000000001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559.01</v>
      </c>
      <c r="CQ23">
        <f>W23</f>
        <v>559.01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0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686</v>
      </c>
      <c r="H24" s="170">
        <f>F24*G24</f>
        <v>6600</v>
      </c>
      <c r="I24">
        <v>0</v>
      </c>
      <c r="J24" s="170">
        <v>0</v>
      </c>
      <c r="K24" s="170">
        <v>0</v>
      </c>
      <c r="L24" s="170">
        <f>H24</f>
        <v>6600</v>
      </c>
      <c r="M24" s="170">
        <f>ROUND(L24*I24%,2)</f>
        <v>0</v>
      </c>
      <c r="N24" s="170">
        <f>H24-M24</f>
        <v>6600</v>
      </c>
      <c r="O24" s="170">
        <f>ROUND(N24*J24%,2)</f>
        <v>0</v>
      </c>
      <c r="P24" s="170">
        <f>ROUND(N24-O24,2)</f>
        <v>6600</v>
      </c>
      <c r="Q24" s="170">
        <f>ROUND(P24*K24%,2)</f>
        <v>0</v>
      </c>
      <c r="R24" s="170">
        <f>ROUND((M24+O24+Q24),2)</f>
        <v>0</v>
      </c>
      <c r="S24" s="170">
        <f>ROUND((H24-R24),2)</f>
        <v>6600</v>
      </c>
      <c r="T24" s="171" t="s">
        <v>146</v>
      </c>
      <c r="U24" s="172">
        <v>0.18</v>
      </c>
      <c r="V24" s="170">
        <f>IF(OR($C$21=1,$C$21=4),ROUND(((S24*U24)/2),2),0)</f>
        <v>594</v>
      </c>
      <c r="W24" s="170">
        <f>IF($C$21=1,ROUND(((S24*U24)/2),2),0)</f>
        <v>594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1188</v>
      </c>
      <c r="AC24" s="169">
        <f>IF($V21=1,S24+AB24,S24)</f>
        <v>6600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6600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6600</v>
      </c>
      <c r="AY24" s="175">
        <f>AU24+AW24</f>
        <v>1</v>
      </c>
      <c r="AZ24" s="175">
        <f>ROUND(((AU24*AV24)+(AW24*AX24))/(AU24+AW24),5)</f>
        <v>6600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677</v>
      </c>
      <c r="BN24" t="s">
        <v>676</v>
      </c>
      <c r="BO24" s="175">
        <f>ROUND((((AW24*AZ24)+(BN24*BM24))/(AW24+BN24)),5)</f>
        <v>2259.7935499999999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6600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P27" si="2">V24</f>
        <v>594</v>
      </c>
      <c r="CQ24">
        <f t="shared" ref="CQ24:CQ27" si="3">W24</f>
        <v>594</v>
      </c>
      <c r="CR24">
        <f t="shared" ref="CR24:CS27" si="4">X24</f>
        <v>0</v>
      </c>
      <c r="CS24">
        <f t="shared" si="4"/>
        <v>0</v>
      </c>
      <c r="CT24">
        <f t="shared" ref="CT24:CT27" si="5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269" t="s">
        <v>627</v>
      </c>
      <c r="CC25" s="266">
        <f>V28</f>
        <v>1720.01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3"/>
        <v>189</v>
      </c>
      <c r="CR25">
        <f t="shared" si="4"/>
        <v>0</v>
      </c>
      <c r="CS25">
        <f t="shared" si="4"/>
        <v>0</v>
      </c>
      <c r="CT25">
        <f t="shared" si="5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9" t="s">
        <v>628</v>
      </c>
      <c r="CC26" s="266">
        <f>W28</f>
        <v>1720.01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3"/>
        <v>189</v>
      </c>
      <c r="CR26">
        <f t="shared" si="4"/>
        <v>0</v>
      </c>
      <c r="CS26">
        <f t="shared" si="4"/>
        <v>0</v>
      </c>
      <c r="CT26">
        <f t="shared" si="5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>
        <f>IF(AU28&gt;=ROUND(AU28,0),ROUND(AU28-ROUND(AU28,0),2),0)</f>
        <v>0</v>
      </c>
      <c r="CD27">
        <f>IF(AU28&lt;=ROUND(AU28,0),ROUND(ROUND(AU28,0)-AU28,2),0)</f>
        <v>0.22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3"/>
        <v>189</v>
      </c>
      <c r="CR27">
        <f t="shared" si="4"/>
        <v>0</v>
      </c>
      <c r="CS27">
        <f t="shared" si="4"/>
        <v>0</v>
      </c>
      <c r="CT27">
        <f t="shared" si="5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1720.01</v>
      </c>
      <c r="W28" s="181">
        <f>SUM(W23:W27)</f>
        <v>1720.01</v>
      </c>
      <c r="X28" s="181">
        <f>SUM(X23:X27)</f>
        <v>0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3440.02</v>
      </c>
      <c r="AC28" s="183">
        <f>SUM(AC23:AC27)</f>
        <v>19111.22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19111</v>
      </c>
      <c r="AU28">
        <f>AT28-AC28</f>
        <v>-0.22000000000116415</v>
      </c>
      <c r="AW28" s="137">
        <f>SUMIF(BX23:BX27,"Item",S23:S27)</f>
        <v>12511.220000000001</v>
      </c>
      <c r="AX28" s="137">
        <f>SUMIF(BX23:BX27,"Exp.",S23:S27)</f>
        <v>6600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69" t="s">
        <v>629</v>
      </c>
      <c r="CC28">
        <v>0</v>
      </c>
      <c r="CD28">
        <f>CC25</f>
        <v>1720.01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69" t="s">
        <v>630</v>
      </c>
      <c r="CC29">
        <v>0</v>
      </c>
      <c r="CD29" s="230">
        <f>CC26</f>
        <v>1720.01</v>
      </c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  <c r="CB30" s="190" t="s">
        <v>675</v>
      </c>
      <c r="CC30" s="266">
        <v>0</v>
      </c>
      <c r="CD30">
        <f>AT28</f>
        <v>19111</v>
      </c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3440.02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5540.02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CA42"/>
  <sheetViews>
    <sheetView topLeftCell="BR19" workbookViewId="0">
      <selection activeCell="D35" sqref="D3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543</v>
      </c>
      <c r="H23" s="170">
        <f>F23*G23</f>
        <v>3900</v>
      </c>
      <c r="I23">
        <v>1</v>
      </c>
      <c r="J23" s="170">
        <v>1</v>
      </c>
      <c r="K23" s="170">
        <v>1</v>
      </c>
      <c r="L23" s="170">
        <f>H23</f>
        <v>3900</v>
      </c>
      <c r="M23" s="170">
        <f>ROUND(L23*I23%,2)</f>
        <v>39</v>
      </c>
      <c r="N23" s="170">
        <f>H23-M23</f>
        <v>3861</v>
      </c>
      <c r="O23" s="170">
        <f>ROUND(N23*J23%,2)</f>
        <v>38.61</v>
      </c>
      <c r="P23" s="170">
        <f>ROUND(N23-O23,2)</f>
        <v>3822.39</v>
      </c>
      <c r="Q23" s="170">
        <f>ROUND(P23*K23%,2)</f>
        <v>38.22</v>
      </c>
      <c r="R23" s="170">
        <f>ROUND((M23+O23+Q23),2)</f>
        <v>115.83</v>
      </c>
      <c r="S23" s="170">
        <f>ROUND((H23-R23),2)</f>
        <v>3784.17</v>
      </c>
      <c r="T23" s="171" t="s">
        <v>146</v>
      </c>
      <c r="U23" s="172">
        <v>0.18</v>
      </c>
      <c r="V23" s="170">
        <f>IF(OR($C$21=1,$C$21=4),ROUND(((S23*U23)/2),2),0)</f>
        <v>340.58</v>
      </c>
      <c r="W23" s="170">
        <f>IF($C$21=1,ROUND(((S23*U23)/2),2),0)</f>
        <v>340.58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681.16</v>
      </c>
      <c r="AC23" s="169">
        <f>IF($V21=1,S23+AB23,S23)</f>
        <v>4465.33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3784.17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3784.17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3784.17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3784.17</v>
      </c>
      <c r="AY23" s="175">
        <f>AU23+AW23</f>
        <v>1</v>
      </c>
      <c r="AZ23" s="175">
        <f>ROUND(((AU23*AV23)+(AW23*AX23))/(AU23+AW23),5)</f>
        <v>3784.17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490.32382999999999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543</v>
      </c>
      <c r="H24" s="170">
        <f>F24*G24</f>
        <v>3900</v>
      </c>
      <c r="I24">
        <v>0</v>
      </c>
      <c r="J24" s="170">
        <v>0</v>
      </c>
      <c r="K24" s="170">
        <v>0</v>
      </c>
      <c r="L24" s="170">
        <f>H24</f>
        <v>3900</v>
      </c>
      <c r="M24" s="170">
        <f>ROUND(L24*I24%,2)</f>
        <v>0</v>
      </c>
      <c r="N24" s="170">
        <f>H24-M24</f>
        <v>3900</v>
      </c>
      <c r="O24" s="170">
        <f>ROUND(N24*J24%,2)</f>
        <v>0</v>
      </c>
      <c r="P24" s="170">
        <f>ROUND(N24-O24,2)</f>
        <v>3900</v>
      </c>
      <c r="Q24" s="170">
        <f>ROUND(P24*K24%,2)</f>
        <v>0</v>
      </c>
      <c r="R24" s="170">
        <f>ROUND((M24+O24+Q24),2)</f>
        <v>0</v>
      </c>
      <c r="S24" s="170">
        <f>ROUND((H24-R24),2)</f>
        <v>3900</v>
      </c>
      <c r="T24" s="171" t="s">
        <v>146</v>
      </c>
      <c r="U24" s="172">
        <v>0.18</v>
      </c>
      <c r="V24" s="170">
        <f>IF(OR($C$21=1,$C$21=4),ROUND(((S24*U24)/2),2),0)</f>
        <v>351</v>
      </c>
      <c r="W24" s="170">
        <f>IF($C$21=1,ROUND(((S24*U24)/2),2),0)</f>
        <v>351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702</v>
      </c>
      <c r="AC24" s="169">
        <f>IF($V21=1,S24+AB24,S24)</f>
        <v>4602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3900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3900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3900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3900</v>
      </c>
      <c r="AY24" s="175">
        <f>AU24+AW24</f>
        <v>1</v>
      </c>
      <c r="AZ24" s="175">
        <f>ROUND(((AU24*AV24)+(AW24*AX24))/(AU24+AW24),5)</f>
        <v>3900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490.94657999999998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SUM(S23:S27)</f>
        <v>13984.17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2517.16</v>
      </c>
      <c r="AC28" s="183">
        <f>SUM(AC23:AC27)</f>
        <v>16501.330000000002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16501</v>
      </c>
      <c r="AU28">
        <f>AT28-AC28</f>
        <v>-0.33000000000174623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13984.17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2517.16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16501.330000000002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CA42"/>
  <sheetViews>
    <sheetView topLeftCell="A25" workbookViewId="0">
      <selection activeCell="B28" sqref="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>
        <v>2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103.73</v>
      </c>
      <c r="AC23" s="169">
        <f>IF($V21=1,S23+AB23,S23)</f>
        <v>576.29999999999995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473.07722000000001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360</v>
      </c>
      <c r="H24" s="170">
        <f>F24*G24</f>
        <v>600</v>
      </c>
      <c r="I24">
        <v>0</v>
      </c>
      <c r="J24" s="170">
        <v>0</v>
      </c>
      <c r="K24" s="170">
        <v>0</v>
      </c>
      <c r="L24" s="170">
        <f>H24</f>
        <v>600</v>
      </c>
      <c r="M24" s="170">
        <f>ROUND(L24*I24%,2)</f>
        <v>0</v>
      </c>
      <c r="N24" s="170">
        <f>H24-M24</f>
        <v>600</v>
      </c>
      <c r="O24" s="170">
        <f>ROUND(N24*J24%,2)</f>
        <v>0</v>
      </c>
      <c r="P24" s="170">
        <f>ROUND(N24-O24,2)</f>
        <v>600</v>
      </c>
      <c r="Q24" s="170">
        <f>ROUND(P24*K24%,2)</f>
        <v>0</v>
      </c>
      <c r="R24" s="170">
        <f>ROUND((M24+O24+Q24),2)</f>
        <v>0</v>
      </c>
      <c r="S24" s="170">
        <f>ROUND((H24-R24),2)</f>
        <v>600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108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108</v>
      </c>
      <c r="AC24" s="169">
        <f>IF($V21=1,S24+AB24,S24)</f>
        <v>600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600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600</v>
      </c>
      <c r="AY24" s="175">
        <f>AU24+AW24</f>
        <v>1</v>
      </c>
      <c r="AZ24" s="175">
        <f>ROUND(((AU24*AV24)+(AW24*AX24))/(AU24+AW24),5)</f>
        <v>600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473.20463999999998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1345.73</v>
      </c>
      <c r="AC28" s="183">
        <f>SUM(AC23:AC27)</f>
        <v>7476.3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SUM(AI23:AI27)</f>
        <v>7476.3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7476</v>
      </c>
      <c r="AU28">
        <f>AT28-AC28</f>
        <v>-0.3000000000001819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1345.73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3445.73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B42"/>
  <sheetViews>
    <sheetView topLeftCell="BZ16" workbookViewId="0">
      <selection activeCell="CD26" sqref="CD26"/>
    </sheetView>
  </sheetViews>
  <sheetFormatPr defaultColWidth="9" defaultRowHeight="15"/>
  <cols>
    <col min="1" max="1" width="24.5703125" bestFit="1" customWidth="1"/>
    <col min="2" max="2" width="27.710937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12.8554687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70" t="s">
        <v>47</v>
      </c>
      <c r="B2" s="270"/>
      <c r="C2" s="270"/>
      <c r="D2" s="270"/>
      <c r="E2" s="270"/>
      <c r="F2" s="270"/>
      <c r="G2" s="270"/>
      <c r="H2" s="27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476</v>
      </c>
      <c r="H23" s="170">
        <f>F23*G23</f>
        <v>700</v>
      </c>
      <c r="I23" t="s">
        <v>223</v>
      </c>
      <c r="J23" s="170">
        <v>2</v>
      </c>
      <c r="K23" s="170">
        <v>3</v>
      </c>
      <c r="L23" s="170">
        <f>H23</f>
        <v>700</v>
      </c>
      <c r="M23" s="170">
        <f>ROUND(L23*I23%,2)</f>
        <v>14</v>
      </c>
      <c r="N23" s="170">
        <f>H23-M23</f>
        <v>686</v>
      </c>
      <c r="O23" s="170">
        <f>ROUND(N23*J23%,2)</f>
        <v>13.72</v>
      </c>
      <c r="P23" s="170">
        <f>ROUND(N23-O23,2)</f>
        <v>672.28</v>
      </c>
      <c r="Q23" s="170">
        <f>ROUND(P23*K23%,2)</f>
        <v>20.170000000000002</v>
      </c>
      <c r="R23" s="170">
        <f>ROUND((M23+O23+Q23),2)</f>
        <v>47.89</v>
      </c>
      <c r="S23" s="170">
        <f>ROUND((H23-R23),2)</f>
        <v>652.11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117.38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117.38</v>
      </c>
      <c r="AC23" s="169">
        <f>IF($V21=1,S23+AB23,S23)</f>
        <v>769.49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652.11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652.11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652.11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652.11</v>
      </c>
      <c r="AY23" s="175">
        <f>AU23+AW23</f>
        <v>1</v>
      </c>
      <c r="AZ23" s="175">
        <f>ROUND(((AU23*AV23)+(AW23*AX23))/(AU23+AW23),5)</f>
        <v>652.11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694</v>
      </c>
      <c r="BN23" t="s">
        <v>693</v>
      </c>
      <c r="BO23" s="175">
        <f>ROUND((((AW23*AZ23)+(BN23*BM23))/(AW23+BN23)),5)</f>
        <v>567.37702000000002</v>
      </c>
      <c r="BP23" s="87">
        <f>BN23+AW23</f>
        <v>818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6952.1100000000006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117.38</v>
      </c>
      <c r="CS23">
        <f>Y23</f>
        <v>0</v>
      </c>
      <c r="CT23">
        <f>AA23</f>
        <v>0</v>
      </c>
      <c r="CU23" t="e">
        <f>#REF!</f>
        <v>#REF!</v>
      </c>
      <c r="CV23">
        <v>0</v>
      </c>
      <c r="CW23">
        <v>0</v>
      </c>
      <c r="CX23" t="e">
        <f>CU23+#REF!</f>
        <v>#REF!</v>
      </c>
      <c r="CY23">
        <v>0</v>
      </c>
      <c r="CZ23" t="e">
        <f>CU23</f>
        <v>#REF!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471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476</v>
      </c>
      <c r="H24" s="170">
        <f>F24*G24</f>
        <v>700</v>
      </c>
      <c r="I24">
        <v>0</v>
      </c>
      <c r="J24" s="170">
        <v>0</v>
      </c>
      <c r="K24" s="170">
        <v>0</v>
      </c>
      <c r="L24" s="170">
        <f>H24</f>
        <v>700</v>
      </c>
      <c r="M24" s="170">
        <f>ROUND(L24*I24%,2)</f>
        <v>0</v>
      </c>
      <c r="N24" s="170">
        <f>H24-M24</f>
        <v>700</v>
      </c>
      <c r="O24" s="170">
        <f>ROUND(N24*J24%,2)</f>
        <v>0</v>
      </c>
      <c r="P24" s="170">
        <f>ROUND(N24-O24,2)</f>
        <v>700</v>
      </c>
      <c r="Q24" s="170">
        <f>ROUND(P24*K24%,2)</f>
        <v>0</v>
      </c>
      <c r="R24" s="170">
        <f>ROUND((M24+O24+Q24),2)</f>
        <v>0</v>
      </c>
      <c r="S24" s="170">
        <f>ROUND((H24-R24),2)</f>
        <v>700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126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126</v>
      </c>
      <c r="AC24" s="169">
        <f>IF($V21=1,S24+AB24,S24)</f>
        <v>826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700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700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700</v>
      </c>
      <c r="AS24" s="175" t="s">
        <v>309</v>
      </c>
      <c r="AT24" s="175" t="s">
        <v>58</v>
      </c>
      <c r="AU24">
        <v>0</v>
      </c>
      <c r="AV24" t="s">
        <v>678</v>
      </c>
      <c r="AW24" s="175">
        <f>AM24</f>
        <v>1</v>
      </c>
      <c r="AX24" s="175">
        <f>AR24</f>
        <v>700</v>
      </c>
      <c r="AY24" s="175">
        <f>AU24+AW24</f>
        <v>1</v>
      </c>
      <c r="AZ24" s="175">
        <f>ROUND(((AU24*AV24)+(AW24*AX24))/(AU24+AW24),5)</f>
        <v>700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681</v>
      </c>
      <c r="BM24" t="s">
        <v>680</v>
      </c>
      <c r="BN24" t="s">
        <v>679</v>
      </c>
      <c r="BO24" s="175">
        <f>ROUND((((AW24*AZ24)+(BN24*BM24))/(AW24+BN24)),5)</f>
        <v>2574.9600599999999</v>
      </c>
      <c r="BP24" s="87">
        <f>BN24+AW24</f>
        <v>478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700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126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309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682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1377.38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309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683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672</v>
      </c>
      <c r="CC26">
        <f>ABS(IF(AU28&lt;=0.5,AU28,0))</f>
        <v>0.48999999999978172</v>
      </c>
      <c r="CD26" s="266">
        <f>ABS(IF(AU28&gt;=0.5,AU28,0))</f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309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684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71" t="s">
        <v>685</v>
      </c>
      <c r="CC27" s="266">
        <v>0</v>
      </c>
      <c r="CD27">
        <f>AT28</f>
        <v>9029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1377.38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1377.38</v>
      </c>
      <c r="AC28" s="183">
        <f>SUM(AC23:AC27)</f>
        <v>9029.49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9029</v>
      </c>
      <c r="AU28">
        <f>AT28-AC28</f>
        <v>-0.48999999999978172</v>
      </c>
      <c r="AW28" s="137">
        <f>SUMIF(BX23:BX27,"Item",S23:S27)</f>
        <v>6952.1100000000006</v>
      </c>
      <c r="AX28" s="137">
        <f>SUMIF(BX23:BX27,"Exp.",S23:S27)</f>
        <v>700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1377.38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3477.38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CA42"/>
  <sheetViews>
    <sheetView topLeftCell="A13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1309.56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3409.56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CA42"/>
  <sheetViews>
    <sheetView topLeftCell="BJ10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1" t="s">
        <v>47</v>
      </c>
      <c r="B2" s="211"/>
      <c r="C2" s="211"/>
      <c r="D2" s="211"/>
      <c r="E2" s="211"/>
      <c r="F2" s="211"/>
      <c r="G2" s="211"/>
      <c r="H2" s="21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2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472.56081999999998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90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0</v>
      </c>
      <c r="W28" s="181">
        <f t="shared" si="2"/>
        <v>0</v>
      </c>
      <c r="X28" s="181">
        <f t="shared" si="2"/>
        <v>378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1310.45</v>
      </c>
      <c r="AC28" s="183">
        <f>SUM(AC23:AC27)</f>
        <v>7280.25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7280</v>
      </c>
      <c r="AU28">
        <f>AT28-AC28</f>
        <v>-0.25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1310.45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3410.45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CA42"/>
  <sheetViews>
    <sheetView topLeftCell="BT17" workbookViewId="0">
      <selection activeCell="D25" sqref="D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>
        <v>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472.53447999999997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254</v>
      </c>
      <c r="H24" s="170">
        <f>F24*G24</f>
        <v>500</v>
      </c>
      <c r="I24">
        <v>0</v>
      </c>
      <c r="J24" s="170">
        <v>0</v>
      </c>
      <c r="K24" s="170">
        <v>0</v>
      </c>
      <c r="L24" s="170">
        <f>H24</f>
        <v>500</v>
      </c>
      <c r="M24" s="170">
        <f>ROUND(L24*I24%,2)</f>
        <v>0</v>
      </c>
      <c r="N24" s="170">
        <f>H24-M24</f>
        <v>500</v>
      </c>
      <c r="O24" s="170">
        <f>ROUND(N24*J24%,2)</f>
        <v>0</v>
      </c>
      <c r="P24" s="170">
        <f>ROUND(N24-O24,2)</f>
        <v>500</v>
      </c>
      <c r="Q24" s="170">
        <f>ROUND(P24*K24%,2)</f>
        <v>0</v>
      </c>
      <c r="R24" s="170">
        <f>ROUND((M24+O24+Q24),2)</f>
        <v>0</v>
      </c>
      <c r="S24" s="170">
        <f>ROUND((H24-R24),2)</f>
        <v>500</v>
      </c>
      <c r="T24" s="171" t="s">
        <v>146</v>
      </c>
      <c r="U24" s="172">
        <v>0.18</v>
      </c>
      <c r="V24" s="170">
        <f>IF(OR($C$21=1,$C$21=4),ROUND(((S24*U24)/2),2),0)</f>
        <v>45</v>
      </c>
      <c r="W24" s="170">
        <f>IF($C$21=1,ROUND(((S24*U24)/2),2),0)</f>
        <v>45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90</v>
      </c>
      <c r="AC24" s="169">
        <f>IF($V21=1,S24+AB24,S24)</f>
        <v>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500</v>
      </c>
      <c r="AY24" s="175">
        <f>AU24+AW24</f>
        <v>1</v>
      </c>
      <c r="AZ24" s="175">
        <f>ROUND(((AU24*AV24)+(AW24*AX24))/(AU24+AW24),5)</f>
        <v>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472.66701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1309.56</v>
      </c>
      <c r="AC28" s="183">
        <f>SUM(AC23:AC27)</f>
        <v>7275.35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7275</v>
      </c>
      <c r="AU28">
        <f>AT28-AC28</f>
        <v>-0.3500000000003638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1309.56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3409.56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CH42"/>
  <sheetViews>
    <sheetView topLeftCell="BV22" workbookViewId="0">
      <selection activeCell="CB28" sqref="CB28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3" t="s">
        <v>47</v>
      </c>
      <c r="B2" s="233"/>
      <c r="C2" s="233"/>
      <c r="D2" s="233"/>
      <c r="E2" s="233"/>
      <c r="F2" s="233"/>
      <c r="G2" s="233"/>
      <c r="H2" s="23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6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9" t="s">
        <v>626</v>
      </c>
    </row>
    <row r="23" spans="1:8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</row>
    <row r="24" spans="1:8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</row>
    <row r="25" spans="1:8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</row>
    <row r="26" spans="1:8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34" t="s">
        <v>636</v>
      </c>
      <c r="CC26"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</row>
    <row r="27" spans="1:8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>
        <v>0</v>
      </c>
      <c r="CF27">
        <v>0</v>
      </c>
      <c r="CG27">
        <v>0</v>
      </c>
      <c r="CH27">
        <v>0</v>
      </c>
    </row>
    <row r="28" spans="1:8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2">SUM(Y27)</f>
        <v>0</v>
      </c>
      <c r="Z28" s="182">
        <f t="shared" si="2"/>
        <v>0</v>
      </c>
      <c r="AA28" s="181">
        <f t="shared" si="2"/>
        <v>0</v>
      </c>
      <c r="AB28" s="180">
        <f>SUM(AB23:AB27)</f>
        <v>2754</v>
      </c>
      <c r="AC28" s="183">
        <f>SUM(AC23:AC27)</f>
        <v>15300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8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8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B25" sqref="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6" t="s">
        <v>47</v>
      </c>
      <c r="B2" s="236"/>
      <c r="C2" s="236"/>
      <c r="D2" s="236"/>
      <c r="E2" s="236"/>
      <c r="F2" s="236"/>
      <c r="G2" s="236"/>
      <c r="H2" s="23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636</v>
      </c>
      <c r="CC26">
        <f>W28</f>
        <v>0</v>
      </c>
      <c r="CD26">
        <f>CC23+CC24+CC25</f>
        <v>18054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B42"/>
  <sheetViews>
    <sheetView topLeftCell="BV19" workbookViewId="0">
      <selection activeCell="CD23" sqref="CD23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9" t="s">
        <v>47</v>
      </c>
      <c r="B2" s="239"/>
      <c r="C2" s="239"/>
      <c r="D2" s="239"/>
      <c r="E2" s="239"/>
      <c r="F2" s="239"/>
      <c r="G2" s="239"/>
      <c r="H2" s="23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692</v>
      </c>
      <c r="H23" s="170">
        <f>F23*G23</f>
        <v>5800</v>
      </c>
      <c r="I23">
        <v>1</v>
      </c>
      <c r="J23" s="170">
        <v>2</v>
      </c>
      <c r="K23" s="170">
        <v>3</v>
      </c>
      <c r="L23" s="170">
        <f>H23</f>
        <v>5800</v>
      </c>
      <c r="M23" s="170">
        <f>ROUND(L23*I23%,2)</f>
        <v>58</v>
      </c>
      <c r="N23" s="170">
        <f>H23-M23</f>
        <v>5742</v>
      </c>
      <c r="O23" s="170">
        <f>ROUND(N23*J23%,2)</f>
        <v>114.84</v>
      </c>
      <c r="P23" s="170">
        <f>ROUND(N23-O23,2)</f>
        <v>5627.16</v>
      </c>
      <c r="Q23" s="170">
        <f>ROUND(P23*K23%,2)</f>
        <v>168.81</v>
      </c>
      <c r="R23" s="170">
        <f>ROUND((M23+O23+Q23),2)</f>
        <v>341.65</v>
      </c>
      <c r="S23" s="170">
        <f>ROUND((H23-R23),2)</f>
        <v>5458.35</v>
      </c>
      <c r="T23" s="171" t="s">
        <v>146</v>
      </c>
      <c r="U23" s="172">
        <v>0.18</v>
      </c>
      <c r="V23" s="170">
        <f>IF(OR($C$21=1,$C$21=4),ROUND(((S23*U23)/2),2),0)</f>
        <v>491.25</v>
      </c>
      <c r="W23" s="170">
        <f>IF($C$21=1,ROUND(((S23*U23)/2),2),0)</f>
        <v>491.25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982.5</v>
      </c>
      <c r="AC23" s="169">
        <f>IF($V21=1,S23+AB23,S23)</f>
        <v>6440.85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5458.35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5458.35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5458.35</v>
      </c>
      <c r="AS23" s="175" t="s">
        <v>518</v>
      </c>
      <c r="AT23" s="175" t="s">
        <v>58</v>
      </c>
      <c r="AU23" t="s">
        <v>239</v>
      </c>
      <c r="AV23" t="s">
        <v>696</v>
      </c>
      <c r="AW23" s="175">
        <f>AM23</f>
        <v>1</v>
      </c>
      <c r="AX23" s="175">
        <f>AR23</f>
        <v>5458.35</v>
      </c>
      <c r="AY23" s="175">
        <f>AU23+AW23</f>
        <v>1</v>
      </c>
      <c r="AZ23" s="175">
        <f>ROUND(((AU23*AV23)+(AW23*AX23))/(AU23+AW23),5)</f>
        <v>5458.35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691</v>
      </c>
      <c r="BN23" t="s">
        <v>690</v>
      </c>
      <c r="BO23" s="175">
        <f>ROUND((((AW23*AZ23)+(BN23*BM23))/(AW23+BN23)),5)</f>
        <v>2789.0796300000002</v>
      </c>
      <c r="BP23" s="87">
        <f>BN23+AW23</f>
        <v>511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11758.35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491.25</v>
      </c>
      <c r="CQ23">
        <f>W23</f>
        <v>491.25</v>
      </c>
      <c r="CR23">
        <f>X23</f>
        <v>0</v>
      </c>
      <c r="CS23">
        <f>Y23</f>
        <v>0</v>
      </c>
      <c r="CT23">
        <f>AA23</f>
        <v>0</v>
      </c>
      <c r="CU23">
        <f>CD27</f>
        <v>20719</v>
      </c>
      <c r="CV23">
        <v>0</v>
      </c>
      <c r="CW23">
        <v>0</v>
      </c>
      <c r="CX23" t="e">
        <f>CU23+#REF!</f>
        <v>#REF!</v>
      </c>
      <c r="CY23">
        <v>0</v>
      </c>
      <c r="CZ23">
        <f>CU23</f>
        <v>20719</v>
      </c>
      <c r="DA23">
        <v>0</v>
      </c>
      <c r="DB23" t="e">
        <f>#REF!</f>
        <v>#REF!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692</v>
      </c>
      <c r="H24" s="170">
        <f>F24*G24</f>
        <v>5800</v>
      </c>
      <c r="I24">
        <v>0</v>
      </c>
      <c r="J24" s="170">
        <v>0</v>
      </c>
      <c r="K24" s="170">
        <v>0</v>
      </c>
      <c r="L24" s="170">
        <f>H24</f>
        <v>5800</v>
      </c>
      <c r="M24" s="170">
        <f>ROUND(L24*I24%,2)</f>
        <v>0</v>
      </c>
      <c r="N24" s="170">
        <f>H24-M24</f>
        <v>5800</v>
      </c>
      <c r="O24" s="170">
        <f>ROUND(N24*J24%,2)</f>
        <v>0</v>
      </c>
      <c r="P24" s="170">
        <f>ROUND(N24-O24,2)</f>
        <v>5800</v>
      </c>
      <c r="Q24" s="170">
        <f>ROUND(P24*K24%,2)</f>
        <v>0</v>
      </c>
      <c r="R24" s="170">
        <f>ROUND((M24+O24+Q24),2)</f>
        <v>0</v>
      </c>
      <c r="S24" s="170">
        <f>ROUND((H24-R24),2)</f>
        <v>5800</v>
      </c>
      <c r="T24" s="171" t="s">
        <v>146</v>
      </c>
      <c r="U24" s="172">
        <v>0.18</v>
      </c>
      <c r="V24" s="170">
        <f>IF(OR($C$21=1,$C$21=4),ROUND(((S24*U24)/2),2),0)</f>
        <v>522</v>
      </c>
      <c r="W24" s="170">
        <f>IF($C$21=1,ROUND(((S24*U24)/2),2),0)</f>
        <v>522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1044</v>
      </c>
      <c r="AC24" s="169">
        <f>IF($V21=1,S24+AB24,S24)</f>
        <v>6844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5800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5800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5800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5800</v>
      </c>
      <c r="AY24" s="175">
        <f>AU24+AW24</f>
        <v>1</v>
      </c>
      <c r="AZ24" s="175">
        <f>ROUND(((AU24*AV24)+(AW24*AX24))/(AU24+AW24),5)</f>
        <v>5800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501.16163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5800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522</v>
      </c>
      <c r="CQ24">
        <f t="shared" si="2"/>
        <v>522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625</v>
      </c>
      <c r="CC25">
        <f>X28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267" t="s">
        <v>672</v>
      </c>
      <c r="CC26">
        <f>ABS(AU28)</f>
        <v>0.15000000000145519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267" t="s">
        <v>675</v>
      </c>
      <c r="CC27">
        <v>0</v>
      </c>
      <c r="CD27">
        <f>AT28</f>
        <v>20719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1580.25</v>
      </c>
      <c r="W28" s="181">
        <f>SUM(W23:W27)</f>
        <v>1580.25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3160.5</v>
      </c>
      <c r="AC28" s="183">
        <f>SUM(AC23:AC27)</f>
        <v>20718.849999999999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20719</v>
      </c>
      <c r="AU28">
        <f>AT28-AC28</f>
        <v>0.15000000000145519</v>
      </c>
      <c r="AW28" s="137">
        <f>SUMIF(BX23:BX27,"Item",S23:S27)</f>
        <v>11758.35</v>
      </c>
      <c r="AX28" s="137">
        <f>SUMIF(BX23:BX27,"Exp.",S23:S27)</f>
        <v>5800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3160.5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5260.5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CK42"/>
  <sheetViews>
    <sheetView topLeftCell="CA13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8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20.28515625" bestFit="1" customWidth="1"/>
    <col min="87" max="87" width="20.140625" bestFit="1" customWidth="1"/>
    <col min="88" max="89" width="28.570312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2" t="s">
        <v>47</v>
      </c>
      <c r="B2" s="232"/>
      <c r="C2" s="232"/>
      <c r="D2" s="232"/>
      <c r="E2" s="232"/>
      <c r="F2" s="232"/>
      <c r="G2" s="232"/>
      <c r="H2" s="23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8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8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8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8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8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8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629</v>
      </c>
      <c r="CI22" s="228" t="s">
        <v>630</v>
      </c>
      <c r="CJ22" s="228" t="s">
        <v>631</v>
      </c>
      <c r="CK22" s="228" t="s">
        <v>632</v>
      </c>
    </row>
    <row r="23" spans="1:8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f>V23</f>
        <v>0</v>
      </c>
      <c r="CK23">
        <f>W23</f>
        <v>0</v>
      </c>
    </row>
    <row r="24" spans="1:8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f t="shared" ref="CJ24:CK27" si="2">V24</f>
        <v>0</v>
      </c>
      <c r="CK24">
        <f t="shared" si="2"/>
        <v>0</v>
      </c>
    </row>
    <row r="25" spans="1:8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f t="shared" si="2"/>
        <v>0</v>
      </c>
      <c r="CK25">
        <f t="shared" si="2"/>
        <v>0</v>
      </c>
    </row>
    <row r="26" spans="1:8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f t="shared" si="2"/>
        <v>0</v>
      </c>
      <c r="CK26">
        <f t="shared" si="2"/>
        <v>0</v>
      </c>
    </row>
    <row r="27" spans="1:8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f t="shared" si="2"/>
        <v>0</v>
      </c>
      <c r="CK27">
        <f t="shared" si="2"/>
        <v>0</v>
      </c>
    </row>
    <row r="28" spans="1:8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 t="shared" ref="X28:AE28" si="3">SUM(X27)</f>
        <v>378</v>
      </c>
      <c r="Y28" s="181">
        <f t="shared" si="3"/>
        <v>0</v>
      </c>
      <c r="Z28" s="182">
        <f t="shared" si="3"/>
        <v>0</v>
      </c>
      <c r="AA28" s="181">
        <f t="shared" si="3"/>
        <v>0</v>
      </c>
      <c r="AB28" s="180">
        <f>SUM(AB23:AB27)</f>
        <v>2754</v>
      </c>
      <c r="AC28" s="183">
        <f>SUM(AC23:AC27)</f>
        <v>15300</v>
      </c>
      <c r="AD28" s="184">
        <f t="shared" si="3"/>
        <v>120</v>
      </c>
      <c r="AE28" s="184">
        <f t="shared" si="3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 t="s">
        <v>630</v>
      </c>
      <c r="CC28">
        <v>0</v>
      </c>
      <c r="CD28">
        <f>CC26</f>
        <v>0</v>
      </c>
    </row>
    <row r="29" spans="1:8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 t="s">
        <v>633</v>
      </c>
      <c r="CC29">
        <v>0</v>
      </c>
      <c r="CD29" s="230">
        <f>CC23+CC24</f>
        <v>15300</v>
      </c>
    </row>
    <row r="30" spans="1:8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8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8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CT42"/>
  <sheetViews>
    <sheetView topLeftCell="BW16" workbookViewId="0">
      <selection activeCell="CB26" sqref="CB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2" t="s">
        <v>47</v>
      </c>
      <c r="B2" s="242"/>
      <c r="C2" s="242"/>
      <c r="D2" s="242"/>
      <c r="E2" s="242"/>
      <c r="F2" s="242"/>
      <c r="G2" s="242"/>
      <c r="H2" s="24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648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CT42"/>
  <sheetViews>
    <sheetView topLeftCell="A13" workbookViewId="0">
      <selection activeCell="A21" sqref="A21:B2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1" t="s">
        <v>47</v>
      </c>
      <c r="B2" s="241"/>
      <c r="C2" s="241"/>
      <c r="D2" s="241"/>
      <c r="E2" s="241"/>
      <c r="F2" s="241"/>
      <c r="G2" s="241"/>
      <c r="H2" s="24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810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378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378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647</v>
      </c>
      <c r="CC27">
        <v>0</v>
      </c>
      <c r="CD27" s="230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378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CT42"/>
  <sheetViews>
    <sheetView topLeftCell="BZ19" workbookViewId="0">
      <selection activeCell="R31" sqref="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0" t="s">
        <v>47</v>
      </c>
      <c r="B2" s="240"/>
      <c r="C2" s="240"/>
      <c r="D2" s="240"/>
      <c r="E2" s="240"/>
      <c r="F2" s="240"/>
      <c r="G2" s="240"/>
      <c r="H2" s="24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647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CT42"/>
  <sheetViews>
    <sheetView topLeftCell="D19" workbookViewId="0">
      <selection activeCell="D23" sqref="D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5" t="s">
        <v>47</v>
      </c>
      <c r="B2" s="235"/>
      <c r="C2" s="235"/>
      <c r="D2" s="235"/>
      <c r="E2" s="235"/>
      <c r="F2" s="235"/>
      <c r="G2" s="235"/>
      <c r="H2" s="23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810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810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810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Q27" si="2">V24</f>
        <v>0</v>
      </c>
      <c r="CQ24">
        <f t="shared" si="2"/>
        <v>0</v>
      </c>
      <c r="CR24">
        <f t="shared" ref="CR24:CR27" si="3">X24</f>
        <v>810</v>
      </c>
      <c r="CS24">
        <f t="shared" ref="CS24:CS27" si="4">Y24</f>
        <v>0</v>
      </c>
      <c r="CT24">
        <f t="shared" ref="CT24:CT27" si="5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378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637</v>
      </c>
      <c r="CC25">
        <f>X28</f>
        <v>2754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3"/>
        <v>378</v>
      </c>
      <c r="CS25">
        <f t="shared" si="4"/>
        <v>0</v>
      </c>
      <c r="CT25">
        <f t="shared" si="5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378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638</v>
      </c>
      <c r="CC26">
        <f>W28</f>
        <v>0</v>
      </c>
      <c r="CD26">
        <f>CC25</f>
        <v>2754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3"/>
        <v>378</v>
      </c>
      <c r="CS26">
        <f t="shared" si="4"/>
        <v>0</v>
      </c>
      <c r="CT26">
        <f t="shared" si="5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378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636</v>
      </c>
      <c r="CC27">
        <v>0</v>
      </c>
      <c r="CD27">
        <f>CC23+CC24</f>
        <v>15300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3"/>
        <v>378</v>
      </c>
      <c r="CS27">
        <f t="shared" si="4"/>
        <v>0</v>
      </c>
      <c r="CT27">
        <f t="shared" si="5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2754</v>
      </c>
      <c r="Y28" s="181">
        <f t="shared" ref="Y28:AE28" si="6">SUM(Y27)</f>
        <v>0</v>
      </c>
      <c r="Z28" s="182">
        <f t="shared" si="6"/>
        <v>0</v>
      </c>
      <c r="AA28" s="181">
        <f t="shared" si="6"/>
        <v>0</v>
      </c>
      <c r="AB28" s="180">
        <f>SUM(AB23:AB27)</f>
        <v>2754</v>
      </c>
      <c r="AC28" s="183">
        <f>SUM(AC23:AC27)</f>
        <v>15300</v>
      </c>
      <c r="AD28" s="184">
        <f t="shared" si="6"/>
        <v>120</v>
      </c>
      <c r="AE28" s="184">
        <f t="shared" si="6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231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231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CT42"/>
  <sheetViews>
    <sheetView topLeftCell="A19" workbookViewId="0">
      <selection activeCell="CR31" sqref="CR31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7" t="s">
        <v>47</v>
      </c>
      <c r="B2" s="237"/>
      <c r="C2" s="237"/>
      <c r="D2" s="237"/>
      <c r="E2" s="237"/>
      <c r="F2" s="237"/>
      <c r="G2" s="237"/>
      <c r="H2" s="2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223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627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628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629</v>
      </c>
      <c r="CC27">
        <v>0</v>
      </c>
      <c r="CD27">
        <f>CC25</f>
        <v>1377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630</v>
      </c>
      <c r="CC28">
        <v>0</v>
      </c>
      <c r="CD28">
        <f>CC26</f>
        <v>1377</v>
      </c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 t="s">
        <v>633</v>
      </c>
      <c r="CC29">
        <v>0</v>
      </c>
      <c r="CD29" s="230">
        <f>CC23+CC24</f>
        <v>15300</v>
      </c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CT42"/>
  <sheetViews>
    <sheetView topLeftCell="AM22" workbookViewId="0">
      <selection activeCell="AS36" sqref="AS3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6" t="s">
        <v>47</v>
      </c>
      <c r="B2" s="246"/>
      <c r="C2" s="246"/>
      <c r="D2" s="246"/>
      <c r="E2" s="246"/>
      <c r="F2" s="246"/>
      <c r="G2" s="246"/>
      <c r="H2" s="24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68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657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68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68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CT42"/>
  <sheetViews>
    <sheetView topLeftCell="BV13" workbookViewId="0">
      <selection activeCell="CE23" sqref="CE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656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30" sqref="CB30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5" t="s">
        <v>47</v>
      </c>
      <c r="B2" s="245"/>
      <c r="C2" s="245"/>
      <c r="D2" s="245"/>
      <c r="E2" s="245"/>
      <c r="F2" s="245"/>
      <c r="G2" s="245"/>
      <c r="H2" s="24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CT42"/>
  <sheetViews>
    <sheetView topLeftCell="BV16" workbookViewId="0">
      <selection activeCell="CB25" sqref="CB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54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4" t="s">
        <v>47</v>
      </c>
      <c r="B2" s="244"/>
      <c r="C2" s="244"/>
      <c r="D2" s="244"/>
      <c r="E2" s="244"/>
      <c r="F2" s="244"/>
      <c r="G2" s="244"/>
      <c r="H2" s="24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0</v>
      </c>
      <c r="CQ23">
        <f>W23</f>
        <v>0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0</v>
      </c>
      <c r="W24" s="170">
        <f>IF($C$21=1,ROUND(((S24*U24)/2),2),0)</f>
        <v>0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0</v>
      </c>
      <c r="CQ24">
        <f t="shared" si="2"/>
        <v>0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0</v>
      </c>
      <c r="W25" s="170">
        <f>IF($C$21=1,ROUND(((S25*U25)/2),2),0)</f>
        <v>0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0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650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0</v>
      </c>
      <c r="CQ25">
        <f t="shared" si="2"/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0</v>
      </c>
      <c r="W26" s="170">
        <f>IF($C$21=1,ROUND(((S26*U26)/2),2),0)</f>
        <v>0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0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0</v>
      </c>
      <c r="CQ26">
        <f t="shared" si="2"/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0</v>
      </c>
      <c r="W27" s="170">
        <f>IF($C$21=1,ROUND(((S27*U27)/2),2),0)</f>
        <v>0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0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0</v>
      </c>
      <c r="CQ27">
        <f t="shared" si="2"/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0</v>
      </c>
      <c r="W28" s="181">
        <f>SUM(W23:W27)</f>
        <v>0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0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0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2100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CT42"/>
  <sheetViews>
    <sheetView topLeftCell="BY16" workbookViewId="0">
      <selection activeCell="CB27" sqref="CB27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41.2851562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43" t="s">
        <v>47</v>
      </c>
      <c r="B2" s="243"/>
      <c r="C2" s="243"/>
      <c r="D2" s="243"/>
      <c r="E2" s="243"/>
      <c r="F2" s="243"/>
      <c r="G2" s="243"/>
      <c r="H2" s="24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4500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541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4500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2100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649</v>
      </c>
      <c r="CC25">
        <v>0</v>
      </c>
      <c r="CD25">
        <f>CC23+CC24</f>
        <v>15300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2100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/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2100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/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15300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15300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CT42"/>
  <sheetViews>
    <sheetView topLeftCell="BG16" workbookViewId="0">
      <selection activeCell="BI26" sqref="BI2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78" max="78" width="26.85546875" bestFit="1" customWidth="1"/>
    <col min="80" max="80" width="26.85546875" bestFit="1" customWidth="1"/>
    <col min="81" max="81" width="6" bestFit="1" customWidth="1"/>
    <col min="82" max="82" width="6.42578125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7109375" customWidth="1"/>
    <col min="87" max="87" width="15.42578125" bestFit="1" customWidth="1"/>
    <col min="88" max="88" width="15.42578125" customWidth="1"/>
    <col min="89" max="89" width="20.28515625" bestFit="1" customWidth="1"/>
    <col min="90" max="90" width="20.140625" bestFit="1" customWidth="1"/>
    <col min="91" max="93" width="20.140625" customWidth="1"/>
    <col min="94" max="95" width="28.5703125" bestFit="1" customWidth="1"/>
    <col min="96" max="96" width="27.42578125" bestFit="1" customWidth="1"/>
    <col min="97" max="97" width="29.42578125" bestFit="1" customWidth="1"/>
    <col min="98" max="98" width="27.57031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38" t="s">
        <v>47</v>
      </c>
      <c r="B2" s="238"/>
      <c r="C2" s="238"/>
      <c r="D2" s="238"/>
      <c r="E2" s="238"/>
      <c r="F2" s="238"/>
      <c r="G2" s="238"/>
      <c r="H2" s="2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98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98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98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98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98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98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</row>
    <row r="23" spans="1:98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0</v>
      </c>
      <c r="J23" s="170">
        <v>0</v>
      </c>
      <c r="K23" s="170">
        <v>0</v>
      </c>
      <c r="L23" s="170">
        <f>H23</f>
        <v>4500</v>
      </c>
      <c r="M23" s="170">
        <f>ROUND(L23*I23%,2)</f>
        <v>0</v>
      </c>
      <c r="N23" s="170">
        <f>H23-M23</f>
        <v>4500</v>
      </c>
      <c r="O23" s="170">
        <f>ROUND(N23*J23%,2)</f>
        <v>0</v>
      </c>
      <c r="P23" s="170">
        <f>ROUND(N23-O23,2)</f>
        <v>4500</v>
      </c>
      <c r="Q23" s="170">
        <f>ROUND(P23*K23%,2)</f>
        <v>0</v>
      </c>
      <c r="R23" s="170">
        <f>ROUND((M23+O23+Q23),2)</f>
        <v>0</v>
      </c>
      <c r="S23" s="170">
        <f>ROUND((H23-R23),2)</f>
        <v>4500</v>
      </c>
      <c r="T23" s="171" t="s">
        <v>146</v>
      </c>
      <c r="U23" s="172">
        <v>0.18</v>
      </c>
      <c r="V23" s="170">
        <f>IF(OR($C$21=1,$C$21=4),ROUND(((S23*U23)/2),2),0)</f>
        <v>405</v>
      </c>
      <c r="W23" s="170">
        <f>IF($C$21=1,ROUND(((S23*U23)/2),2),0)</f>
        <v>405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810</v>
      </c>
      <c r="AC23" s="169">
        <f>IF($V21=1,S23+AB23,S23)</f>
        <v>5310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4500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4500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4500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4500</v>
      </c>
      <c r="AY23" s="175">
        <f>AU23+AW23</f>
        <v>1</v>
      </c>
      <c r="AZ23" s="175">
        <f>ROUND(((AU23*AV23)+(AW23*AX23))/(AU23+AW23),5)</f>
        <v>4500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494.17237999999998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10800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f>V23</f>
        <v>405</v>
      </c>
      <c r="CQ23">
        <f>W23</f>
        <v>405</v>
      </c>
      <c r="CR23">
        <f>X23</f>
        <v>0</v>
      </c>
      <c r="CS23">
        <f>Y23</f>
        <v>0</v>
      </c>
      <c r="CT23">
        <f>AA23</f>
        <v>0</v>
      </c>
    </row>
    <row r="24" spans="1:98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4500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f t="shared" ref="CP24:CS27" si="2">V24</f>
        <v>405</v>
      </c>
      <c r="CQ24">
        <f t="shared" si="2"/>
        <v>405</v>
      </c>
      <c r="CR24">
        <f t="shared" si="2"/>
        <v>0</v>
      </c>
      <c r="CS24">
        <f t="shared" si="2"/>
        <v>0</v>
      </c>
      <c r="CT24">
        <f t="shared" ref="CT24:CT27" si="3">AA24</f>
        <v>0</v>
      </c>
    </row>
    <row r="25" spans="1:98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>
        <f>V28</f>
        <v>1377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f t="shared" si="2"/>
        <v>189</v>
      </c>
      <c r="CQ25">
        <f t="shared" si="2"/>
        <v>189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98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>
        <f>W28</f>
        <v>1377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f t="shared" si="2"/>
        <v>189</v>
      </c>
      <c r="CQ26">
        <f t="shared" si="2"/>
        <v>189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98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633</v>
      </c>
      <c r="CC27">
        <v>0</v>
      </c>
      <c r="CD27">
        <f>CC23+CC24+CC25+CC26</f>
        <v>18054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f t="shared" si="2"/>
        <v>189</v>
      </c>
      <c r="CQ27">
        <f t="shared" si="2"/>
        <v>189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98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1377</v>
      </c>
      <c r="W28" s="181">
        <f>SUM(W23:W27)</f>
        <v>1377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2754</v>
      </c>
      <c r="AC28" s="183">
        <f>SUM(AC23:AC27)</f>
        <v>18054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18054</v>
      </c>
      <c r="AU28">
        <f>AT28-AC28</f>
        <v>0</v>
      </c>
      <c r="AW28" s="137">
        <f>SUMIF(BX23:BX27,"Item",S23:S27)</f>
        <v>10800</v>
      </c>
      <c r="AX28" s="137">
        <f>SUMIF(BX23:BX27,"Exp.",S23:S27)</f>
        <v>4500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/>
    </row>
    <row r="29" spans="1:98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98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98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98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2754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4854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A1:AC1"/>
    <mergeCell ref="B19:G19"/>
    <mergeCell ref="A21:B21"/>
    <mergeCell ref="G30:H30"/>
    <mergeCell ref="I30:J30"/>
    <mergeCell ref="M30:P30"/>
    <mergeCell ref="G34:H34"/>
    <mergeCell ref="I34:J34"/>
    <mergeCell ref="G31:H31"/>
    <mergeCell ref="I31:J31"/>
    <mergeCell ref="G32:H32"/>
    <mergeCell ref="I32:J32"/>
    <mergeCell ref="G33:H33"/>
    <mergeCell ref="I33:J33"/>
  </mergeCells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CA42"/>
  <sheetViews>
    <sheetView topLeftCell="AP22" workbookViewId="0">
      <selection activeCell="AY25" sqref="AY25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562</v>
      </c>
      <c r="H23" s="170">
        <f>F23*G23</f>
        <v>4500</v>
      </c>
      <c r="I23">
        <v>1</v>
      </c>
      <c r="J23" s="170">
        <v>1</v>
      </c>
      <c r="K23" s="170">
        <v>1</v>
      </c>
      <c r="L23" s="170">
        <f>H23</f>
        <v>4500</v>
      </c>
      <c r="M23" s="170">
        <f>ROUND(L23*I23%,2)</f>
        <v>45</v>
      </c>
      <c r="N23" s="170">
        <f>H23-M23</f>
        <v>4455</v>
      </c>
      <c r="O23" s="170">
        <f>ROUND(N23*J23%,2)</f>
        <v>44.55</v>
      </c>
      <c r="P23" s="170">
        <f>ROUND(N23-O23,2)</f>
        <v>4410.45</v>
      </c>
      <c r="Q23" s="170">
        <f>ROUND(P23*K23%,2)</f>
        <v>44.1</v>
      </c>
      <c r="R23" s="170">
        <f>ROUND((M23+O23+Q23),2)</f>
        <v>133.65</v>
      </c>
      <c r="S23" s="170">
        <f>ROUND((H23-R23),2)</f>
        <v>4366.3500000000004</v>
      </c>
      <c r="T23" s="171" t="s">
        <v>146</v>
      </c>
      <c r="U23" s="172">
        <v>0.18</v>
      </c>
      <c r="V23" s="170">
        <f>IF(OR($C$21=1,$C$21=4),ROUND(((S23*U23)/2),2),0)</f>
        <v>392.97</v>
      </c>
      <c r="W23" s="170">
        <f>IF($C$21=1,ROUND(((S23*U23)/2),2),0)</f>
        <v>392.97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785.94</v>
      </c>
      <c r="AC23" s="169">
        <f>IF($V21=1,S23+AB23,S23)</f>
        <v>5152.2900000000009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 t="shared" ref="AH23:AH28" si="1">IF($P$21=1,(S23/$S$28)*$E$42,AD23/$AD$28*$E$42)</f>
        <v>0</v>
      </c>
      <c r="AI23" s="171">
        <f>S23*$M$21</f>
        <v>4366.3500000000004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4366.3500000000004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4366.3500000000004</v>
      </c>
      <c r="AS23" s="175" t="s">
        <v>518</v>
      </c>
      <c r="AT23" s="175" t="s">
        <v>58</v>
      </c>
      <c r="AU23" t="s">
        <v>239</v>
      </c>
      <c r="AV23" t="s">
        <v>530</v>
      </c>
      <c r="AW23" s="175">
        <f>AM23</f>
        <v>1</v>
      </c>
      <c r="AX23" s="175">
        <f>AR23</f>
        <v>4366.3500000000004</v>
      </c>
      <c r="AY23" s="175">
        <f>AU23+AW23</f>
        <v>1</v>
      </c>
      <c r="AZ23" s="175">
        <f>ROUND(((AU23*AV23)+(AW23*AX23))/(AU23+AW23),5)</f>
        <v>4366.3500000000004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531</v>
      </c>
      <c r="BN23" t="s">
        <v>532</v>
      </c>
      <c r="BO23" s="175">
        <f>ROUND((((AW23*AZ23)+(BN23*BM23))/(AW23+BN23)),5)</f>
        <v>493.45382999999998</v>
      </c>
      <c r="BP23" s="87">
        <f>BN23+AW23</f>
        <v>186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533</v>
      </c>
      <c r="CA23" s="193">
        <v>60</v>
      </c>
    </row>
    <row r="24" spans="1:79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 t="s">
        <v>562</v>
      </c>
      <c r="H24" s="170">
        <f>F24*G24</f>
        <v>4500</v>
      </c>
      <c r="I24">
        <v>0</v>
      </c>
      <c r="J24" s="170">
        <v>0</v>
      </c>
      <c r="K24" s="170">
        <v>0</v>
      </c>
      <c r="L24" s="170">
        <f>H24</f>
        <v>4500</v>
      </c>
      <c r="M24" s="170">
        <f>ROUND(L24*I24%,2)</f>
        <v>0</v>
      </c>
      <c r="N24" s="170">
        <f>H24-M24</f>
        <v>4500</v>
      </c>
      <c r="O24" s="170">
        <f>ROUND(N24*J24%,2)</f>
        <v>0</v>
      </c>
      <c r="P24" s="170">
        <f>ROUND(N24-O24,2)</f>
        <v>4500</v>
      </c>
      <c r="Q24" s="170">
        <f>ROUND(P24*K24%,2)</f>
        <v>0</v>
      </c>
      <c r="R24" s="170">
        <f>ROUND((M24+O24+Q24),2)</f>
        <v>0</v>
      </c>
      <c r="S24" s="170">
        <f>ROUND((H24-R24),2)</f>
        <v>4500</v>
      </c>
      <c r="T24" s="171" t="s">
        <v>146</v>
      </c>
      <c r="U24" s="172">
        <v>0.18</v>
      </c>
      <c r="V24" s="170">
        <f>IF(OR($C$21=1,$C$21=4),ROUND(((S24*U24)/2),2),0)</f>
        <v>405</v>
      </c>
      <c r="W24" s="170">
        <f>IF($C$21=1,ROUND(((S24*U24)/2),2),0)</f>
        <v>405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810</v>
      </c>
      <c r="AC24" s="169">
        <f>IF($V21=1,S24+AB24,S24)</f>
        <v>5310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si="1"/>
        <v>0</v>
      </c>
      <c r="AI24" s="171">
        <f>S24*$M$21</f>
        <v>4500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4500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4500</v>
      </c>
      <c r="AS24" s="175" t="s">
        <v>518</v>
      </c>
      <c r="AT24" s="175" t="s">
        <v>58</v>
      </c>
      <c r="AU24" t="s">
        <v>239</v>
      </c>
      <c r="AV24" t="s">
        <v>530</v>
      </c>
      <c r="AW24" s="175">
        <f>AM24</f>
        <v>1</v>
      </c>
      <c r="AX24" s="175">
        <f>AR24</f>
        <v>4500</v>
      </c>
      <c r="AY24" s="175">
        <f>AU24+AW24</f>
        <v>1</v>
      </c>
      <c r="AZ24" s="175">
        <f>ROUND(((AU24*AV24)+(AW24*AX24))/(AU24+AW24),5)</f>
        <v>4500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531</v>
      </c>
      <c r="BN24" t="s">
        <v>532</v>
      </c>
      <c r="BO24" s="175">
        <f>ROUND((((AW24*AZ24)+(BN24*BM24))/(AW24+BN24)),5)</f>
        <v>494.17237999999998</v>
      </c>
      <c r="BP24" s="87">
        <f>BN24+AW24</f>
        <v>186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</row>
    <row r="25" spans="1:79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 t="shared" si="1"/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U25" t="s">
        <v>239</v>
      </c>
      <c r="AV25" t="s">
        <v>530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531</v>
      </c>
      <c r="BN25" t="s">
        <v>532</v>
      </c>
      <c r="BO25" s="175">
        <f>ROUND((((AW25*AZ25)+(BN25*BM25))/(AW25+BN25)),5)</f>
        <v>481.26916</v>
      </c>
      <c r="BP25" s="87">
        <f>BN25+AW25</f>
        <v>186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533</v>
      </c>
      <c r="CA25" s="193">
        <v>40</v>
      </c>
    </row>
    <row r="26" spans="1:79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 t="shared" si="1"/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U26" t="s">
        <v>239</v>
      </c>
      <c r="AV26" t="s">
        <v>530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M26" t="s">
        <v>531</v>
      </c>
      <c r="BN26" t="s">
        <v>532</v>
      </c>
      <c r="BO26" s="175">
        <f>ROUND((((AW26*AZ26)+(BN26*BM26))/(AW26+BN26)),5)</f>
        <v>481.26916</v>
      </c>
      <c r="BP26" s="87">
        <f>BN26+AW26</f>
        <v>186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533</v>
      </c>
      <c r="CA26" s="193">
        <v>40</v>
      </c>
    </row>
    <row r="27" spans="1:79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 t="shared" si="1"/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U27">
        <v>0</v>
      </c>
      <c r="AV27" t="s">
        <v>530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M27" t="s">
        <v>531</v>
      </c>
      <c r="BN27" t="s">
        <v>532</v>
      </c>
      <c r="BO27" s="175">
        <f>ROUND((((AW27*AZ27)+(BN27*BM27))/(AW27+BN27)),5)</f>
        <v>481.26916</v>
      </c>
      <c r="BP27" s="87">
        <f>BN27+AW27</f>
        <v>186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533</v>
      </c>
      <c r="CA27" s="193">
        <v>40</v>
      </c>
    </row>
    <row r="28" spans="1:79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 t="shared" ref="V28:AE28" si="2">SUM(V27)</f>
        <v>189</v>
      </c>
      <c r="W28" s="181">
        <f t="shared" si="2"/>
        <v>189</v>
      </c>
      <c r="X28" s="181">
        <f t="shared" si="2"/>
        <v>0</v>
      </c>
      <c r="Y28" s="181">
        <f t="shared" si="2"/>
        <v>0</v>
      </c>
      <c r="Z28" s="182">
        <f t="shared" si="2"/>
        <v>0</v>
      </c>
      <c r="AA28" s="181">
        <f t="shared" si="2"/>
        <v>0</v>
      </c>
      <c r="AB28" s="180">
        <f>SUM(AB23:AB27)</f>
        <v>2729.94</v>
      </c>
      <c r="AC28" s="183">
        <f>SUM(AC23:AC27)</f>
        <v>17896.29</v>
      </c>
      <c r="AD28" s="184">
        <f t="shared" si="2"/>
        <v>120</v>
      </c>
      <c r="AE28" s="184">
        <f t="shared" si="2"/>
        <v>0</v>
      </c>
      <c r="AF28" s="183"/>
      <c r="AG28" s="184">
        <f>SUM(AG27)</f>
        <v>0</v>
      </c>
      <c r="AH28" s="184">
        <f t="shared" si="1"/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17896</v>
      </c>
      <c r="AU28">
        <f>AT28-AC28</f>
        <v>-0.29000000000087311</v>
      </c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79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79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2729.94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4829.9400000000005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G31:H31"/>
    <mergeCell ref="I31:J31"/>
    <mergeCell ref="G32:H32"/>
    <mergeCell ref="I32:J32"/>
    <mergeCell ref="G33:H33"/>
    <mergeCell ref="I33:J33"/>
    <mergeCell ref="A1:AC1"/>
    <mergeCell ref="B19:G19"/>
    <mergeCell ref="A21:B21"/>
    <mergeCell ref="G30:H30"/>
    <mergeCell ref="I30:J30"/>
    <mergeCell ref="M30:P30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16" sqref="D16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8.71093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2</v>
      </c>
      <c r="G23" t="s">
        <v>360</v>
      </c>
      <c r="H23" s="170">
        <f>F23*G23</f>
        <v>1200</v>
      </c>
      <c r="I23" t="s">
        <v>223</v>
      </c>
      <c r="J23" s="170">
        <v>1</v>
      </c>
      <c r="K23" s="170">
        <v>1</v>
      </c>
      <c r="L23" s="170">
        <f>H23</f>
        <v>1200</v>
      </c>
      <c r="M23" s="170">
        <f>ROUND(L23*I23%,2)</f>
        <v>24</v>
      </c>
      <c r="N23" s="170">
        <f>H23-M23</f>
        <v>1176</v>
      </c>
      <c r="O23" s="170">
        <f>ROUND(N23*J23%,2)</f>
        <v>11.76</v>
      </c>
      <c r="P23" s="170">
        <f>ROUND(N23-O23,2)</f>
        <v>1164.24</v>
      </c>
      <c r="Q23" s="170">
        <f>ROUND(P23*K23%,2)</f>
        <v>11.64</v>
      </c>
      <c r="R23" s="170">
        <f>ROUND((M23+O23+Q23),2)</f>
        <v>47.4</v>
      </c>
      <c r="S23" s="170">
        <f>ROUND((H23-R23),2)</f>
        <v>1152.5999999999999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207.47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207.47</v>
      </c>
      <c r="AC23" s="169">
        <f>IF($V21=1,S23+AB23,S23)</f>
        <v>1360.07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1152.5999999999999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2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472</v>
      </c>
      <c r="AW23" s="175">
        <f>AM23</f>
        <v>2</v>
      </c>
      <c r="AX23" s="175">
        <f>AR23</f>
        <v>576.29999999999995</v>
      </c>
      <c r="AY23" s="175">
        <f>AU23+AW23</f>
        <v>2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635</v>
      </c>
      <c r="BN23" t="s">
        <v>634</v>
      </c>
      <c r="BO23" s="175">
        <f>ROUND((((AW23*AZ23)+(BN23*BM23))/(AW23+BN23)),5)</f>
        <v>568.91600000000005</v>
      </c>
      <c r="BP23" s="87">
        <f>BN23+AW23</f>
        <v>510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1200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47.4</v>
      </c>
      <c r="S24" s="180">
        <f>SUM(S23)</f>
        <v>1152.5999999999999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207.47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207.47</v>
      </c>
      <c r="AC24" s="183">
        <f t="shared" si="1"/>
        <v>1360.07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1152.5999999999999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1200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47.4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1152.5999999999999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207.47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1360.07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AT24" sqref="AT24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471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360</v>
      </c>
      <c r="H23" s="170">
        <f>F23*G23</f>
        <v>600</v>
      </c>
      <c r="I23" t="s">
        <v>223</v>
      </c>
      <c r="J23" s="170">
        <v>1</v>
      </c>
      <c r="K23" s="170">
        <v>1</v>
      </c>
      <c r="L23" s="170">
        <f>H23</f>
        <v>600</v>
      </c>
      <c r="M23" s="170">
        <f>ROUND(L23*I23%,2)</f>
        <v>12</v>
      </c>
      <c r="N23" s="170">
        <f>H23-M23</f>
        <v>588</v>
      </c>
      <c r="O23" s="170">
        <f>ROUND(N23*J23%,2)</f>
        <v>5.88</v>
      </c>
      <c r="P23" s="170">
        <f>ROUND(N23-O23,2)</f>
        <v>582.12</v>
      </c>
      <c r="Q23" s="170">
        <f>ROUND(P23*K23%,2)</f>
        <v>5.82</v>
      </c>
      <c r="R23" s="170">
        <f>ROUND((M23+O23+Q23),2)</f>
        <v>23.7</v>
      </c>
      <c r="S23" s="170">
        <f>ROUND((H23-R23),2)</f>
        <v>576.29999999999995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103.73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103.73</v>
      </c>
      <c r="AC23" s="169">
        <f>IF($V20=1,S23+AB23,S23)</f>
        <v>576.29999999999995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576.29999999999995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576.29999999999995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576.29999999999995</v>
      </c>
      <c r="AS23" s="175" t="s">
        <v>309</v>
      </c>
      <c r="AT23" s="175" t="s">
        <v>58</v>
      </c>
      <c r="AU23" t="s">
        <v>239</v>
      </c>
      <c r="AV23" t="s">
        <v>538</v>
      </c>
      <c r="AW23" s="175">
        <f>AM23</f>
        <v>1</v>
      </c>
      <c r="AX23" s="175">
        <f>AR23</f>
        <v>576.29999999999995</v>
      </c>
      <c r="AY23" s="175">
        <f>AU23+AW23</f>
        <v>1</v>
      </c>
      <c r="AZ23" s="175">
        <f>ROUND(((AU23*AV23)+(AW23*AX23))/(AU23+AW23),5)</f>
        <v>576.29999999999995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364</v>
      </c>
      <c r="BM23" t="s">
        <v>545</v>
      </c>
      <c r="BN23" t="s">
        <v>544</v>
      </c>
      <c r="BO23" s="175">
        <f>ROUND((((AW23*AZ23)+(BN23*BM23))/(AW23+BN23)),5)</f>
        <v>572.03453999999999</v>
      </c>
      <c r="BP23" s="87">
        <f>BN23+AW23</f>
        <v>143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23.7</v>
      </c>
      <c r="S24" s="180">
        <f>SUM(S23)</f>
        <v>576.29999999999995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103.73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103.73</v>
      </c>
      <c r="AC24" s="183">
        <f t="shared" si="1"/>
        <v>576.29999999999995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576.29999999999995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576</v>
      </c>
      <c r="AU24">
        <f>AT24-AC24</f>
        <v>-0.29999999999995453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600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23.7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576.29999999999995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103.73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680.03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C23" sqref="C23"/>
    </sheetView>
  </sheetViews>
  <sheetFormatPr defaultColWidth="9" defaultRowHeight="15"/>
  <cols>
    <col min="2" max="2" width="36.57031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t="s">
        <v>269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556</v>
      </c>
      <c r="H23" s="170">
        <f>F23*G23</f>
        <v>4400</v>
      </c>
      <c r="I23">
        <v>1</v>
      </c>
      <c r="J23" s="170">
        <v>1</v>
      </c>
      <c r="K23" s="170">
        <v>1</v>
      </c>
      <c r="L23" s="170">
        <f>H23</f>
        <v>4400</v>
      </c>
      <c r="M23" s="170">
        <f>ROUND(L23*I23%,2)</f>
        <v>44</v>
      </c>
      <c r="N23" s="170">
        <f>H23-M23</f>
        <v>4356</v>
      </c>
      <c r="O23" s="170">
        <f>ROUND(N23*J23%,2)</f>
        <v>43.56</v>
      </c>
      <c r="P23" s="170">
        <f>ROUND(N23-O23,2)</f>
        <v>4312.4399999999996</v>
      </c>
      <c r="Q23" s="170">
        <f>ROUND(P23*K23%,2)</f>
        <v>43.12</v>
      </c>
      <c r="R23" s="170">
        <f>ROUND((M23+O23+Q23),2)</f>
        <v>130.68</v>
      </c>
      <c r="S23" s="170">
        <f>ROUND((H23-R23),2)</f>
        <v>4269.32</v>
      </c>
      <c r="T23" s="171" t="s">
        <v>146</v>
      </c>
      <c r="U23" s="172">
        <v>0.18</v>
      </c>
      <c r="V23" s="170">
        <f>IF(OR($C$21=1,$C$21=4),ROUND(((S23*U23)/2),2),0)</f>
        <v>384.24</v>
      </c>
      <c r="W23" s="170">
        <f>IF($C$21=1,ROUND(((S23*U23)/2),2),0)</f>
        <v>384.24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768.48</v>
      </c>
      <c r="AC23" s="169">
        <f>IF($V21=1,S23+AB23,S23)</f>
        <v>4269.32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4269.32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4269.32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4269.32</v>
      </c>
      <c r="AS23" s="175" t="s">
        <v>518</v>
      </c>
      <c r="AT23" s="175" t="s">
        <v>58</v>
      </c>
      <c r="AU23" t="s">
        <v>239</v>
      </c>
      <c r="AV23" t="s">
        <v>553</v>
      </c>
      <c r="AW23" s="175">
        <f>AM23</f>
        <v>1</v>
      </c>
      <c r="AX23" s="175">
        <f>AR23</f>
        <v>4269.32</v>
      </c>
      <c r="AY23" s="175">
        <f>AU23+AW23</f>
        <v>1</v>
      </c>
      <c r="AZ23" s="175">
        <f>ROUND(((AU23*AV23)+(AW23*AX23))/(AU23+AW23),5)</f>
        <v>4269.32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555</v>
      </c>
      <c r="BN23" t="s">
        <v>554</v>
      </c>
      <c r="BO23" s="175">
        <f>ROUND((((AW23*AZ23)+(BN23*BM23))/(AW23+BN23)),5)</f>
        <v>1533.5445999999999</v>
      </c>
      <c r="BP23" s="87">
        <f>BN23+AW23</f>
        <v>313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130.68</v>
      </c>
      <c r="S24" s="180">
        <f>SUM(S23)</f>
        <v>4269.32</v>
      </c>
      <c r="T24" s="180"/>
      <c r="U24" s="180"/>
      <c r="V24" s="181">
        <f t="shared" ref="V24:AE24" si="1">SUM(V23)</f>
        <v>384.24</v>
      </c>
      <c r="W24" s="181">
        <f t="shared" si="1"/>
        <v>384.24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768.48</v>
      </c>
      <c r="AC24" s="183">
        <f t="shared" si="1"/>
        <v>4269.32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4269.32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4269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130.68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4269.32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768.48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5037.7999999999993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BQ38"/>
  <sheetViews>
    <sheetView topLeftCell="Q13" workbookViewId="0">
      <selection activeCell="Q29" sqref="Q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6" t="s">
        <v>47</v>
      </c>
      <c r="B2" s="216"/>
      <c r="C2" s="216"/>
      <c r="D2" s="216"/>
      <c r="E2" s="216"/>
      <c r="F2" s="216"/>
      <c r="G2" s="216"/>
      <c r="H2" s="21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228</v>
      </c>
      <c r="H23" s="170">
        <f>F23*G23</f>
        <v>400</v>
      </c>
      <c r="I23" t="s">
        <v>223</v>
      </c>
      <c r="J23" s="170">
        <v>1</v>
      </c>
      <c r="K23" s="170">
        <v>1</v>
      </c>
      <c r="L23" s="170">
        <f>H23</f>
        <v>400</v>
      </c>
      <c r="M23" s="170">
        <f>ROUND(L23*I23%,2)</f>
        <v>8</v>
      </c>
      <c r="N23" s="170">
        <f>H23-M23</f>
        <v>392</v>
      </c>
      <c r="O23" s="170">
        <f>ROUND(N23*J23%,2)</f>
        <v>3.92</v>
      </c>
      <c r="P23" s="170">
        <f>ROUND(N23-O23,2)</f>
        <v>388.08</v>
      </c>
      <c r="Q23" s="170">
        <f>ROUND(P23*K23%,2)</f>
        <v>3.88</v>
      </c>
      <c r="R23" s="170">
        <f>ROUND((M23+O23+Q23),2)</f>
        <v>15.8</v>
      </c>
      <c r="S23" s="170">
        <f>ROUND((H23-R23),2)</f>
        <v>384.2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384.2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384.2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384.2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384.2</v>
      </c>
      <c r="AS23" s="175" t="s">
        <v>583</v>
      </c>
      <c r="AT23" s="175" t="s">
        <v>58</v>
      </c>
      <c r="AW23" s="175">
        <f>AM23</f>
        <v>1</v>
      </c>
      <c r="AX23" s="175">
        <f>AR23</f>
        <v>384.2</v>
      </c>
      <c r="AY23" s="175">
        <f>AU23+AW23</f>
        <v>1</v>
      </c>
      <c r="AZ23" s="175">
        <f>ROUND(((AU23*AV23)+(AW23*AX23))/(AU23+AW23),5)</f>
        <v>384.2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584</v>
      </c>
      <c r="BM23" t="s">
        <v>239</v>
      </c>
      <c r="BN23" t="s">
        <v>239</v>
      </c>
      <c r="BO23" s="175">
        <f>ROUND((((AW23*AZ23)+(BN23*BM23))/(AW23+BN23)),5)</f>
        <v>384.2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15.8</v>
      </c>
      <c r="S24" s="180">
        <f>SUM(S23)</f>
        <v>384.2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384.2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384.2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384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15.8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384.2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0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384.2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hyperlinks>
    <hyperlink ref="AS23" r:id="rId1" display="https://webappqc.roadmaperp.com:8765/ords/r/autojen27/scm-us9011/warehouse1?p367019101_rowid=AABFg5AAJAAEIFuAAT&amp;p367019101_store_id=DU3-INS%20WH&amp;session=6019243164867"/>
  </hyperlinks>
  <pageMargins left="0.7" right="0.7" top="0.75" bottom="0.75" header="0.3" footer="0.3"/>
  <pageSetup orientation="portrait" r:id="rId2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5" t="s">
        <v>47</v>
      </c>
      <c r="B2" s="215"/>
      <c r="C2" s="215"/>
      <c r="D2" s="215"/>
      <c r="E2" s="215"/>
      <c r="F2" s="215"/>
      <c r="G2" s="215"/>
      <c r="H2" s="21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39.33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437.03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5" t="s">
        <v>579</v>
      </c>
      <c r="AT23" s="175" t="s">
        <v>58</v>
      </c>
      <c r="AU23" t="s">
        <v>239</v>
      </c>
      <c r="AV23" t="s">
        <v>581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580</v>
      </c>
      <c r="BM23" t="s">
        <v>582</v>
      </c>
      <c r="BN23" t="s">
        <v>263</v>
      </c>
      <c r="BO23" s="175">
        <f>ROUND((((AW23*AZ23)+(BN23*BM23))/(AW23+BN23)),5)</f>
        <v>439.2475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39.33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437.03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437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17.97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437.03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78.66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515.68999999999994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BQ38"/>
  <sheetViews>
    <sheetView topLeftCell="BD10" workbookViewId="0">
      <selection activeCell="BG18" sqref="BG18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42578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7" t="s">
        <v>47</v>
      </c>
      <c r="B2" s="217"/>
      <c r="C2" s="217"/>
      <c r="D2" s="217"/>
      <c r="E2" s="217"/>
      <c r="F2" s="217"/>
      <c r="G2" s="217"/>
      <c r="H2" s="21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588</v>
      </c>
      <c r="H23" s="170">
        <f>F23*G23</f>
        <v>377</v>
      </c>
      <c r="I23" t="s">
        <v>223</v>
      </c>
      <c r="J23" s="170">
        <v>1</v>
      </c>
      <c r="K23" s="170">
        <v>1</v>
      </c>
      <c r="L23" s="170">
        <f>H23</f>
        <v>377</v>
      </c>
      <c r="M23" s="170">
        <f>ROUND(L23*I23%,2)</f>
        <v>7.54</v>
      </c>
      <c r="N23" s="170">
        <f>H23-M23</f>
        <v>369.46</v>
      </c>
      <c r="O23" s="170">
        <f>ROUND(N23*J23%,2)</f>
        <v>3.69</v>
      </c>
      <c r="P23" s="170">
        <f>ROUND(N23-O23,2)</f>
        <v>365.77</v>
      </c>
      <c r="Q23" s="170">
        <f>ROUND(P23*K23%,2)</f>
        <v>3.66</v>
      </c>
      <c r="R23" s="170">
        <f>ROUND((M23+O23+Q23),2)</f>
        <v>14.89</v>
      </c>
      <c r="S23" s="170">
        <f>ROUND((H23-R23),2)</f>
        <v>362.11</v>
      </c>
      <c r="T23" s="171" t="s">
        <v>146</v>
      </c>
      <c r="U23" s="172">
        <v>0.18</v>
      </c>
      <c r="V23" s="170">
        <f>IF(OR($C$21=1,$C$21=4),ROUND(((S23*U23)/2),2),0)</f>
        <v>32.590000000000003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32.590000000000003</v>
      </c>
      <c r="Z23" s="173">
        <v>0</v>
      </c>
      <c r="AA23" s="170">
        <f>IF($C20=3, 0, ROUND(S23*Z23, 2))</f>
        <v>0</v>
      </c>
      <c r="AB23" s="169">
        <f>V23+W23+X23+Y23+AA23</f>
        <v>65.180000000000007</v>
      </c>
      <c r="AC23" s="169">
        <f>IF($V21=1,S23+AB23,S23)</f>
        <v>362.11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362.11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362.11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362.11</v>
      </c>
      <c r="AS23" s="171" t="s">
        <v>585</v>
      </c>
      <c r="AT23" s="175" t="s">
        <v>58</v>
      </c>
      <c r="AU23" t="s">
        <v>239</v>
      </c>
      <c r="AV23" t="s">
        <v>587</v>
      </c>
      <c r="AW23" s="175">
        <f>AM23</f>
        <v>1</v>
      </c>
      <c r="AX23" s="175">
        <f>AR23</f>
        <v>362.11</v>
      </c>
      <c r="AY23" s="175">
        <f>AU23+AW23</f>
        <v>1</v>
      </c>
      <c r="AZ23" s="175">
        <f>ROUND(((AU23*AV23)+(AW23*AX23))/(AU23+AW23),5)</f>
        <v>362.11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586</v>
      </c>
      <c r="BM23" t="s">
        <v>587</v>
      </c>
      <c r="BN23" t="s">
        <v>269</v>
      </c>
      <c r="BO23" s="175">
        <f>ROUND((((AW23*AZ23)+(BN23*BM23))/(AW23+BN23)),5)</f>
        <v>365.78500000000003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377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14.89</v>
      </c>
      <c r="S24" s="180">
        <f>SUM(S23)</f>
        <v>362.11</v>
      </c>
      <c r="T24" s="180"/>
      <c r="U24" s="180"/>
      <c r="V24" s="181">
        <f t="shared" ref="V24:AE24" si="1">SUM(V23)</f>
        <v>32.590000000000003</v>
      </c>
      <c r="W24" s="181">
        <f t="shared" si="1"/>
        <v>0</v>
      </c>
      <c r="X24" s="181">
        <f t="shared" si="1"/>
        <v>0</v>
      </c>
      <c r="Y24" s="181">
        <f t="shared" si="1"/>
        <v>32.590000000000003</v>
      </c>
      <c r="Z24" s="182">
        <f t="shared" si="1"/>
        <v>0</v>
      </c>
      <c r="AA24" s="181">
        <f t="shared" si="1"/>
        <v>0</v>
      </c>
      <c r="AB24" s="180">
        <f t="shared" si="1"/>
        <v>65.180000000000007</v>
      </c>
      <c r="AC24" s="183">
        <f t="shared" si="1"/>
        <v>362.11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362.11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362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377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14.89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362.11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65.180000000000007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427.29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activeCell="D29" sqref="D29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4" t="s">
        <v>47</v>
      </c>
      <c r="B2" s="214"/>
      <c r="C2" s="214"/>
      <c r="D2" s="214"/>
      <c r="E2" s="214"/>
      <c r="F2" s="214"/>
      <c r="G2" s="214"/>
      <c r="H2" s="21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251</v>
      </c>
      <c r="H23" s="170">
        <f>F23*G23</f>
        <v>455</v>
      </c>
      <c r="I23" t="s">
        <v>223</v>
      </c>
      <c r="J23" s="170">
        <v>1</v>
      </c>
      <c r="K23" s="170">
        <v>1</v>
      </c>
      <c r="L23" s="170">
        <f>H23</f>
        <v>455</v>
      </c>
      <c r="M23" s="170">
        <f>ROUND(L23*I23%,2)</f>
        <v>9.1</v>
      </c>
      <c r="N23" s="170">
        <f>H23-M23</f>
        <v>445.9</v>
      </c>
      <c r="O23" s="170">
        <f>ROUND(N23*J23%,2)</f>
        <v>4.46</v>
      </c>
      <c r="P23" s="170">
        <f>ROUND(N23-O23,2)</f>
        <v>441.44</v>
      </c>
      <c r="Q23" s="170">
        <f>ROUND(P23*K23%,2)</f>
        <v>4.41</v>
      </c>
      <c r="R23" s="170">
        <f>ROUND((M23+O23+Q23),2)</f>
        <v>17.97</v>
      </c>
      <c r="S23" s="170">
        <f>ROUND((H23-R23),2)</f>
        <v>437.03</v>
      </c>
      <c r="T23" s="171" t="s">
        <v>146</v>
      </c>
      <c r="U23" s="172">
        <v>0.18</v>
      </c>
      <c r="V23" s="170">
        <f>IF(OR($C$21=1,$C$21=4),ROUND(((S23*U23)/2),2),0)</f>
        <v>39.33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39.33</v>
      </c>
      <c r="Z23" s="173">
        <v>0</v>
      </c>
      <c r="AA23" s="170">
        <f>IF($C20=3, 0, ROUND(S23*Z23, 2))</f>
        <v>0</v>
      </c>
      <c r="AB23" s="169">
        <f>V23+W23+X23+Y23+AA23</f>
        <v>78.66</v>
      </c>
      <c r="AC23" s="169">
        <f>IF($V21=1,S23+AB23,S23)</f>
        <v>515.68999999999994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437.03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437.03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437.03</v>
      </c>
      <c r="AS23" s="171" t="s">
        <v>576</v>
      </c>
      <c r="AT23" s="175" t="s">
        <v>58</v>
      </c>
      <c r="AU23" t="s">
        <v>239</v>
      </c>
      <c r="AV23" t="s">
        <v>578</v>
      </c>
      <c r="AW23" s="175">
        <f>AM23</f>
        <v>1</v>
      </c>
      <c r="AX23" s="175">
        <f>AR23</f>
        <v>437.03</v>
      </c>
      <c r="AY23" s="175">
        <f>AU23+AW23</f>
        <v>1</v>
      </c>
      <c r="AZ23" s="175">
        <f>ROUND(((AU23*AV23)+(AW23*AX23))/(AU23+AW23),5)</f>
        <v>437.03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577</v>
      </c>
      <c r="BM23" t="s">
        <v>578</v>
      </c>
      <c r="BN23" t="s">
        <v>269</v>
      </c>
      <c r="BO23" s="175">
        <f>ROUND((((AW23*AZ23)+(BN23*BM23))/(AW23+BN23)),5)</f>
        <v>441.46499999999997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17.97</v>
      </c>
      <c r="S24" s="180">
        <f>SUM(S23)</f>
        <v>437.03</v>
      </c>
      <c r="T24" s="180"/>
      <c r="U24" s="180"/>
      <c r="V24" s="181">
        <f t="shared" ref="V24:AE24" si="1">SUM(V23)</f>
        <v>39.33</v>
      </c>
      <c r="W24" s="181">
        <f t="shared" si="1"/>
        <v>0</v>
      </c>
      <c r="X24" s="181">
        <f t="shared" si="1"/>
        <v>0</v>
      </c>
      <c r="Y24" s="181">
        <f t="shared" si="1"/>
        <v>39.33</v>
      </c>
      <c r="Z24" s="182">
        <f t="shared" si="1"/>
        <v>0</v>
      </c>
      <c r="AA24" s="181">
        <f t="shared" si="1"/>
        <v>0</v>
      </c>
      <c r="AB24" s="180">
        <f t="shared" si="1"/>
        <v>78.66</v>
      </c>
      <c r="AC24" s="183">
        <f t="shared" si="1"/>
        <v>515.68999999999994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437.03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516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17.97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437.03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78.66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515.68999999999994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BQ38"/>
  <sheetViews>
    <sheetView topLeftCell="O13" workbookViewId="0">
      <selection activeCell="T23" sqref="T23"/>
    </sheetView>
  </sheetViews>
  <sheetFormatPr defaultColWidth="9" defaultRowHeight="15"/>
  <cols>
    <col min="2" max="2" width="28.28515625" bestFit="1" customWidth="1"/>
    <col min="4" max="4" width="72.42578125" bestFit="1" customWidth="1"/>
    <col min="8" max="8" width="11.8554687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3" t="s">
        <v>47</v>
      </c>
      <c r="B2" s="213"/>
      <c r="C2" s="213"/>
      <c r="D2" s="213"/>
      <c r="E2" s="213"/>
      <c r="F2" s="213"/>
      <c r="G2" s="213"/>
      <c r="H2" s="21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3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575</v>
      </c>
      <c r="H23" s="170">
        <f>F23*G23</f>
        <v>235</v>
      </c>
      <c r="I23" t="s">
        <v>223</v>
      </c>
      <c r="J23" s="170">
        <v>1</v>
      </c>
      <c r="K23" s="170">
        <v>1</v>
      </c>
      <c r="L23" s="170">
        <f>H23</f>
        <v>235</v>
      </c>
      <c r="M23" s="170">
        <f>ROUND(L23*I23%,2)</f>
        <v>4.7</v>
      </c>
      <c r="N23" s="170">
        <f>H23-M23</f>
        <v>230.3</v>
      </c>
      <c r="O23" s="170">
        <f>ROUND(N23*J23%,2)</f>
        <v>2.2999999999999998</v>
      </c>
      <c r="P23" s="170">
        <f>ROUND(N23-O23,2)</f>
        <v>228</v>
      </c>
      <c r="Q23" s="170">
        <f>ROUND(P23*K23%,2)</f>
        <v>2.2799999999999998</v>
      </c>
      <c r="R23" s="170">
        <f>ROUND((M23+O23+Q23),2)</f>
        <v>9.2799999999999994</v>
      </c>
      <c r="S23" s="170">
        <f>ROUND((H23-R23),2)</f>
        <v>225.72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0</v>
      </c>
      <c r="AC23" s="169">
        <f>IF($V21=1,S23+AB23,S23)</f>
        <v>225.72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225.72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225.72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225.72</v>
      </c>
      <c r="AS23" s="175" t="s">
        <v>572</v>
      </c>
      <c r="AT23" s="175" t="s">
        <v>58</v>
      </c>
      <c r="AU23" t="s">
        <v>239</v>
      </c>
      <c r="AV23" t="s">
        <v>574</v>
      </c>
      <c r="AW23" s="175">
        <f>AM23</f>
        <v>1</v>
      </c>
      <c r="AX23" s="175">
        <f>AR23</f>
        <v>225.72</v>
      </c>
      <c r="AY23" s="175">
        <f>AU23+AW23</f>
        <v>1</v>
      </c>
      <c r="AZ23" s="175">
        <f>ROUND(((AU23*AV23)+(AW23*AX23))/(AU23+AW23),5)</f>
        <v>225.72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573</v>
      </c>
      <c r="BM23" t="s">
        <v>574</v>
      </c>
      <c r="BN23" t="s">
        <v>269</v>
      </c>
      <c r="BO23" s="175">
        <f>ROUND((((AW23*AZ23)+(BN23*BM23))/(AW23+BN23)),5)</f>
        <v>124.36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235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9.2799999999999994</v>
      </c>
      <c r="S24" s="180">
        <f>SUM(S23)</f>
        <v>225.72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0</v>
      </c>
      <c r="AC24" s="183">
        <f t="shared" si="1"/>
        <v>225.72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225.72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226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235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9.2799999999999994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225.72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0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225.72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BQ38"/>
  <sheetViews>
    <sheetView topLeftCell="K10" workbookViewId="0">
      <selection activeCell="V21" sqref="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6" t="s">
        <v>47</v>
      </c>
      <c r="B2" s="226"/>
      <c r="C2" s="226"/>
      <c r="D2" s="226"/>
      <c r="E2" s="226"/>
      <c r="F2" s="226"/>
      <c r="G2" s="226"/>
      <c r="H2" s="226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614</v>
      </c>
      <c r="H23" s="170">
        <f>F23*G23</f>
        <v>440</v>
      </c>
      <c r="I23" t="s">
        <v>223</v>
      </c>
      <c r="J23" s="170">
        <v>1</v>
      </c>
      <c r="K23" s="170">
        <v>1</v>
      </c>
      <c r="L23" s="170">
        <f>H23</f>
        <v>440</v>
      </c>
      <c r="M23" s="170">
        <f>ROUND(L23*I23%,2)</f>
        <v>8.8000000000000007</v>
      </c>
      <c r="N23" s="170">
        <f>H23-M23</f>
        <v>431.2</v>
      </c>
      <c r="O23" s="170">
        <f>ROUND(N23*J23%,2)</f>
        <v>4.3099999999999996</v>
      </c>
      <c r="P23" s="170">
        <f>ROUND(N23-O23,2)</f>
        <v>426.89</v>
      </c>
      <c r="Q23" s="170">
        <f>ROUND(P23*K23%,2)</f>
        <v>4.2699999999999996</v>
      </c>
      <c r="R23" s="170">
        <f>ROUND((M23+O23+Q23),2)</f>
        <v>17.38</v>
      </c>
      <c r="S23" s="170">
        <f>ROUND((H23-R23),2)</f>
        <v>422.62</v>
      </c>
      <c r="T23" s="171" t="s">
        <v>146</v>
      </c>
      <c r="U23" s="172">
        <v>0.18</v>
      </c>
      <c r="V23" s="170">
        <f>IF(OR($C$21=1,$C$21=4),ROUND(((S23*U23)/2),2),0)</f>
        <v>38.04</v>
      </c>
      <c r="W23" s="170">
        <f>IF($C$21=1,ROUND(((S23*U23)/2),2),0)</f>
        <v>38.04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76.08</v>
      </c>
      <c r="AC23" s="169">
        <f>IF($V21=1,S23+AB23,S23)</f>
        <v>422.62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422.62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422.62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422.62</v>
      </c>
      <c r="AS23" s="175" t="s">
        <v>611</v>
      </c>
      <c r="AT23" s="175" t="s">
        <v>58</v>
      </c>
      <c r="AU23" t="s">
        <v>239</v>
      </c>
      <c r="AV23" t="s">
        <v>613</v>
      </c>
      <c r="AW23" s="175">
        <f>AM23</f>
        <v>1</v>
      </c>
      <c r="AX23" s="175">
        <f>AR23</f>
        <v>422.62</v>
      </c>
      <c r="AY23" s="175">
        <f>AU23+AW23</f>
        <v>1</v>
      </c>
      <c r="AZ23" s="175">
        <f>ROUND(((AU23*AV23)+(AW23*AX23))/(AU23+AW23),5)</f>
        <v>422.62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612</v>
      </c>
      <c r="BM23" t="s">
        <v>613</v>
      </c>
      <c r="BN23" t="s">
        <v>269</v>
      </c>
      <c r="BO23" s="175">
        <f>ROUND((((AW23*AZ23)+(BN23*BM23))/(AW23+BN23)),5)</f>
        <v>426.91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17.38</v>
      </c>
      <c r="S24" s="180">
        <f>SUM(S23)</f>
        <v>422.62</v>
      </c>
      <c r="T24" s="180"/>
      <c r="U24" s="180"/>
      <c r="V24" s="181">
        <f t="shared" ref="V24:AE24" si="1">SUM(V23)</f>
        <v>38.04</v>
      </c>
      <c r="W24" s="181">
        <f t="shared" si="1"/>
        <v>38.04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76.08</v>
      </c>
      <c r="AC24" s="183">
        <f t="shared" si="1"/>
        <v>422.62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422.62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423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17.38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422.62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76.08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498.7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BQ38"/>
  <sheetViews>
    <sheetView topLeftCell="BP16" workbookViewId="0">
      <selection activeCell="BV21" sqref="BV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710937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5" t="s">
        <v>47</v>
      </c>
      <c r="B2" s="225"/>
      <c r="C2" s="225"/>
      <c r="D2" s="225"/>
      <c r="E2" s="225"/>
      <c r="F2" s="225"/>
      <c r="G2" s="225"/>
      <c r="H2" s="225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608</v>
      </c>
      <c r="H23" s="170">
        <f>F23*G23</f>
        <v>565</v>
      </c>
      <c r="I23" t="s">
        <v>269</v>
      </c>
      <c r="J23" s="170">
        <v>1</v>
      </c>
      <c r="K23" s="170">
        <v>1</v>
      </c>
      <c r="L23" s="170">
        <f>H23</f>
        <v>565</v>
      </c>
      <c r="M23" s="170">
        <f>ROUND(L23*I23%,2)</f>
        <v>5.65</v>
      </c>
      <c r="N23" s="170">
        <f>H23-M23</f>
        <v>559.35</v>
      </c>
      <c r="O23" s="170">
        <f>ROUND(N23*J23%,2)</f>
        <v>5.59</v>
      </c>
      <c r="P23" s="170">
        <f>ROUND(N23-O23,2)</f>
        <v>553.76</v>
      </c>
      <c r="Q23" s="170">
        <f>ROUND(P23*K23%,2)</f>
        <v>5.54</v>
      </c>
      <c r="R23" s="170">
        <f>ROUND((M23+O23+Q23),2)</f>
        <v>16.78</v>
      </c>
      <c r="S23" s="170">
        <f>ROUND((H23-R23),2)</f>
        <v>548.22</v>
      </c>
      <c r="T23" s="171" t="s">
        <v>146</v>
      </c>
      <c r="U23" s="172">
        <v>0.18</v>
      </c>
      <c r="V23" s="170">
        <f>IF(OR($C$21=1,$C$21=4),ROUND(((S23*U23)/2),2),0)</f>
        <v>49.34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49.34</v>
      </c>
      <c r="Z23" s="173">
        <v>0</v>
      </c>
      <c r="AA23" s="170">
        <f>IF($C20=3, 0, ROUND(S23*Z23, 2))</f>
        <v>0</v>
      </c>
      <c r="AB23" s="169">
        <f>V23+W23+X23+Y23+AA23</f>
        <v>98.68</v>
      </c>
      <c r="AC23" s="169">
        <f>IF($V21=1,S23+AB23,S23)</f>
        <v>646.90000000000009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548.22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548.22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548.22</v>
      </c>
      <c r="AS23" s="175" t="s">
        <v>606</v>
      </c>
      <c r="AT23" s="175" t="s">
        <v>58</v>
      </c>
      <c r="AU23" t="s">
        <v>239</v>
      </c>
      <c r="AV23" t="s">
        <v>609</v>
      </c>
      <c r="AW23" s="175">
        <f>AM23</f>
        <v>1</v>
      </c>
      <c r="AX23" s="175">
        <f>AR23</f>
        <v>548.22</v>
      </c>
      <c r="AY23" s="175">
        <f>AU23+AW23</f>
        <v>1</v>
      </c>
      <c r="AZ23" s="175">
        <f>ROUND(((AU23*AV23)+(AW23*AX23))/(AU23+AW23),5)</f>
        <v>548.22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607</v>
      </c>
      <c r="BM23" t="s">
        <v>610</v>
      </c>
      <c r="BN23" t="s">
        <v>263</v>
      </c>
      <c r="BO23" s="175">
        <f>ROUND((((AW23*AZ23)+(BN23*BM23))/(AW23+BN23)),5)</f>
        <v>551.00250000000005</v>
      </c>
      <c r="BP23" s="87">
        <f>BN23+AW23</f>
        <v>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565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16.78</v>
      </c>
      <c r="S24" s="180">
        <f>SUM(S23)</f>
        <v>548.22</v>
      </c>
      <c r="T24" s="180"/>
      <c r="U24" s="180"/>
      <c r="V24" s="181">
        <f t="shared" ref="V24:AE24" si="1">SUM(V23)</f>
        <v>49.34</v>
      </c>
      <c r="W24" s="181">
        <f t="shared" si="1"/>
        <v>0</v>
      </c>
      <c r="X24" s="181">
        <f t="shared" si="1"/>
        <v>0</v>
      </c>
      <c r="Y24" s="181">
        <f t="shared" si="1"/>
        <v>49.34</v>
      </c>
      <c r="Z24" s="182">
        <f t="shared" si="1"/>
        <v>0</v>
      </c>
      <c r="AA24" s="181">
        <f t="shared" si="1"/>
        <v>0</v>
      </c>
      <c r="AB24" s="180">
        <f t="shared" si="1"/>
        <v>98.68</v>
      </c>
      <c r="AC24" s="183">
        <f t="shared" si="1"/>
        <v>646.90000000000009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548.22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647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565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16.78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548.22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98.68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646.90000000000009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BQ38"/>
  <sheetViews>
    <sheetView topLeftCell="J16" workbookViewId="0">
      <selection activeCell="Q18" sqref="Q1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4" t="s">
        <v>47</v>
      </c>
      <c r="B2" s="224"/>
      <c r="C2" s="224"/>
      <c r="D2" s="224"/>
      <c r="E2" s="224"/>
      <c r="F2" s="224"/>
      <c r="G2" s="224"/>
      <c r="H2" s="22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343</v>
      </c>
      <c r="H23" s="170">
        <f>F23*G23</f>
        <v>343</v>
      </c>
      <c r="I23" t="s">
        <v>223</v>
      </c>
      <c r="J23" s="170">
        <v>1</v>
      </c>
      <c r="K23" s="170">
        <v>1</v>
      </c>
      <c r="L23" s="170">
        <f>H23</f>
        <v>343</v>
      </c>
      <c r="M23" s="170">
        <f>ROUND(L23*I23%,2)</f>
        <v>6.86</v>
      </c>
      <c r="N23" s="170">
        <f>H23-M23</f>
        <v>336.14</v>
      </c>
      <c r="O23" s="170">
        <f>ROUND(N23*J23%,2)</f>
        <v>3.36</v>
      </c>
      <c r="P23" s="170">
        <f>ROUND(N23-O23,2)</f>
        <v>332.78</v>
      </c>
      <c r="Q23" s="170">
        <f>ROUND(P23*K23%,2)</f>
        <v>3.33</v>
      </c>
      <c r="R23" s="170">
        <f>ROUND((M23+O23+Q23),2)</f>
        <v>13.55</v>
      </c>
      <c r="S23" s="170">
        <f>ROUND((H23-R23),2)</f>
        <v>329.45</v>
      </c>
      <c r="T23" s="171" t="s">
        <v>146</v>
      </c>
      <c r="U23" s="172">
        <v>0.18</v>
      </c>
      <c r="V23" s="170">
        <f>IF(OR($C$21=1,$C$21=4),ROUND(((S23*U23)/2),2),0)</f>
        <v>29.65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29.65</v>
      </c>
      <c r="Z23" s="173">
        <v>0</v>
      </c>
      <c r="AA23" s="170">
        <f>IF($C20=3, 0, ROUND(S23*Z23, 2))</f>
        <v>0</v>
      </c>
      <c r="AB23" s="169">
        <f>V23+W23+X23+Y23+AA23</f>
        <v>59.3</v>
      </c>
      <c r="AC23" s="169">
        <f>IF($V21=1,S23+AB23,S23)</f>
        <v>388.75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329.45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329.45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329.45</v>
      </c>
      <c r="AS23" s="175" t="s">
        <v>603</v>
      </c>
      <c r="AT23" s="175" t="s">
        <v>58</v>
      </c>
      <c r="AU23" t="s">
        <v>239</v>
      </c>
      <c r="AV23" t="s">
        <v>605</v>
      </c>
      <c r="AW23" s="175">
        <f>AM23</f>
        <v>1</v>
      </c>
      <c r="AX23" s="175">
        <f>AR23</f>
        <v>329.45</v>
      </c>
      <c r="AY23" s="175">
        <f>AU23+AW23</f>
        <v>1</v>
      </c>
      <c r="AZ23" s="175">
        <f>ROUND(((AU23*AV23)+(AW23*AX23))/(AU23+AW23),5)</f>
        <v>329.45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604</v>
      </c>
      <c r="BM23" t="s">
        <v>605</v>
      </c>
      <c r="BN23" t="s">
        <v>269</v>
      </c>
      <c r="BO23" s="175">
        <f>ROUND((((AW23*AZ23)+(BN23*BM23))/(AW23+BN23)),5)</f>
        <v>332.79500000000002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343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13.55</v>
      </c>
      <c r="S24" s="180">
        <f>SUM(S23)</f>
        <v>329.45</v>
      </c>
      <c r="T24" s="180"/>
      <c r="U24" s="180"/>
      <c r="V24" s="181">
        <f t="shared" ref="V24:AE24" si="1">SUM(V23)</f>
        <v>29.65</v>
      </c>
      <c r="W24" s="181">
        <f t="shared" si="1"/>
        <v>0</v>
      </c>
      <c r="X24" s="181">
        <f t="shared" si="1"/>
        <v>0</v>
      </c>
      <c r="Y24" s="181">
        <f t="shared" si="1"/>
        <v>29.65</v>
      </c>
      <c r="Z24" s="182">
        <f t="shared" si="1"/>
        <v>0</v>
      </c>
      <c r="AA24" s="181">
        <f t="shared" si="1"/>
        <v>0</v>
      </c>
      <c r="AB24" s="180">
        <f t="shared" si="1"/>
        <v>59.3</v>
      </c>
      <c r="AC24" s="183">
        <f t="shared" si="1"/>
        <v>388.75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329.45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389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343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13.55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329.45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59.3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388.75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D22" sqref="D22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3" t="s">
        <v>47</v>
      </c>
      <c r="B2" s="223"/>
      <c r="C2" s="223"/>
      <c r="D2" s="223"/>
      <c r="E2" s="223"/>
      <c r="F2" s="223"/>
      <c r="G2" s="223"/>
      <c r="H2" s="223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BQ38"/>
  <sheetViews>
    <sheetView workbookViewId="0">
      <selection sqref="A1:XFD1048576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2" t="s">
        <v>47</v>
      </c>
      <c r="B2" s="222"/>
      <c r="C2" s="222"/>
      <c r="D2" s="222"/>
      <c r="E2" s="222"/>
      <c r="F2" s="222"/>
      <c r="G2" s="222"/>
      <c r="H2" s="22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30.69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30.69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D21" sqref="D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1" t="s">
        <v>47</v>
      </c>
      <c r="B2" s="221"/>
      <c r="C2" s="221"/>
      <c r="D2" s="221"/>
      <c r="E2" s="221"/>
      <c r="F2" s="221"/>
      <c r="G2" s="221"/>
      <c r="H2" s="221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4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30.69</v>
      </c>
      <c r="W23" s="170">
        <f>IF($C$21=1,ROUND(((S23*U23)/2),2),0)</f>
        <v>0</v>
      </c>
      <c r="X23" s="170">
        <f>IF($C$21=2,ROUND(((S23*U23)),2),0)</f>
        <v>0</v>
      </c>
      <c r="Y23" s="170">
        <f>IF($C$21=4,ROUND(((S23*U23)/2),2),0)</f>
        <v>30.69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601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602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30.69</v>
      </c>
      <c r="W24" s="181">
        <f t="shared" si="1"/>
        <v>0</v>
      </c>
      <c r="X24" s="181">
        <f t="shared" si="1"/>
        <v>0</v>
      </c>
      <c r="Y24" s="181">
        <f t="shared" si="1"/>
        <v>30.69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BQ38"/>
  <sheetViews>
    <sheetView topLeftCell="A13" workbookViewId="0">
      <selection activeCell="BN23" sqref="BN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20" t="s">
        <v>47</v>
      </c>
      <c r="B2" s="220"/>
      <c r="C2" s="220"/>
      <c r="D2" s="220"/>
      <c r="E2" s="220"/>
      <c r="F2" s="220"/>
      <c r="G2" s="220"/>
      <c r="H2" s="22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600</v>
      </c>
      <c r="H23" s="170">
        <f>F23*G23</f>
        <v>355</v>
      </c>
      <c r="I23" t="s">
        <v>223</v>
      </c>
      <c r="J23" s="170">
        <v>1</v>
      </c>
      <c r="K23" s="170">
        <v>1</v>
      </c>
      <c r="L23" s="170">
        <f>H23</f>
        <v>355</v>
      </c>
      <c r="M23" s="170">
        <f>ROUND(L23*I23%,2)</f>
        <v>7.1</v>
      </c>
      <c r="N23" s="170">
        <f>H23-M23</f>
        <v>347.9</v>
      </c>
      <c r="O23" s="170">
        <f>ROUND(N23*J23%,2)</f>
        <v>3.48</v>
      </c>
      <c r="P23" s="170">
        <f>ROUND(N23-O23,2)</f>
        <v>344.42</v>
      </c>
      <c r="Q23" s="170">
        <f>ROUND(P23*K23%,2)</f>
        <v>3.44</v>
      </c>
      <c r="R23" s="170">
        <f>ROUND((M23+O23+Q23),2)</f>
        <v>14.02</v>
      </c>
      <c r="S23" s="170">
        <f>ROUND((H23-R23),2)</f>
        <v>340.98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61.38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61.38</v>
      </c>
      <c r="AC23" s="169">
        <f>IF($V21=1,S23+AB23,S23)</f>
        <v>402.36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340.98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340.98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340.98</v>
      </c>
      <c r="AS23" s="175" t="s">
        <v>597</v>
      </c>
      <c r="AT23" s="175" t="s">
        <v>58</v>
      </c>
      <c r="AU23" t="s">
        <v>239</v>
      </c>
      <c r="AV23" t="s">
        <v>599</v>
      </c>
      <c r="AW23" s="175">
        <f>AM23</f>
        <v>1</v>
      </c>
      <c r="AX23" s="175">
        <f>AR23</f>
        <v>340.98</v>
      </c>
      <c r="AY23" s="175">
        <f>AU23+AW23</f>
        <v>1</v>
      </c>
      <c r="AZ23" s="175">
        <f>ROUND(((AU23*AV23)+(AW23*AX23))/(AU23+AW23),5)</f>
        <v>340.98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598</v>
      </c>
      <c r="BM23" t="s">
        <v>599</v>
      </c>
      <c r="BN23" t="s">
        <v>269</v>
      </c>
      <c r="BO23" s="175">
        <f>ROUND((((AW23*AZ23)+(BN23*BM23))/(AW23+BN23)),5)</f>
        <v>344.44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355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14.02</v>
      </c>
      <c r="S24" s="180">
        <f>SUM(S23)</f>
        <v>340.98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61.38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61.38</v>
      </c>
      <c r="AC24" s="183">
        <f t="shared" si="1"/>
        <v>402.36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340.98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402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355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14.02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340.98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61.38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402.36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BQ38"/>
  <sheetViews>
    <sheetView topLeftCell="A16" workbookViewId="0">
      <selection activeCell="AL23" sqref="A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9" t="s">
        <v>47</v>
      </c>
      <c r="B2" s="219"/>
      <c r="C2" s="219"/>
      <c r="D2" s="219"/>
      <c r="E2" s="219"/>
      <c r="F2" s="219"/>
      <c r="G2" s="219"/>
      <c r="H2" s="21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596</v>
      </c>
      <c r="H23" s="170">
        <f>F23*G23</f>
        <v>444</v>
      </c>
      <c r="I23" t="s">
        <v>223</v>
      </c>
      <c r="J23" s="170">
        <v>1</v>
      </c>
      <c r="K23" s="170">
        <v>1</v>
      </c>
      <c r="L23" s="170">
        <f>H23</f>
        <v>444</v>
      </c>
      <c r="M23" s="170">
        <f>ROUND(L23*I23%,2)</f>
        <v>8.8800000000000008</v>
      </c>
      <c r="N23" s="170">
        <f>H23-M23</f>
        <v>435.12</v>
      </c>
      <c r="O23" s="170">
        <f>ROUND(N23*J23%,2)</f>
        <v>4.3499999999999996</v>
      </c>
      <c r="P23" s="170">
        <f>ROUND(N23-O23,2)</f>
        <v>430.77</v>
      </c>
      <c r="Q23" s="170">
        <f>ROUND(P23*K23%,2)</f>
        <v>4.3099999999999996</v>
      </c>
      <c r="R23" s="170">
        <f>ROUND((M23+O23+Q23),2)</f>
        <v>17.54</v>
      </c>
      <c r="S23" s="170">
        <f>ROUND((H23-R23),2)</f>
        <v>426.46</v>
      </c>
      <c r="T23" s="171" t="s">
        <v>146</v>
      </c>
      <c r="U23" s="172">
        <v>0.18</v>
      </c>
      <c r="V23" s="170">
        <f>IF(OR($C$21=1,$C$21=4),ROUND(((S23*U23)/2),2),0)</f>
        <v>38.380000000000003</v>
      </c>
      <c r="W23" s="170">
        <f>IF($C$21=1,ROUND(((S23*U23)/2),2),0)</f>
        <v>38.380000000000003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76.760000000000005</v>
      </c>
      <c r="AC23" s="169">
        <f>IF($V21=1,S23+AB23,S23)</f>
        <v>503.21999999999997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426.46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426.46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426.46</v>
      </c>
      <c r="AS23" s="175" t="s">
        <v>594</v>
      </c>
      <c r="AT23" s="175" t="s">
        <v>58</v>
      </c>
      <c r="AW23" s="175">
        <f>AM23</f>
        <v>1</v>
      </c>
      <c r="AX23" s="175">
        <f>AR23</f>
        <v>426.46</v>
      </c>
      <c r="AY23" s="175">
        <f>AU23+AW23</f>
        <v>1</v>
      </c>
      <c r="AZ23" s="175">
        <f>ROUND(((AU23*AV23)+(AW23*AX23))/(AU23+AW23),5)</f>
        <v>426.46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595</v>
      </c>
      <c r="BM23" t="s">
        <v>239</v>
      </c>
      <c r="BN23" t="s">
        <v>239</v>
      </c>
      <c r="BO23" s="175">
        <f>ROUND((((AW23*AZ23)+(BN23*BM23))/(AW23+BN23)),5)</f>
        <v>426.46</v>
      </c>
      <c r="BP23" s="87">
        <f>BN23+AW23</f>
        <v>1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444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17.54</v>
      </c>
      <c r="S24" s="180">
        <f>SUM(S23)</f>
        <v>426.46</v>
      </c>
      <c r="T24" s="180"/>
      <c r="U24" s="180"/>
      <c r="V24" s="181">
        <f t="shared" ref="V24:AE24" si="1">SUM(V23)</f>
        <v>38.380000000000003</v>
      </c>
      <c r="W24" s="181">
        <f t="shared" si="1"/>
        <v>38.380000000000003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76.760000000000005</v>
      </c>
      <c r="AC24" s="183">
        <f t="shared" si="1"/>
        <v>503.21999999999997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426.46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503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444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17.54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426.46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76.760000000000005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503.21999999999997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hyperlinks>
    <hyperlink ref="AS23" r:id="rId1" display="https://webappqc.roadmaperp.com:8765/ords/r/autojen27/scm-us9011/warehouse1?p367019101_rowid=AABFg5AAJAAEIFvAAL&amp;p367019101_store_id=INS%20WH-DC1&amp;session=16961274983825"/>
  </hyperlinks>
  <pageMargins left="0.7" right="0.7" top="0.75" bottom="0.75" header="0.3" footer="0.3"/>
  <pageSetup orientation="portrait" r:id="rId2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BQ38"/>
  <sheetViews>
    <sheetView topLeftCell="BK10" workbookViewId="0">
      <selection activeCell="BL23" sqref="BL23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2.42578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1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8" t="s">
        <v>47</v>
      </c>
      <c r="B2" s="218"/>
      <c r="C2" s="218"/>
      <c r="D2" s="218"/>
      <c r="E2" s="218"/>
      <c r="F2" s="218"/>
      <c r="G2" s="218"/>
      <c r="H2" s="21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591</v>
      </c>
      <c r="H23" s="170">
        <f>F23*G23</f>
        <v>466</v>
      </c>
      <c r="I23" t="s">
        <v>223</v>
      </c>
      <c r="J23" s="170">
        <v>1</v>
      </c>
      <c r="K23" s="170">
        <v>1</v>
      </c>
      <c r="L23" s="170">
        <f>H23</f>
        <v>466</v>
      </c>
      <c r="M23" s="170">
        <f>ROUND(L23*I23%,2)</f>
        <v>9.32</v>
      </c>
      <c r="N23" s="170">
        <f>H23-M23</f>
        <v>456.68</v>
      </c>
      <c r="O23" s="170">
        <f>ROUND(N23*J23%,2)</f>
        <v>4.57</v>
      </c>
      <c r="P23" s="170">
        <f>ROUND(N23-O23,2)</f>
        <v>452.11</v>
      </c>
      <c r="Q23" s="170">
        <f>ROUND(P23*K23%,2)</f>
        <v>4.5199999999999996</v>
      </c>
      <c r="R23" s="170">
        <f>ROUND((M23+O23+Q23),2)</f>
        <v>18.41</v>
      </c>
      <c r="S23" s="170">
        <f>ROUND((H23-R23),2)</f>
        <v>447.59</v>
      </c>
      <c r="T23" s="171" t="s">
        <v>146</v>
      </c>
      <c r="U23" s="172">
        <v>0.18</v>
      </c>
      <c r="V23" s="170">
        <f>IF(OR($C$21=1,$C$21=4),ROUND(((S23*U23)/2),2),0)</f>
        <v>40.28</v>
      </c>
      <c r="W23" s="170">
        <f>IF($C$21=1,ROUND(((S23*U23)/2),2),0)</f>
        <v>40.28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80.56</v>
      </c>
      <c r="AC23" s="169">
        <f>IF($V21=1,S23+AB23,S23)</f>
        <v>528.15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447.59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447.59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447.59</v>
      </c>
      <c r="AS23" s="175" t="s">
        <v>589</v>
      </c>
      <c r="AT23" s="175" t="s">
        <v>58</v>
      </c>
      <c r="AU23" t="s">
        <v>239</v>
      </c>
      <c r="AV23" t="s">
        <v>592</v>
      </c>
      <c r="AW23" s="175">
        <f>AM23</f>
        <v>1</v>
      </c>
      <c r="AX23" s="175">
        <f>AR23</f>
        <v>447.59</v>
      </c>
      <c r="AY23" s="175">
        <f>AU23+AW23</f>
        <v>1</v>
      </c>
      <c r="AZ23" s="175">
        <f>ROUND(((AU23*AV23)+(AW23*AX23))/(AU23+AW23),5)</f>
        <v>447.59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590</v>
      </c>
      <c r="BM23" t="s">
        <v>593</v>
      </c>
      <c r="BN23" t="s">
        <v>223</v>
      </c>
      <c r="BO23" s="175">
        <f>ROUND((((AW23*AZ23)+(BN23*BM23))/(AW23+BN23)),5)</f>
        <v>450.62</v>
      </c>
      <c r="BP23" s="87">
        <f>BN23+AW23</f>
        <v>3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466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18.41</v>
      </c>
      <c r="S24" s="180">
        <f>SUM(S23)</f>
        <v>447.59</v>
      </c>
      <c r="T24" s="180"/>
      <c r="U24" s="180"/>
      <c r="V24" s="181">
        <f t="shared" ref="V24:AE24" si="1">SUM(V23)</f>
        <v>40.28</v>
      </c>
      <c r="W24" s="181">
        <f t="shared" si="1"/>
        <v>40.28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80.56</v>
      </c>
      <c r="AC24" s="183">
        <f t="shared" si="1"/>
        <v>528.15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447.59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528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466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18.41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447.59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80.56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528.15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BQ38"/>
  <sheetViews>
    <sheetView topLeftCell="H10" workbookViewId="0">
      <selection activeCell="H21" sqref="H21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2" t="s">
        <v>47</v>
      </c>
      <c r="B2" s="212"/>
      <c r="C2" s="212"/>
      <c r="D2" s="212"/>
      <c r="E2" s="212"/>
      <c r="F2" s="212"/>
      <c r="G2" s="212"/>
      <c r="H2" s="212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232</v>
      </c>
      <c r="H23" s="170">
        <f>F23*G23</f>
        <v>250</v>
      </c>
      <c r="I23" t="s">
        <v>223</v>
      </c>
      <c r="J23" s="170">
        <v>1</v>
      </c>
      <c r="K23" s="170">
        <v>1</v>
      </c>
      <c r="L23" s="170">
        <f>H23</f>
        <v>250</v>
      </c>
      <c r="M23" s="170">
        <f>ROUND(L23*I23%,2)</f>
        <v>5</v>
      </c>
      <c r="N23" s="170">
        <f>H23-M23</f>
        <v>245</v>
      </c>
      <c r="O23" s="170">
        <f>ROUND(N23*J23%,2)</f>
        <v>2.4500000000000002</v>
      </c>
      <c r="P23" s="170">
        <f>ROUND(N23-O23,2)</f>
        <v>242.55</v>
      </c>
      <c r="Q23" s="170">
        <f>ROUND(P23*K23%,2)</f>
        <v>2.4300000000000002</v>
      </c>
      <c r="R23" s="170">
        <f>ROUND((M23+O23+Q23),2)</f>
        <v>9.8800000000000008</v>
      </c>
      <c r="S23" s="170">
        <f>ROUND((H23-R23),2)</f>
        <v>240.12</v>
      </c>
      <c r="T23" s="171" t="s">
        <v>146</v>
      </c>
      <c r="U23" s="172">
        <v>0.18</v>
      </c>
      <c r="V23" s="170">
        <f>IF(OR($C$21=1,$C$21=4),ROUND(((S23*U23)/2),2),0)</f>
        <v>21.61</v>
      </c>
      <c r="W23" s="170">
        <f>IF($C$21=1,ROUND(((S23*U23)/2),2),0)</f>
        <v>21.61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43.22</v>
      </c>
      <c r="AC23" s="169">
        <f>IF($V21=1,S23+AB23,S23)</f>
        <v>283.34000000000003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240.12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240.12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240.12</v>
      </c>
      <c r="AS23" s="171" t="s">
        <v>569</v>
      </c>
      <c r="AT23" s="175" t="s">
        <v>58</v>
      </c>
      <c r="AU23" t="s">
        <v>239</v>
      </c>
      <c r="AV23" t="s">
        <v>571</v>
      </c>
      <c r="AW23" s="175">
        <f>AM23</f>
        <v>1</v>
      </c>
      <c r="AX23" s="175">
        <f>AR23</f>
        <v>240.12</v>
      </c>
      <c r="AY23" s="175">
        <f>AU23+AW23</f>
        <v>1</v>
      </c>
      <c r="AZ23" s="175">
        <f>ROUND(((AU23*AV23)+(AW23*AX23))/(AU23+AW23),5)</f>
        <v>240.12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t="s">
        <v>570</v>
      </c>
      <c r="BM23" t="s">
        <v>571</v>
      </c>
      <c r="BN23" t="s">
        <v>269</v>
      </c>
      <c r="BO23" s="175">
        <f>ROUND((((AW23*AZ23)+(BN23*BM23))/(AW23+BN23)),5)</f>
        <v>153.56</v>
      </c>
      <c r="BP23" s="87">
        <f>BN23+AW23</f>
        <v>2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250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9.8800000000000008</v>
      </c>
      <c r="S24" s="180">
        <f>SUM(S23)</f>
        <v>240.12</v>
      </c>
      <c r="T24" s="180"/>
      <c r="U24" s="180"/>
      <c r="V24" s="181">
        <f t="shared" ref="V24:AE24" si="1">SUM(V23)</f>
        <v>21.61</v>
      </c>
      <c r="W24" s="181">
        <f t="shared" si="1"/>
        <v>21.61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43.22</v>
      </c>
      <c r="AC24" s="183">
        <f t="shared" si="1"/>
        <v>283.34000000000003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240.12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283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250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9.8800000000000008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240.12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43.22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283.34000000000003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DB42"/>
  <sheetViews>
    <sheetView tabSelected="1" topLeftCell="BY19" workbookViewId="0">
      <selection activeCell="BZ28" sqref="BZ28"/>
    </sheetView>
  </sheetViews>
  <sheetFormatPr defaultColWidth="9" defaultRowHeight="15"/>
  <cols>
    <col min="1" max="1" width="24.5703125" bestFit="1" customWidth="1"/>
    <col min="2" max="2" width="24.140625" bestFit="1" customWidth="1"/>
    <col min="3" max="3" width="19.28515625" bestFit="1" customWidth="1"/>
    <col min="4" max="4" width="72.42578125" bestFit="1" customWidth="1"/>
    <col min="5" max="5" width="10.42578125" bestFit="1" customWidth="1"/>
    <col min="6" max="6" width="8.28515625" bestFit="1" customWidth="1"/>
    <col min="7" max="7" width="10.140625" bestFit="1" customWidth="1"/>
    <col min="8" max="8" width="11.85546875" bestFit="1" customWidth="1"/>
    <col min="9" max="9" width="6.42578125" bestFit="1" customWidth="1"/>
    <col min="10" max="10" width="6.28515625" bestFit="1" customWidth="1"/>
    <col min="11" max="11" width="6.140625" customWidth="1"/>
    <col min="12" max="12" width="13.85546875" bestFit="1" customWidth="1"/>
    <col min="13" max="13" width="9.140625" bestFit="1" customWidth="1"/>
    <col min="14" max="14" width="13.7109375" bestFit="1" customWidth="1"/>
    <col min="15" max="15" width="15.28515625" bestFit="1" customWidth="1"/>
    <col min="16" max="16" width="13.5703125" bestFit="1" customWidth="1"/>
    <col min="17" max="17" width="37.7109375" bestFit="1" customWidth="1"/>
    <col min="18" max="18" width="10.85546875" bestFit="1" customWidth="1"/>
    <col min="19" max="19" width="11.42578125" bestFit="1" customWidth="1"/>
    <col min="20" max="20" width="6" bestFit="1" customWidth="1"/>
    <col min="21" max="21" width="7.85546875" bestFit="1" customWidth="1"/>
    <col min="22" max="22" width="6.5703125" bestFit="1" customWidth="1"/>
    <col min="23" max="23" width="34.140625" bestFit="1" customWidth="1"/>
    <col min="24" max="24" width="6.42578125" bestFit="1" customWidth="1"/>
    <col min="25" max="25" width="8.140625" bestFit="1" customWidth="1"/>
    <col min="26" max="26" width="7.85546875" bestFit="1" customWidth="1"/>
    <col min="27" max="27" width="6.140625" bestFit="1" customWidth="1"/>
    <col min="28" max="28" width="9.140625" bestFit="1" customWidth="1"/>
    <col min="29" max="29" width="11.5703125" bestFit="1" customWidth="1"/>
    <col min="30" max="30" width="12.85546875" bestFit="1" customWidth="1"/>
    <col min="31" max="31" width="15" bestFit="1" customWidth="1"/>
    <col min="32" max="32" width="15.140625" bestFit="1" customWidth="1"/>
    <col min="33" max="33" width="23.7109375" bestFit="1" customWidth="1"/>
    <col min="34" max="34" width="8.42578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39" max="39" width="15.5703125" bestFit="1" customWidth="1"/>
    <col min="40" max="40" width="20.28515625" bestFit="1" customWidth="1"/>
    <col min="41" max="41" width="15.85546875" bestFit="1" customWidth="1"/>
    <col min="42" max="42" width="23" bestFit="1" customWidth="1"/>
    <col min="43" max="43" width="11.85546875" bestFit="1" customWidth="1"/>
    <col min="44" max="44" width="8.28515625" bestFit="1" customWidth="1"/>
    <col min="45" max="45" width="9.85546875" bestFit="1" customWidth="1"/>
    <col min="46" max="46" width="11.85546875" bestFit="1" customWidth="1"/>
    <col min="47" max="47" width="15.28515625" customWidth="1"/>
    <col min="48" max="48" width="20.28515625" customWidth="1"/>
    <col min="49" max="49" width="11.42578125" bestFit="1" customWidth="1"/>
    <col min="50" max="50" width="16.28515625" bestFit="1" customWidth="1"/>
    <col min="51" max="51" width="13.85546875" customWidth="1"/>
    <col min="52" max="52" width="18.85546875" customWidth="1"/>
    <col min="53" max="53" width="19" bestFit="1" customWidth="1"/>
    <col min="54" max="54" width="21.7109375" customWidth="1"/>
    <col min="55" max="55" width="16" bestFit="1" customWidth="1"/>
    <col min="56" max="56" width="14.28515625" bestFit="1" customWidth="1"/>
    <col min="57" max="57" width="17.28515625" bestFit="1" customWidth="1"/>
    <col min="58" max="58" width="16.5703125" customWidth="1"/>
    <col min="59" max="59" width="13.7109375" customWidth="1"/>
    <col min="60" max="60" width="12.42578125" customWidth="1"/>
    <col min="61" max="61" width="102.42578125" bestFit="1" customWidth="1"/>
    <col min="62" max="62" width="21.7109375" bestFit="1" customWidth="1"/>
    <col min="63" max="63" width="30.5703125" customWidth="1"/>
    <col min="64" max="64" width="10.1406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  <col min="77" max="77" width="17.5703125" bestFit="1" customWidth="1"/>
    <col min="78" max="78" width="26.85546875" bestFit="1" customWidth="1"/>
    <col min="79" max="79" width="4.28515625" bestFit="1" customWidth="1"/>
    <col min="80" max="80" width="26.85546875" bestFit="1" customWidth="1"/>
    <col min="81" max="82" width="9" bestFit="1" customWidth="1"/>
    <col min="83" max="83" width="12.85546875" bestFit="1" customWidth="1"/>
    <col min="84" max="84" width="13.85546875" bestFit="1" customWidth="1"/>
    <col min="85" max="85" width="13.7109375" bestFit="1" customWidth="1"/>
    <col min="86" max="86" width="13.42578125" bestFit="1" customWidth="1"/>
    <col min="87" max="87" width="15.42578125" bestFit="1" customWidth="1"/>
    <col min="88" max="88" width="13.5703125" bestFit="1" customWidth="1"/>
    <col min="89" max="89" width="20.28515625" bestFit="1" customWidth="1"/>
    <col min="90" max="90" width="20.140625" bestFit="1" customWidth="1"/>
    <col min="91" max="91" width="19.140625" bestFit="1" customWidth="1"/>
    <col min="92" max="92" width="21.140625" bestFit="1" customWidth="1"/>
    <col min="93" max="93" width="19.28515625" bestFit="1" customWidth="1"/>
    <col min="94" max="94" width="29.140625" bestFit="1" customWidth="1"/>
    <col min="95" max="95" width="28.5703125" bestFit="1" customWidth="1"/>
    <col min="96" max="96" width="27.42578125" bestFit="1" customWidth="1"/>
    <col min="97" max="97" width="29.42578125" bestFit="1" customWidth="1"/>
    <col min="98" max="99" width="27.5703125" bestFit="1" customWidth="1"/>
    <col min="100" max="100" width="28.140625" bestFit="1" customWidth="1"/>
    <col min="101" max="101" width="26.140625" bestFit="1" customWidth="1"/>
    <col min="102" max="102" width="25" bestFit="1" customWidth="1"/>
    <col min="103" max="103" width="18.140625" bestFit="1" customWidth="1"/>
    <col min="104" max="104" width="18.7109375" bestFit="1" customWidth="1"/>
    <col min="105" max="105" width="14.42578125" bestFit="1" customWidth="1"/>
    <col min="106" max="106" width="15.140625" bestFit="1" customWidth="1"/>
    <col min="110" max="110" width="10.7109375" bestFit="1" customWidth="1"/>
    <col min="140" max="140" width="41.140625" bestFit="1" customWidth="1"/>
    <col min="142" max="142" width="18.85546875" bestFit="1" customWidth="1"/>
    <col min="145" max="146" width="18.5703125" bestFit="1" customWidth="1"/>
    <col min="147" max="147" width="18.85546875" bestFit="1" customWidth="1"/>
    <col min="148" max="148" width="28.5703125" bestFit="1" customWidth="1"/>
    <col min="149" max="149" width="12.140625" bestFit="1" customWidth="1"/>
    <col min="150" max="150" width="9.85546875" bestFit="1" customWidth="1"/>
    <col min="152" max="152" width="17.5703125" bestFit="1" customWidth="1"/>
    <col min="153" max="153" width="21.140625" bestFit="1" customWidth="1"/>
    <col min="154" max="154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64" t="s">
        <v>47</v>
      </c>
      <c r="B2" s="264"/>
      <c r="C2" s="264"/>
      <c r="D2" s="264"/>
      <c r="E2" s="264"/>
      <c r="F2" s="264"/>
      <c r="G2" s="264"/>
      <c r="H2" s="264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106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106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106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106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106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106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227" t="s">
        <v>621</v>
      </c>
      <c r="CA22" s="228" t="s">
        <v>53</v>
      </c>
      <c r="CB22" s="228" t="s">
        <v>620</v>
      </c>
      <c r="CC22" s="228" t="s">
        <v>618</v>
      </c>
      <c r="CD22" s="228" t="s">
        <v>619</v>
      </c>
      <c r="CE22" s="228" t="s">
        <v>622</v>
      </c>
      <c r="CF22" s="228" t="s">
        <v>623</v>
      </c>
      <c r="CG22" s="228" t="s">
        <v>624</v>
      </c>
      <c r="CH22" s="228" t="s">
        <v>626</v>
      </c>
      <c r="CI22" s="228" t="s">
        <v>645</v>
      </c>
      <c r="CJ22" s="228" t="s">
        <v>646</v>
      </c>
      <c r="CK22" s="228" t="s">
        <v>629</v>
      </c>
      <c r="CL22" s="228" t="s">
        <v>630</v>
      </c>
      <c r="CM22" s="228" t="s">
        <v>639</v>
      </c>
      <c r="CN22" s="228" t="s">
        <v>640</v>
      </c>
      <c r="CO22" s="228" t="s">
        <v>641</v>
      </c>
      <c r="CP22" s="228" t="s">
        <v>631</v>
      </c>
      <c r="CQ22" s="228" t="s">
        <v>632</v>
      </c>
      <c r="CR22" s="228" t="s">
        <v>642</v>
      </c>
      <c r="CS22" s="228" t="s">
        <v>643</v>
      </c>
      <c r="CT22" s="228" t="s">
        <v>644</v>
      </c>
      <c r="CU22" s="248" t="s">
        <v>662</v>
      </c>
      <c r="CV22" s="248" t="s">
        <v>663</v>
      </c>
      <c r="CW22" s="248" t="s">
        <v>664</v>
      </c>
      <c r="CX22" s="248" t="s">
        <v>665</v>
      </c>
      <c r="CY22" s="248" t="s">
        <v>666</v>
      </c>
      <c r="CZ22" s="248" t="s">
        <v>667</v>
      </c>
      <c r="DA22" s="248" t="s">
        <v>673</v>
      </c>
      <c r="DB22" s="248" t="s">
        <v>674</v>
      </c>
    </row>
    <row r="23" spans="1:106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</v>
      </c>
      <c r="G23">
        <v>6300</v>
      </c>
      <c r="H23" s="170">
        <f>F23*G23</f>
        <v>6300</v>
      </c>
      <c r="I23">
        <v>1</v>
      </c>
      <c r="J23" s="170">
        <v>2</v>
      </c>
      <c r="K23" s="170">
        <v>3</v>
      </c>
      <c r="L23" s="170">
        <f>H23</f>
        <v>6300</v>
      </c>
      <c r="M23" s="170">
        <f>ROUND(L23*I23%,2)</f>
        <v>63</v>
      </c>
      <c r="N23" s="170">
        <f>H23-M23</f>
        <v>6237</v>
      </c>
      <c r="O23" s="170">
        <f>ROUND(N23*J23%,2)</f>
        <v>124.74</v>
      </c>
      <c r="P23" s="170">
        <f>ROUND(N23-O23,2)</f>
        <v>6112.26</v>
      </c>
      <c r="Q23" s="170">
        <f>ROUND(P23*K23%,2)</f>
        <v>183.37</v>
      </c>
      <c r="R23" s="170">
        <f>ROUND((M23+O23+Q23),2)</f>
        <v>371.11</v>
      </c>
      <c r="S23" s="170">
        <f>ROUND((H23-R23),2)</f>
        <v>5928.89</v>
      </c>
      <c r="T23" s="171" t="s">
        <v>146</v>
      </c>
      <c r="U23" s="172">
        <v>0.18</v>
      </c>
      <c r="V23" s="170">
        <f>IF(OR($C$21=1,$C$21=4),ROUND(((S23*U23)/2),2),0)</f>
        <v>533.6</v>
      </c>
      <c r="W23" s="170">
        <f>IF($C$21=1,ROUND(((S23*U23)/2),2),0)</f>
        <v>533.6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IF($C19=3, 0, ROUND(S23*Z23, 2))</f>
        <v>0</v>
      </c>
      <c r="AB23" s="169">
        <f>V23+W23+X23+Y23+AA23</f>
        <v>1067.2</v>
      </c>
      <c r="AC23" s="169">
        <f>IF($V21=1,S23+AB23,S23)</f>
        <v>6996.09</v>
      </c>
      <c r="AD23" s="171">
        <v>120</v>
      </c>
      <c r="AE23" s="171">
        <f>IF($P$21=1,(S23/$S$28)*$E$39,AD23/$AD$28*$E$39)</f>
        <v>0</v>
      </c>
      <c r="AF23" s="171"/>
      <c r="AG23" s="171">
        <f>IF($P$21=1,(S23/$S$28)*$E$41,AD23/$AD$28*$E$41)</f>
        <v>0</v>
      </c>
      <c r="AH23" s="171">
        <f>IF($P$21=1,(S23/$S$28)*$E$42,AD23/$AD$28*$E$42)</f>
        <v>0</v>
      </c>
      <c r="AI23" s="171">
        <f>S23*$M$21</f>
        <v>5928.89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5928.89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5928.89</v>
      </c>
      <c r="AS23" s="175" t="s">
        <v>518</v>
      </c>
      <c r="AT23" s="175" t="s">
        <v>58</v>
      </c>
      <c r="AU23" t="s">
        <v>239</v>
      </c>
      <c r="AV23" t="s">
        <v>699</v>
      </c>
      <c r="AW23" s="175">
        <f>AM23</f>
        <v>1</v>
      </c>
      <c r="AX23" s="175">
        <f>AR23</f>
        <v>5928.89</v>
      </c>
      <c r="AY23" s="175">
        <f>AU23+AW23</f>
        <v>1</v>
      </c>
      <c r="AZ23" s="175">
        <f>ROUND(((AU23*AV23)+(AW23*AX23))/(AU23+AW23),5)</f>
        <v>5928.89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701</v>
      </c>
      <c r="BN23" t="s">
        <v>700</v>
      </c>
      <c r="BO23" s="175">
        <f>ROUND((((AW23*AZ23)+(BN23*BM23))/(AW23+BN23)),5)</f>
        <v>2817.4979499999999</v>
      </c>
      <c r="BP23" s="87">
        <f>BN23+AW23</f>
        <v>513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4" t="s">
        <v>49</v>
      </c>
      <c r="BY23" s="190">
        <v>450</v>
      </c>
      <c r="BZ23" s="190" t="s">
        <v>615</v>
      </c>
      <c r="CA23" s="193">
        <v>60</v>
      </c>
      <c r="CB23" s="190" t="s">
        <v>615</v>
      </c>
      <c r="CC23">
        <f>SUMIF(BZ23:BZ27,"RAW MATERIAL",S23:S27)</f>
        <v>12228.89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f>X23</f>
        <v>0</v>
      </c>
      <c r="CS23">
        <f>Y23</f>
        <v>0</v>
      </c>
      <c r="CT23">
        <f>AA23</f>
        <v>0</v>
      </c>
      <c r="CU23">
        <f>CD26</f>
        <v>0</v>
      </c>
      <c r="CV23">
        <v>0</v>
      </c>
      <c r="CW23">
        <v>0</v>
      </c>
      <c r="CX23">
        <f>CU23+CD27</f>
        <v>0</v>
      </c>
      <c r="CY23">
        <v>0</v>
      </c>
      <c r="CZ23">
        <f>CU23</f>
        <v>0</v>
      </c>
      <c r="DA23">
        <v>0</v>
      </c>
      <c r="DB23">
        <f>CD27</f>
        <v>0</v>
      </c>
    </row>
    <row r="24" spans="1:106" ht="15.75" thickBot="1">
      <c r="A24" s="169">
        <v>2</v>
      </c>
      <c r="B24" s="169" t="s">
        <v>517</v>
      </c>
      <c r="C24" s="169" t="s">
        <v>162</v>
      </c>
      <c r="D24" s="169" t="s">
        <v>58</v>
      </c>
      <c r="E24" s="169" t="s">
        <v>163</v>
      </c>
      <c r="F24" s="170">
        <v>1</v>
      </c>
      <c r="G24">
        <v>6300</v>
      </c>
      <c r="H24" s="170">
        <f>F24*G24</f>
        <v>6300</v>
      </c>
      <c r="I24">
        <v>0</v>
      </c>
      <c r="J24" s="170">
        <v>0</v>
      </c>
      <c r="K24" s="170">
        <v>0</v>
      </c>
      <c r="L24" s="170">
        <f>H24</f>
        <v>6300</v>
      </c>
      <c r="M24" s="170">
        <f>ROUND(L24*I24%,2)</f>
        <v>0</v>
      </c>
      <c r="N24" s="170">
        <f>H24-M24</f>
        <v>6300</v>
      </c>
      <c r="O24" s="170">
        <f>ROUND(N24*J24%,2)</f>
        <v>0</v>
      </c>
      <c r="P24" s="170">
        <f>ROUND(N24-O24,2)</f>
        <v>6300</v>
      </c>
      <c r="Q24" s="170">
        <f>ROUND(P24*K24%,2)</f>
        <v>0</v>
      </c>
      <c r="R24" s="170">
        <f>ROUND((M24+O24+Q24),2)</f>
        <v>0</v>
      </c>
      <c r="S24" s="170">
        <f>ROUND((H24-R24),2)</f>
        <v>6300</v>
      </c>
      <c r="T24" s="171" t="s">
        <v>146</v>
      </c>
      <c r="U24" s="172">
        <v>0.18</v>
      </c>
      <c r="V24" s="170">
        <f>IF(OR($C$21=1,$C$21=4),ROUND(((S24*U24)/2),2),0)</f>
        <v>567</v>
      </c>
      <c r="W24" s="170">
        <f>IF($C$21=1,ROUND(((S24*U24)/2),2),0)</f>
        <v>567</v>
      </c>
      <c r="X24" s="170">
        <f>IF($C$21=2,ROUND(((S24*U24)),2),0)</f>
        <v>0</v>
      </c>
      <c r="Y24" s="170">
        <f>IF($C$21=4,ROUND(((S24*U24)/2),2),0)</f>
        <v>0</v>
      </c>
      <c r="Z24" s="173">
        <v>0</v>
      </c>
      <c r="AA24" s="170">
        <f>IF($C19=3, 0, ROUND(S24*Z24, 2))</f>
        <v>0</v>
      </c>
      <c r="AB24" s="169">
        <f>V24+W24+X24+Y24+AA24</f>
        <v>1134</v>
      </c>
      <c r="AC24" s="169">
        <f>IF($V21=1,S24+AB24,S24)</f>
        <v>7434</v>
      </c>
      <c r="AD24" s="171">
        <v>120</v>
      </c>
      <c r="AE24" s="171">
        <f>IF($P$21=1,(S24/$S$28)*$E$39,AD24/$AD$28*$E$39)</f>
        <v>0</v>
      </c>
      <c r="AF24" s="171"/>
      <c r="AG24" s="171">
        <f>IF($P$21=1,(S24/$S$28)*$E$41,AD24/$AD$28*$E$41)</f>
        <v>0</v>
      </c>
      <c r="AH24" s="171">
        <f t="shared" ref="AH24" si="1">IF($P$21=1,(S24/$S$28)*$E$42,AD24/$AD$28*$E$42)</f>
        <v>0</v>
      </c>
      <c r="AI24" s="171">
        <f>S24*$M$21</f>
        <v>6300</v>
      </c>
      <c r="AJ24" s="171">
        <f>IF($C$21=3,0,AG24+AH24)</f>
        <v>0</v>
      </c>
      <c r="AK24" s="171">
        <f>IF($C$21=3,AE24+AG24+AH24,0)</f>
        <v>0</v>
      </c>
      <c r="AL24" s="174">
        <v>1</v>
      </c>
      <c r="AM24" s="171">
        <f>F24/AL24</f>
        <v>1</v>
      </c>
      <c r="AN24" s="171">
        <f>ROUND(AI24/AM24,5)</f>
        <v>6300</v>
      </c>
      <c r="AO24" s="171">
        <f>AJ24/AM24</f>
        <v>0</v>
      </c>
      <c r="AP24" s="171">
        <f>AK24/AM24</f>
        <v>0</v>
      </c>
      <c r="AQ24" s="171" t="s">
        <v>58</v>
      </c>
      <c r="AR24" s="171">
        <f>ROUND(AN24+AO24+AP24,5)</f>
        <v>6300</v>
      </c>
      <c r="AS24" s="175" t="s">
        <v>518</v>
      </c>
      <c r="AT24" s="175" t="s">
        <v>58</v>
      </c>
      <c r="AU24">
        <v>0</v>
      </c>
      <c r="AV24">
        <v>4366.3500000000004</v>
      </c>
      <c r="AW24" s="175">
        <f>AM24</f>
        <v>1</v>
      </c>
      <c r="AX24" s="175">
        <f>AR24</f>
        <v>6300</v>
      </c>
      <c r="AY24" s="175">
        <f>AU24+AW24</f>
        <v>1</v>
      </c>
      <c r="AZ24" s="175">
        <f>ROUND(((AU24*AV24)+(AW24*AX24))/(AU24+AW24),5)</f>
        <v>6300</v>
      </c>
      <c r="BA24" s="85"/>
      <c r="BB24" s="85" t="s">
        <v>149</v>
      </c>
      <c r="BC24" s="95" t="s">
        <v>38</v>
      </c>
      <c r="BD24" s="86" t="s">
        <v>30</v>
      </c>
      <c r="BE24" s="86" t="s">
        <v>39</v>
      </c>
      <c r="BF24" s="85"/>
      <c r="BG24" s="85"/>
      <c r="BH24" s="85"/>
      <c r="BI24" s="175"/>
      <c r="BJ24" s="175"/>
      <c r="BK24" s="175"/>
      <c r="BL24" s="176" t="s">
        <v>520</v>
      </c>
      <c r="BM24" t="s">
        <v>677</v>
      </c>
      <c r="BN24" t="s">
        <v>676</v>
      </c>
      <c r="BO24" s="175">
        <f>ROUND((((AW24*AZ24)+(BN24*BM24))/(AW24+BN24)),5)</f>
        <v>2259.08097</v>
      </c>
      <c r="BP24" s="87">
        <f>BN24+AW24</f>
        <v>421</v>
      </c>
      <c r="BQ24" s="88">
        <v>88363222</v>
      </c>
      <c r="BR24" s="190" t="s">
        <v>525</v>
      </c>
      <c r="BS24" s="190" t="s">
        <v>508</v>
      </c>
      <c r="BT24" s="190">
        <v>10100</v>
      </c>
      <c r="BU24" s="190" t="s">
        <v>526</v>
      </c>
      <c r="BV24" s="191" t="s">
        <v>527</v>
      </c>
      <c r="BW24" s="190" t="s">
        <v>509</v>
      </c>
      <c r="BX24" s="192" t="s">
        <v>528</v>
      </c>
      <c r="BY24" s="190">
        <v>800</v>
      </c>
      <c r="BZ24" s="190" t="s">
        <v>533</v>
      </c>
      <c r="CA24" s="193">
        <v>70</v>
      </c>
      <c r="CB24" s="190" t="s">
        <v>533</v>
      </c>
      <c r="CC24">
        <f>SUMIF(BZ23:BZ27,"COMMUNICATION EXPENSES",S23:S27)</f>
        <v>6300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f t="shared" ref="CR24:CS27" si="2">X24</f>
        <v>0</v>
      </c>
      <c r="CS24">
        <f t="shared" si="2"/>
        <v>0</v>
      </c>
      <c r="CT24">
        <f t="shared" ref="CT24:CT27" si="3">AA24</f>
        <v>0</v>
      </c>
    </row>
    <row r="25" spans="1:106" ht="15.75" thickBot="1">
      <c r="A25" s="169">
        <v>3</v>
      </c>
      <c r="B25" s="169" t="s">
        <v>534</v>
      </c>
      <c r="C25" s="169" t="s">
        <v>162</v>
      </c>
      <c r="D25" s="169" t="s">
        <v>58</v>
      </c>
      <c r="E25" s="169" t="s">
        <v>163</v>
      </c>
      <c r="F25" s="170">
        <v>1</v>
      </c>
      <c r="G25">
        <v>2100</v>
      </c>
      <c r="H25" s="170">
        <f>F25*G25</f>
        <v>2100</v>
      </c>
      <c r="I25">
        <v>0</v>
      </c>
      <c r="J25" s="170">
        <v>0</v>
      </c>
      <c r="K25" s="170">
        <v>0</v>
      </c>
      <c r="L25" s="170">
        <f>H25</f>
        <v>2100</v>
      </c>
      <c r="M25" s="170">
        <f>ROUND(L25*I25%,2)</f>
        <v>0</v>
      </c>
      <c r="N25" s="170">
        <f>H25-M25</f>
        <v>2100</v>
      </c>
      <c r="O25" s="170">
        <f>ROUND(N25*J25%,2)</f>
        <v>0</v>
      </c>
      <c r="P25" s="170">
        <f>ROUND(N25-O25,2)</f>
        <v>2100</v>
      </c>
      <c r="Q25" s="170">
        <f>ROUND(P25*K25%,2)</f>
        <v>0</v>
      </c>
      <c r="R25" s="170">
        <f>ROUND((M25+O25+Q25),2)</f>
        <v>0</v>
      </c>
      <c r="S25" s="170">
        <f>ROUND((H25-R25),2)</f>
        <v>2100</v>
      </c>
      <c r="T25" s="171" t="s">
        <v>146</v>
      </c>
      <c r="U25" s="172">
        <v>0.18</v>
      </c>
      <c r="V25" s="170">
        <f>IF(OR($C$21=1,$C$21=4),ROUND(((S25*U25)/2),2),0)</f>
        <v>189</v>
      </c>
      <c r="W25" s="170">
        <f>IF($C$21=1,ROUND(((S25*U25)/2),2),0)</f>
        <v>189</v>
      </c>
      <c r="X25" s="170">
        <f>IF($C$21=2,ROUND(((S25*U25)),2),0)</f>
        <v>0</v>
      </c>
      <c r="Y25" s="170">
        <f>IF($C$21=4,ROUND(((S25*U25)/2),2),0)</f>
        <v>0</v>
      </c>
      <c r="Z25" s="173">
        <v>0</v>
      </c>
      <c r="AA25" s="170">
        <f>IF($C19=3, 0, ROUND(S25*Z25, 2))</f>
        <v>0</v>
      </c>
      <c r="AB25" s="169">
        <f>V25+W25+X25+Y25+AA25</f>
        <v>378</v>
      </c>
      <c r="AC25" s="169">
        <f>IF($V21=1,S25+AB25,S25)</f>
        <v>2478</v>
      </c>
      <c r="AD25" s="171">
        <v>120</v>
      </c>
      <c r="AE25" s="171">
        <f>IF($P$21=1,(S25/$S$28)*$E$39,AD25/$AD$28*$E$39)</f>
        <v>0</v>
      </c>
      <c r="AF25" s="171"/>
      <c r="AG25" s="171">
        <f>IF($P$21=1,(S25/$S$28)*$E$41,AD25/$AD$28*$E$41)</f>
        <v>0</v>
      </c>
      <c r="AH25" s="171">
        <f>IF($P$21=1,(S25/$S$28)*$E$42,AD25/$AD$28*$E$42)</f>
        <v>0</v>
      </c>
      <c r="AI25" s="171">
        <f>S25*$M$21</f>
        <v>2100</v>
      </c>
      <c r="AJ25" s="171">
        <f>IF($C$21=3,0,AG25+AH25)</f>
        <v>0</v>
      </c>
      <c r="AK25" s="171">
        <f>IF($C$21=3,AE25+AG25+AH25,0)</f>
        <v>0</v>
      </c>
      <c r="AL25" s="174">
        <v>1</v>
      </c>
      <c r="AM25" s="171">
        <f>F25/AL25</f>
        <v>1</v>
      </c>
      <c r="AN25" s="171">
        <f>ROUND(AI25/AM25,5)</f>
        <v>2100</v>
      </c>
      <c r="AO25" s="171">
        <f>AJ25/AM25</f>
        <v>0</v>
      </c>
      <c r="AP25" s="171">
        <f>AK25/AM25</f>
        <v>0</v>
      </c>
      <c r="AQ25" s="171" t="s">
        <v>58</v>
      </c>
      <c r="AR25" s="171">
        <f>ROUND(AN25+AO25+AP25,5)</f>
        <v>2100</v>
      </c>
      <c r="AS25" s="175" t="s">
        <v>518</v>
      </c>
      <c r="AT25" s="175" t="s">
        <v>58</v>
      </c>
      <c r="AW25" s="175">
        <f>AM25</f>
        <v>1</v>
      </c>
      <c r="AX25" s="175">
        <f>AR25</f>
        <v>2100</v>
      </c>
      <c r="AY25" s="175">
        <f>AU25+AW25</f>
        <v>1</v>
      </c>
      <c r="AZ25" s="175">
        <f>ROUND(((AU25*AV25)+(AW25*AX25))/(AU25+AW25),5)</f>
        <v>2100</v>
      </c>
      <c r="BA25" s="85"/>
      <c r="BB25" s="85" t="s">
        <v>149</v>
      </c>
      <c r="BC25" s="95" t="s">
        <v>38</v>
      </c>
      <c r="BD25" s="86" t="s">
        <v>30</v>
      </c>
      <c r="BE25" s="86" t="s">
        <v>39</v>
      </c>
      <c r="BF25" s="85"/>
      <c r="BG25" s="85"/>
      <c r="BH25" s="85"/>
      <c r="BI25" s="175"/>
      <c r="BJ25" s="175"/>
      <c r="BK25" s="175"/>
      <c r="BL25" s="176" t="s">
        <v>520</v>
      </c>
      <c r="BM25" t="s">
        <v>239</v>
      </c>
      <c r="BN25" t="s">
        <v>239</v>
      </c>
      <c r="BO25" s="175">
        <f>ROUND((((AW25*AZ25)+(BN25*BM25))/(AW25+BN25)),5)</f>
        <v>2100</v>
      </c>
      <c r="BP25" s="87">
        <f>BN25+AW25</f>
        <v>1</v>
      </c>
      <c r="BQ25" s="88">
        <v>88363222</v>
      </c>
      <c r="BR25" s="193" t="s">
        <v>535</v>
      </c>
      <c r="BS25" s="190" t="s">
        <v>536</v>
      </c>
      <c r="BT25" s="190">
        <v>10101</v>
      </c>
      <c r="BU25" s="190" t="s">
        <v>537</v>
      </c>
      <c r="BV25" s="191" t="s">
        <v>527</v>
      </c>
      <c r="BW25" s="190" t="s">
        <v>509</v>
      </c>
      <c r="BX25" s="194" t="s">
        <v>49</v>
      </c>
      <c r="BY25" s="190">
        <v>400</v>
      </c>
      <c r="BZ25" s="190" t="s">
        <v>615</v>
      </c>
      <c r="CA25" s="193">
        <v>40</v>
      </c>
      <c r="CB25" s="190" t="s">
        <v>616</v>
      </c>
      <c r="CC25" s="266">
        <f>V28</f>
        <v>1667.6</v>
      </c>
      <c r="CD25" s="26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f t="shared" si="2"/>
        <v>0</v>
      </c>
      <c r="CS25">
        <f t="shared" si="2"/>
        <v>0</v>
      </c>
      <c r="CT25">
        <f t="shared" si="3"/>
        <v>0</v>
      </c>
    </row>
    <row r="26" spans="1:106" ht="15.75" thickBot="1">
      <c r="A26" s="169">
        <v>4</v>
      </c>
      <c r="B26" s="169" t="s">
        <v>221</v>
      </c>
      <c r="C26" s="169" t="s">
        <v>162</v>
      </c>
      <c r="D26" s="169" t="s">
        <v>58</v>
      </c>
      <c r="E26" s="169" t="s">
        <v>163</v>
      </c>
      <c r="F26" s="170">
        <v>1</v>
      </c>
      <c r="G26">
        <v>2100</v>
      </c>
      <c r="H26" s="170">
        <f>F26*G26</f>
        <v>2100</v>
      </c>
      <c r="I26">
        <v>0</v>
      </c>
      <c r="J26" s="170">
        <v>0</v>
      </c>
      <c r="K26" s="170">
        <v>0</v>
      </c>
      <c r="L26" s="170">
        <f>H26</f>
        <v>2100</v>
      </c>
      <c r="M26" s="170">
        <f>ROUND(L26*I26%,2)</f>
        <v>0</v>
      </c>
      <c r="N26" s="170">
        <f>H26-M26</f>
        <v>2100</v>
      </c>
      <c r="O26" s="170">
        <f>ROUND(N26*J26%,2)</f>
        <v>0</v>
      </c>
      <c r="P26" s="170">
        <f>ROUND(N26-O26,2)</f>
        <v>2100</v>
      </c>
      <c r="Q26" s="170">
        <f>ROUND(P26*K26%,2)</f>
        <v>0</v>
      </c>
      <c r="R26" s="170">
        <f>ROUND((M26+O26+Q26),2)</f>
        <v>0</v>
      </c>
      <c r="S26" s="170">
        <f>ROUND((H26-R26),2)</f>
        <v>2100</v>
      </c>
      <c r="T26" s="171" t="s">
        <v>146</v>
      </c>
      <c r="U26" s="172">
        <v>0.18</v>
      </c>
      <c r="V26" s="170">
        <f>IF(OR($C$21=1,$C$21=4),ROUND(((S26*U26)/2),2),0)</f>
        <v>189</v>
      </c>
      <c r="W26" s="170">
        <f>IF($C$21=1,ROUND(((S26*U26)/2),2),0)</f>
        <v>189</v>
      </c>
      <c r="X26" s="170">
        <f>IF($C$21=2,ROUND(((S26*U26)),2),0)</f>
        <v>0</v>
      </c>
      <c r="Y26" s="170">
        <f>IF($C$21=4,ROUND(((S26*U26)/2),2),0)</f>
        <v>0</v>
      </c>
      <c r="Z26" s="173">
        <v>0</v>
      </c>
      <c r="AA26" s="170">
        <f>IF($C19=3, 0, ROUND(S26*Z26, 2))</f>
        <v>0</v>
      </c>
      <c r="AB26" s="169">
        <f>V26+W26+X26+Y26+AA26</f>
        <v>378</v>
      </c>
      <c r="AC26" s="169">
        <f>IF($V21=1,S26+AB26,S26)</f>
        <v>2478</v>
      </c>
      <c r="AD26" s="171">
        <v>120</v>
      </c>
      <c r="AE26" s="171">
        <f>IF($P$21=1,(S26/$S$28)*$E$39,AD26/$AD$28*$E$39)</f>
        <v>0</v>
      </c>
      <c r="AF26" s="171"/>
      <c r="AG26" s="171">
        <f>IF($P$21=1,(S26/$S$28)*$E$41,AD26/$AD$28*$E$41)</f>
        <v>0</v>
      </c>
      <c r="AH26" s="171">
        <f>IF($P$21=1,(S26/$S$28)*$E$42,AD26/$AD$28*$E$42)</f>
        <v>0</v>
      </c>
      <c r="AI26" s="171">
        <f>S26*$M$21</f>
        <v>2100</v>
      </c>
      <c r="AJ26" s="171">
        <f>IF($C$21=3,0,AG26+AH26)</f>
        <v>0</v>
      </c>
      <c r="AK26" s="171">
        <f>IF($C$21=3,AE26+AG26+AH26,0)</f>
        <v>0</v>
      </c>
      <c r="AL26" s="174">
        <v>1</v>
      </c>
      <c r="AM26" s="171">
        <f>F26/AL26</f>
        <v>1</v>
      </c>
      <c r="AN26" s="171">
        <f>ROUND(AI26/AM26,5)</f>
        <v>2100</v>
      </c>
      <c r="AO26" s="171">
        <f>AJ26/AM26</f>
        <v>0</v>
      </c>
      <c r="AP26" s="171">
        <f>AK26/AM26</f>
        <v>0</v>
      </c>
      <c r="AQ26" s="171" t="s">
        <v>58</v>
      </c>
      <c r="AR26" s="171">
        <f>ROUND(AN26+AO26+AP26,5)</f>
        <v>2100</v>
      </c>
      <c r="AS26" s="175" t="s">
        <v>518</v>
      </c>
      <c r="AT26" s="175" t="s">
        <v>58</v>
      </c>
      <c r="AW26" s="175">
        <f>AM26</f>
        <v>1</v>
      </c>
      <c r="AX26" s="175">
        <f>AR26</f>
        <v>2100</v>
      </c>
      <c r="AY26" s="175">
        <f>AU26+AW26</f>
        <v>1</v>
      </c>
      <c r="AZ26" s="175">
        <f>ROUND(((AU26*AV26)+(AW26*AX26))/(AU26+AW26),5)</f>
        <v>2100</v>
      </c>
      <c r="BA26" s="85"/>
      <c r="BB26" s="85" t="s">
        <v>149</v>
      </c>
      <c r="BC26" s="95" t="s">
        <v>38</v>
      </c>
      <c r="BD26" s="86" t="s">
        <v>30</v>
      </c>
      <c r="BE26" s="86" t="s">
        <v>39</v>
      </c>
      <c r="BF26" s="85"/>
      <c r="BG26" s="85"/>
      <c r="BH26" s="85"/>
      <c r="BI26" s="175"/>
      <c r="BJ26" s="175"/>
      <c r="BK26" s="175"/>
      <c r="BL26" s="176" t="s">
        <v>520</v>
      </c>
      <c r="BO26" s="175">
        <f>ROUND((((AW26*AZ26)+(BN26*BM26))/(AW26+BN26)),5)</f>
        <v>2100</v>
      </c>
      <c r="BP26" s="87">
        <f>BN26+AW26</f>
        <v>1</v>
      </c>
      <c r="BQ26" s="88">
        <v>88363222</v>
      </c>
      <c r="BR26" s="193" t="s">
        <v>535</v>
      </c>
      <c r="BS26" s="190" t="s">
        <v>536</v>
      </c>
      <c r="BT26" s="190">
        <v>10101</v>
      </c>
      <c r="BU26" s="190" t="s">
        <v>537</v>
      </c>
      <c r="BV26" s="191" t="s">
        <v>527</v>
      </c>
      <c r="BW26" s="190" t="s">
        <v>509</v>
      </c>
      <c r="BX26" s="194" t="s">
        <v>49</v>
      </c>
      <c r="BY26" s="190">
        <v>400</v>
      </c>
      <c r="BZ26" s="190" t="s">
        <v>615</v>
      </c>
      <c r="CA26" s="193">
        <v>40</v>
      </c>
      <c r="CB26" s="190" t="s">
        <v>617</v>
      </c>
      <c r="CC26" s="266">
        <f>W28</f>
        <v>1667.6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f t="shared" si="2"/>
        <v>0</v>
      </c>
      <c r="CS26">
        <f t="shared" si="2"/>
        <v>0</v>
      </c>
      <c r="CT26">
        <f t="shared" si="3"/>
        <v>0</v>
      </c>
    </row>
    <row r="27" spans="1:106" ht="15.75" thickBot="1">
      <c r="A27" s="169">
        <v>5</v>
      </c>
      <c r="B27" s="169" t="s">
        <v>41</v>
      </c>
      <c r="C27" s="169" t="s">
        <v>162</v>
      </c>
      <c r="D27" s="169" t="s">
        <v>58</v>
      </c>
      <c r="E27" s="169" t="s">
        <v>163</v>
      </c>
      <c r="F27" s="170">
        <v>1</v>
      </c>
      <c r="G27">
        <v>2100</v>
      </c>
      <c r="H27" s="170">
        <f>F27*G27</f>
        <v>2100</v>
      </c>
      <c r="I27">
        <v>0</v>
      </c>
      <c r="J27" s="170">
        <v>0</v>
      </c>
      <c r="K27" s="170">
        <v>0</v>
      </c>
      <c r="L27" s="170">
        <f>H27</f>
        <v>2100</v>
      </c>
      <c r="M27" s="170">
        <f>ROUND(L27*I27%,2)</f>
        <v>0</v>
      </c>
      <c r="N27" s="170">
        <f>H27-M27</f>
        <v>2100</v>
      </c>
      <c r="O27" s="170">
        <f>ROUND(N27*J27%,2)</f>
        <v>0</v>
      </c>
      <c r="P27" s="170">
        <f>ROUND(N27-O27,2)</f>
        <v>2100</v>
      </c>
      <c r="Q27" s="170">
        <f>ROUND(P27*K27%,2)</f>
        <v>0</v>
      </c>
      <c r="R27" s="170">
        <f>ROUND((M27+O27+Q27),2)</f>
        <v>0</v>
      </c>
      <c r="S27" s="170">
        <f>ROUND((H27-R27),2)</f>
        <v>2100</v>
      </c>
      <c r="T27" s="171" t="s">
        <v>146</v>
      </c>
      <c r="U27" s="172">
        <v>0.18</v>
      </c>
      <c r="V27" s="170">
        <f>IF(OR($C$21=1,$C$21=4),ROUND(((S27*U27)/2),2),0)</f>
        <v>189</v>
      </c>
      <c r="W27" s="170">
        <f>IF($C$21=1,ROUND(((S27*U27)/2),2),0)</f>
        <v>189</v>
      </c>
      <c r="X27" s="170">
        <f>IF($C$21=2,ROUND(((S27*U27)),2),0)</f>
        <v>0</v>
      </c>
      <c r="Y27" s="170">
        <f>IF($C$21=4,ROUND(((S27*U27)/2),2),0)</f>
        <v>0</v>
      </c>
      <c r="Z27" s="173">
        <v>0</v>
      </c>
      <c r="AA27" s="170">
        <f>IF($C20=3, 0, ROUND(S27*Z27, 2))</f>
        <v>0</v>
      </c>
      <c r="AB27" s="169">
        <f>V27+W27+X27+Y27+AA27</f>
        <v>378</v>
      </c>
      <c r="AC27" s="169">
        <f>IF($V21=1,S27+AB27,S27)</f>
        <v>2478</v>
      </c>
      <c r="AD27" s="171">
        <v>120</v>
      </c>
      <c r="AE27" s="171">
        <f>IF($P$21=1,(S27/$S$28)*$E$39,AD27/$AD$28*$E$39)</f>
        <v>0</v>
      </c>
      <c r="AF27" s="171"/>
      <c r="AG27" s="171">
        <f>IF($P$21=1,(S27/$S$28)*$E$41,AD27/$AD$28*$E$41)</f>
        <v>0</v>
      </c>
      <c r="AH27" s="171">
        <f>IF($P$21=1,(S27/$S$28)*$E$42,AD27/$AD$28*$E$42)</f>
        <v>0</v>
      </c>
      <c r="AI27" s="171">
        <f>S27*$M$21</f>
        <v>2100</v>
      </c>
      <c r="AJ27" s="171">
        <f>IF($C$21=3,0,AG27+AH27)</f>
        <v>0</v>
      </c>
      <c r="AK27" s="171">
        <f>IF($C$21=3,AE27+AG27+AH27,0)</f>
        <v>0</v>
      </c>
      <c r="AL27" s="174">
        <v>1</v>
      </c>
      <c r="AM27" s="171">
        <f>F27/AL27</f>
        <v>1</v>
      </c>
      <c r="AN27" s="171">
        <f>ROUND(AI27/AM27,5)</f>
        <v>2100</v>
      </c>
      <c r="AO27" s="171">
        <f>AJ27/AM27</f>
        <v>0</v>
      </c>
      <c r="AP27" s="171">
        <f>AK27/AM27</f>
        <v>0</v>
      </c>
      <c r="AQ27" s="171" t="s">
        <v>58</v>
      </c>
      <c r="AR27" s="171">
        <f>ROUND(AN27+AO27+AP27,5)</f>
        <v>2100</v>
      </c>
      <c r="AS27" s="175" t="s">
        <v>518</v>
      </c>
      <c r="AT27" s="175" t="s">
        <v>58</v>
      </c>
      <c r="AW27" s="175">
        <f>AM27</f>
        <v>1</v>
      </c>
      <c r="AX27" s="175">
        <f>AR27</f>
        <v>2100</v>
      </c>
      <c r="AY27" s="175">
        <f>AU27+AW27</f>
        <v>1</v>
      </c>
      <c r="AZ27" s="175">
        <f>ROUND(((AU27*AV27)+(AW27*AX27))/(AU27+AW27),5)</f>
        <v>2100</v>
      </c>
      <c r="BA27" s="85"/>
      <c r="BB27" s="85" t="s">
        <v>149</v>
      </c>
      <c r="BC27" s="95" t="s">
        <v>38</v>
      </c>
      <c r="BD27" s="86" t="s">
        <v>30</v>
      </c>
      <c r="BE27" s="86" t="s">
        <v>39</v>
      </c>
      <c r="BF27" s="85"/>
      <c r="BG27" s="85"/>
      <c r="BH27" s="85"/>
      <c r="BI27" s="175"/>
      <c r="BJ27" s="175"/>
      <c r="BK27" s="175"/>
      <c r="BL27" s="176" t="s">
        <v>520</v>
      </c>
      <c r="BO27" s="175">
        <f>ROUND((((AW27*AZ27)+(BN27*BM27))/(AW27+BN27)),5)</f>
        <v>2100</v>
      </c>
      <c r="BP27" s="87">
        <f>BN27+AW27</f>
        <v>1</v>
      </c>
      <c r="BQ27" s="88">
        <v>88363222</v>
      </c>
      <c r="BR27" s="193" t="s">
        <v>535</v>
      </c>
      <c r="BS27" s="190" t="s">
        <v>536</v>
      </c>
      <c r="BT27" s="190">
        <v>10101</v>
      </c>
      <c r="BU27" s="190" t="s">
        <v>537</v>
      </c>
      <c r="BV27" s="191" t="s">
        <v>527</v>
      </c>
      <c r="BW27" s="190" t="s">
        <v>509</v>
      </c>
      <c r="BX27" s="194" t="s">
        <v>49</v>
      </c>
      <c r="BY27" s="190">
        <v>400</v>
      </c>
      <c r="BZ27" s="190" t="s">
        <v>615</v>
      </c>
      <c r="CA27" s="193">
        <v>40</v>
      </c>
      <c r="CB27" s="190" t="s">
        <v>672</v>
      </c>
      <c r="CC27" s="266">
        <f>ABS(IF(AU28&lt;=0.5,AU28,0))</f>
        <v>9.0000000000145519E-2</v>
      </c>
      <c r="CD27">
        <f>ABS(IF(AU28&gt;=0.5,AU28,0))</f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f t="shared" si="2"/>
        <v>0</v>
      </c>
      <c r="CS27">
        <f t="shared" si="2"/>
        <v>0</v>
      </c>
      <c r="CT27">
        <f t="shared" si="3"/>
        <v>0</v>
      </c>
    </row>
    <row r="28" spans="1:106" ht="15.75" thickBot="1">
      <c r="A28" s="137"/>
      <c r="C28" s="177" t="s">
        <v>87</v>
      </c>
      <c r="D28" s="178"/>
      <c r="E28" s="178"/>
      <c r="F28" s="178"/>
      <c r="G28" s="179"/>
      <c r="H28" s="180">
        <f>SUM(H27)</f>
        <v>2100</v>
      </c>
      <c r="I28" s="169"/>
      <c r="J28" s="169"/>
      <c r="K28" s="169"/>
      <c r="L28" s="169"/>
      <c r="M28" s="169"/>
      <c r="N28" s="169"/>
      <c r="O28" s="169"/>
      <c r="P28" s="169"/>
      <c r="Q28" s="169"/>
      <c r="R28" s="180">
        <f>SUM(R27)</f>
        <v>0</v>
      </c>
      <c r="S28" s="180">
        <f>SUM(S27)</f>
        <v>2100</v>
      </c>
      <c r="T28" s="180"/>
      <c r="U28" s="180"/>
      <c r="V28" s="181">
        <f>SUM(V23:V27)</f>
        <v>1667.6</v>
      </c>
      <c r="W28" s="181">
        <f>SUM(W23:W27)</f>
        <v>1667.6</v>
      </c>
      <c r="X28" s="181">
        <f>SUM(X23:X27)</f>
        <v>0</v>
      </c>
      <c r="Y28" s="181">
        <f t="shared" ref="Y28:AE28" si="4">SUM(Y27)</f>
        <v>0</v>
      </c>
      <c r="Z28" s="182">
        <f t="shared" si="4"/>
        <v>0</v>
      </c>
      <c r="AA28" s="181">
        <f t="shared" si="4"/>
        <v>0</v>
      </c>
      <c r="AB28" s="180">
        <f>SUM(AB23:AB27)</f>
        <v>3335.2</v>
      </c>
      <c r="AC28" s="183">
        <f>SUM(AC23:AC27)</f>
        <v>21864.09</v>
      </c>
      <c r="AD28" s="184">
        <f t="shared" si="4"/>
        <v>120</v>
      </c>
      <c r="AE28" s="184">
        <f t="shared" si="4"/>
        <v>0</v>
      </c>
      <c r="AF28" s="183"/>
      <c r="AG28" s="184">
        <f>SUM(AG27)</f>
        <v>0</v>
      </c>
      <c r="AH28" s="184">
        <f>IF($P$21=1,(S28/$S$28)*$E$42,AD28/$AD$28*$E$42)</f>
        <v>0</v>
      </c>
      <c r="AI28" s="184">
        <f>SUM(AI27)</f>
        <v>2100</v>
      </c>
      <c r="AJ28" s="184">
        <f>SUM(AJ27)</f>
        <v>0</v>
      </c>
      <c r="AK28" s="184">
        <f>SUM(AK27)</f>
        <v>0</v>
      </c>
      <c r="AL28" s="183"/>
      <c r="AM28" s="183"/>
      <c r="AN28" s="183"/>
      <c r="AO28" s="183"/>
      <c r="AP28" s="183"/>
      <c r="AQ28" s="183"/>
      <c r="AR28" s="183"/>
      <c r="AS28" s="137"/>
      <c r="AT28" s="137">
        <f>IF(AC28-INT(AC28) &gt;= 0.5, INT(AC28)+1, INT(AC28))</f>
        <v>21864</v>
      </c>
      <c r="AU28">
        <f>AT28-AC28</f>
        <v>-9.0000000000145519E-2</v>
      </c>
      <c r="AW28" s="137">
        <f>SUMIF(BX23:BX27,"Item",S23:S27)</f>
        <v>12228.89</v>
      </c>
      <c r="AX28" s="137">
        <f>SUMIF(BX23:BX27,"Exp.",S23:S27)</f>
        <v>6300</v>
      </c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  <c r="CB28" s="190" t="s">
        <v>675</v>
      </c>
      <c r="CC28" s="266">
        <v>0</v>
      </c>
      <c r="CD28">
        <f>AT28</f>
        <v>21864</v>
      </c>
    </row>
    <row r="29" spans="1:106" ht="15.75" thickBot="1">
      <c r="A29" s="137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137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  <c r="CB29" s="190"/>
      <c r="CD29" s="230"/>
    </row>
    <row r="30" spans="1:106" ht="15.75" thickBot="1">
      <c r="A30" s="137"/>
      <c r="B30" s="137"/>
      <c r="C30" s="137"/>
      <c r="D30" s="137"/>
      <c r="E30" s="137"/>
      <c r="F30" s="137"/>
      <c r="G30" s="304" t="s">
        <v>194</v>
      </c>
      <c r="H30" s="305"/>
      <c r="I30" s="306">
        <f>H28</f>
        <v>2100</v>
      </c>
      <c r="J30" s="306"/>
      <c r="K30" s="185"/>
      <c r="L30" s="137"/>
      <c r="M30" s="298" t="s">
        <v>195</v>
      </c>
      <c r="N30" s="299"/>
      <c r="O30" s="299"/>
      <c r="P30" s="300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 t="s">
        <v>374</v>
      </c>
      <c r="BI30" s="186" t="s">
        <v>375</v>
      </c>
      <c r="BJ30" s="137"/>
      <c r="BK30" s="137"/>
      <c r="BL30" s="137"/>
      <c r="BM30" s="137"/>
      <c r="BN30" s="137"/>
      <c r="BO30" s="137"/>
    </row>
    <row r="31" spans="1:106" ht="15.75" thickBot="1">
      <c r="A31" s="137"/>
      <c r="B31" s="137"/>
      <c r="C31" s="137"/>
      <c r="D31" s="137"/>
      <c r="E31" s="137"/>
      <c r="F31" s="137"/>
      <c r="G31" s="304" t="s">
        <v>196</v>
      </c>
      <c r="H31" s="305"/>
      <c r="I31" s="306">
        <f>R28</f>
        <v>0</v>
      </c>
      <c r="J31" s="306"/>
      <c r="K31" s="137"/>
      <c r="L31" s="137"/>
      <c r="M31" s="187">
        <v>1</v>
      </c>
      <c r="N31" s="187" t="s">
        <v>58</v>
      </c>
      <c r="O31" s="187">
        <v>2</v>
      </c>
      <c r="P31" s="187" t="s">
        <v>163</v>
      </c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 t="s">
        <v>376</v>
      </c>
      <c r="BI31" s="186" t="s">
        <v>377</v>
      </c>
      <c r="BJ31" s="137"/>
      <c r="BK31" s="137"/>
      <c r="BL31" s="137"/>
      <c r="BM31" s="137"/>
      <c r="BN31" s="137"/>
      <c r="BO31" s="137"/>
    </row>
    <row r="32" spans="1:106" ht="15.75" thickBot="1">
      <c r="A32" s="137"/>
      <c r="B32" s="137"/>
      <c r="C32" s="137"/>
      <c r="D32" s="137"/>
      <c r="E32" s="137"/>
      <c r="F32" s="137"/>
      <c r="G32" s="304" t="s">
        <v>197</v>
      </c>
      <c r="H32" s="305"/>
      <c r="I32" s="306">
        <f>S28</f>
        <v>2100</v>
      </c>
      <c r="J32" s="306"/>
      <c r="K32" s="137"/>
      <c r="L32" s="137"/>
      <c r="M32" s="169">
        <v>1</v>
      </c>
      <c r="N32" s="169" t="s">
        <v>58</v>
      </c>
      <c r="O32" s="169">
        <v>2.5</v>
      </c>
      <c r="P32" s="169" t="s">
        <v>176</v>
      </c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/>
      <c r="BL32" s="137"/>
      <c r="BM32" s="137"/>
      <c r="BN32" s="137"/>
      <c r="BO32" s="137"/>
    </row>
    <row r="33" spans="1:67" ht="15.75" thickBot="1">
      <c r="A33" s="137"/>
      <c r="B33" s="137"/>
      <c r="C33" s="137"/>
      <c r="D33" s="137"/>
      <c r="E33" s="137"/>
      <c r="F33" s="137"/>
      <c r="G33" s="304" t="s">
        <v>198</v>
      </c>
      <c r="H33" s="305"/>
      <c r="I33" s="306">
        <f>AB28</f>
        <v>3335.2</v>
      </c>
      <c r="J33" s="306"/>
      <c r="K33" s="137"/>
      <c r="L33" s="137"/>
      <c r="M33" s="169">
        <v>1</v>
      </c>
      <c r="N33" s="169" t="s">
        <v>163</v>
      </c>
      <c r="O33" s="169">
        <v>1E-3</v>
      </c>
      <c r="P33" s="169" t="s">
        <v>185</v>
      </c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/>
      <c r="BL33" s="137"/>
      <c r="BM33" s="137"/>
      <c r="BN33" s="137"/>
      <c r="BO33" s="137"/>
    </row>
    <row r="34" spans="1:67" ht="15.75" thickBot="1">
      <c r="A34" s="137"/>
      <c r="B34" s="137"/>
      <c r="C34" s="137"/>
      <c r="D34" s="137"/>
      <c r="E34" s="137"/>
      <c r="F34" s="137"/>
      <c r="G34" s="304" t="s">
        <v>199</v>
      </c>
      <c r="H34" s="305"/>
      <c r="I34" s="307">
        <f>I32+I33</f>
        <v>5435.2</v>
      </c>
      <c r="J34" s="30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/>
      <c r="BL34" s="137"/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/>
      <c r="BL35" s="137"/>
      <c r="BM35" s="137" t="s">
        <v>378</v>
      </c>
      <c r="BN35" s="137" t="s">
        <v>379</v>
      </c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 t="s">
        <v>380</v>
      </c>
      <c r="BL36" s="137">
        <v>12.5</v>
      </c>
      <c r="BM36" s="137">
        <f>BL38*BL39</f>
        <v>18277.77</v>
      </c>
      <c r="BN36" s="137">
        <f>BL36*BL37</f>
        <v>6092.59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 t="s">
        <v>381</v>
      </c>
      <c r="BL37" s="137">
        <v>487.40719999999999</v>
      </c>
      <c r="BM37" s="137">
        <f>BL36+BL38</f>
        <v>50</v>
      </c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 t="s">
        <v>382</v>
      </c>
      <c r="BL38" s="137">
        <v>37.5</v>
      </c>
      <c r="BM38" s="137"/>
      <c r="BN38" s="137"/>
      <c r="BO38" s="137"/>
    </row>
    <row r="39" spans="1:67">
      <c r="A39" s="137"/>
      <c r="B39" s="137"/>
      <c r="C39" s="137"/>
      <c r="D39" s="137"/>
      <c r="E39" s="137"/>
      <c r="F39" s="137"/>
      <c r="G39" s="137"/>
      <c r="H39" s="137"/>
      <c r="I39" s="137"/>
      <c r="J39" s="137"/>
      <c r="K39" s="137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7"/>
      <c r="W39" s="137"/>
      <c r="X39" s="137"/>
      <c r="Y39" s="137"/>
      <c r="Z39" s="137"/>
      <c r="AA39" s="137"/>
      <c r="AB39" s="137"/>
      <c r="AC39" s="137"/>
      <c r="AD39" s="137"/>
      <c r="AE39" s="137"/>
      <c r="AF39" s="137"/>
      <c r="AG39" s="137"/>
      <c r="AH39" s="137"/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  <c r="AS39" s="137"/>
      <c r="AT39" s="137"/>
      <c r="AU39" s="137"/>
      <c r="AV39" s="137"/>
      <c r="AW39" s="137"/>
      <c r="AX39" s="137"/>
      <c r="AY39" s="137"/>
      <c r="AZ39" s="137"/>
      <c r="BA39" s="137"/>
      <c r="BB39" s="137"/>
      <c r="BC39" s="137"/>
      <c r="BD39" s="137"/>
      <c r="BE39" s="137"/>
      <c r="BF39" s="137"/>
      <c r="BG39" s="137"/>
      <c r="BH39" s="137"/>
      <c r="BI39" s="137"/>
      <c r="BJ39" s="137"/>
      <c r="BK39" s="137" t="s">
        <v>383</v>
      </c>
      <c r="BL39" s="137">
        <v>487.40719999999999</v>
      </c>
      <c r="BM39" s="137"/>
      <c r="BN39" s="137"/>
      <c r="BO39" s="137"/>
    </row>
    <row r="40" spans="1:67">
      <c r="A40" s="137"/>
      <c r="B40" s="137"/>
      <c r="C40" s="137"/>
      <c r="D40" s="137"/>
      <c r="E40" s="137"/>
      <c r="F40" s="137"/>
      <c r="G40" s="137"/>
      <c r="H40" s="137"/>
      <c r="I40" s="137"/>
      <c r="J40" s="137"/>
      <c r="K40" s="137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7"/>
      <c r="W40" s="137"/>
      <c r="X40" s="137"/>
      <c r="Y40" s="137"/>
      <c r="Z40" s="137"/>
      <c r="AA40" s="137"/>
      <c r="AB40" s="137"/>
      <c r="AC40" s="137"/>
      <c r="AD40" s="137"/>
      <c r="AE40" s="137"/>
      <c r="AF40" s="137"/>
      <c r="AG40" s="137"/>
      <c r="AH40" s="137"/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  <c r="AS40" s="137"/>
      <c r="AT40" s="137"/>
      <c r="AU40" s="137"/>
      <c r="AV40" s="137"/>
      <c r="AW40" s="137"/>
      <c r="AX40" s="137"/>
      <c r="AY40" s="137"/>
      <c r="AZ40" s="137"/>
      <c r="BA40" s="137"/>
      <c r="BB40" s="137"/>
      <c r="BC40" s="137"/>
      <c r="BD40" s="137"/>
      <c r="BE40" s="137"/>
      <c r="BF40" s="137"/>
      <c r="BG40" s="137"/>
      <c r="BH40" s="137"/>
      <c r="BI40" s="137"/>
      <c r="BJ40" s="137"/>
      <c r="BK40" s="137"/>
      <c r="BL40" s="137"/>
      <c r="BM40" s="137">
        <f>BM36+BN36</f>
        <v>24370.36</v>
      </c>
      <c r="BN40" s="137">
        <f>BM40/BM37</f>
        <v>487.40719999999999</v>
      </c>
      <c r="BO40" s="137"/>
    </row>
    <row r="41" spans="1:67">
      <c r="A41" s="137"/>
      <c r="B41" s="137"/>
      <c r="C41" s="137"/>
      <c r="D41" s="137"/>
      <c r="E41" s="137"/>
      <c r="F41" s="137"/>
      <c r="G41" s="137"/>
      <c r="H41" s="137"/>
      <c r="I41" s="137"/>
      <c r="J41" s="137"/>
      <c r="K41" s="137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7"/>
      <c r="W41" s="137"/>
      <c r="X41" s="137"/>
      <c r="Y41" s="137"/>
      <c r="Z41" s="137"/>
      <c r="AA41" s="137"/>
      <c r="AB41" s="137"/>
      <c r="AC41" s="137"/>
      <c r="AD41" s="137"/>
      <c r="AE41" s="137"/>
      <c r="AF41" s="137"/>
      <c r="AG41" s="137"/>
      <c r="AH41" s="137"/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  <c r="AS41" s="137"/>
      <c r="AT41" s="137"/>
      <c r="AU41" s="137"/>
      <c r="AV41" s="137"/>
      <c r="AW41" s="137"/>
      <c r="AX41" s="137"/>
      <c r="AY41" s="137"/>
      <c r="AZ41" s="137"/>
      <c r="BA41" s="137"/>
      <c r="BB41" s="137"/>
      <c r="BC41" s="137"/>
      <c r="BD41" s="137"/>
      <c r="BE41" s="137"/>
      <c r="BF41" s="137"/>
      <c r="BG41" s="137"/>
      <c r="BH41" s="137"/>
      <c r="BI41" s="137"/>
      <c r="BJ41" s="137"/>
      <c r="BK41" s="137"/>
      <c r="BL41" s="137"/>
      <c r="BM41" s="137"/>
      <c r="BN41" s="137"/>
      <c r="BO41" s="137"/>
    </row>
    <row r="42" spans="1:67">
      <c r="A42" s="137"/>
      <c r="B42" s="137"/>
      <c r="C42" s="137"/>
      <c r="D42" s="137"/>
      <c r="E42" s="137"/>
      <c r="F42" s="137"/>
      <c r="G42" s="137"/>
      <c r="H42" s="137"/>
      <c r="I42" s="137"/>
      <c r="J42" s="137"/>
      <c r="K42" s="137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7"/>
      <c r="W42" s="137"/>
      <c r="X42" s="137"/>
      <c r="Y42" s="137"/>
      <c r="Z42" s="137"/>
      <c r="AA42" s="137"/>
      <c r="AB42" s="137"/>
      <c r="AC42" s="137"/>
      <c r="AD42" s="137"/>
      <c r="AE42" s="137"/>
      <c r="AF42" s="137"/>
      <c r="AG42" s="137"/>
      <c r="AH42" s="137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  <c r="AS42" s="137"/>
      <c r="AT42" s="137"/>
      <c r="AU42" s="137"/>
      <c r="AV42" s="137"/>
      <c r="AW42" s="137"/>
      <c r="AX42" s="137"/>
      <c r="AY42" s="137"/>
      <c r="AZ42" s="137"/>
      <c r="BA42" s="137"/>
      <c r="BB42" s="137"/>
      <c r="BC42" s="137"/>
      <c r="BD42" s="137"/>
      <c r="BE42" s="137"/>
      <c r="BF42" s="137"/>
      <c r="BG42" s="137"/>
      <c r="BH42" s="137"/>
      <c r="BI42" s="137"/>
      <c r="BJ42" s="137"/>
      <c r="BK42" s="137"/>
      <c r="BL42" s="137"/>
      <c r="BM42" s="137"/>
      <c r="BN42" s="137"/>
      <c r="BO42" s="137"/>
    </row>
  </sheetData>
  <mergeCells count="14">
    <mergeCell ref="G34:H34"/>
    <mergeCell ref="I34:J34"/>
    <mergeCell ref="M30:P30"/>
    <mergeCell ref="G31:H31"/>
    <mergeCell ref="I31:J31"/>
    <mergeCell ref="G32:H32"/>
    <mergeCell ref="I32:J32"/>
    <mergeCell ref="G30:H30"/>
    <mergeCell ref="I30:J30"/>
    <mergeCell ref="A1:AC1"/>
    <mergeCell ref="B19:G19"/>
    <mergeCell ref="A21:B21"/>
    <mergeCell ref="G33:H33"/>
    <mergeCell ref="I33:J33"/>
  </mergeCells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CA38"/>
  <sheetViews>
    <sheetView topLeftCell="A10" workbookViewId="0">
      <selection activeCell="D22" sqref="D22"/>
    </sheetView>
  </sheetViews>
  <sheetFormatPr defaultRowHeight="15"/>
  <cols>
    <col min="3" max="3" width="19.28515625" bestFit="1" customWidth="1"/>
    <col min="4" max="4" width="72.42578125" bestFit="1" customWidth="1"/>
    <col min="35" max="35" width="14.28515625" bestFit="1" customWidth="1"/>
    <col min="70" max="70" width="15.7109375" bestFit="1" customWidth="1"/>
    <col min="71" max="71" width="18.5703125" bestFit="1" customWidth="1"/>
    <col min="72" max="72" width="18.85546875" bestFit="1" customWidth="1"/>
    <col min="73" max="73" width="28.5703125" bestFit="1" customWidth="1"/>
    <col min="74" max="74" width="12.140625" bestFit="1" customWidth="1"/>
    <col min="75" max="75" width="10.7109375" bestFit="1" customWidth="1"/>
    <col min="76" max="76" width="9.710937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7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7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7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7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79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7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157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  <c r="BR22" s="188" t="s">
        <v>513</v>
      </c>
      <c r="BS22" s="188" t="s">
        <v>502</v>
      </c>
      <c r="BT22" s="188" t="s">
        <v>514</v>
      </c>
      <c r="BU22" s="188" t="s">
        <v>515</v>
      </c>
      <c r="BV22" s="188" t="s">
        <v>503</v>
      </c>
      <c r="BW22" s="188" t="s">
        <v>504</v>
      </c>
      <c r="BX22" s="188" t="s">
        <v>505</v>
      </c>
      <c r="BY22" s="188" t="s">
        <v>506</v>
      </c>
      <c r="BZ22" s="188" t="s">
        <v>516</v>
      </c>
      <c r="CA22" s="189" t="s">
        <v>53</v>
      </c>
    </row>
    <row r="23" spans="1:79" ht="15.75" thickBot="1">
      <c r="A23" s="169">
        <v>1</v>
      </c>
      <c r="B23" s="169" t="s">
        <v>517</v>
      </c>
      <c r="C23" s="169" t="s">
        <v>162</v>
      </c>
      <c r="D23" s="169" t="s">
        <v>58</v>
      </c>
      <c r="E23" s="169" t="s">
        <v>163</v>
      </c>
      <c r="F23" s="170">
        <v>12</v>
      </c>
      <c r="G23">
        <f>[1]StocktransferLC!G23+500</f>
        <v>3800</v>
      </c>
      <c r="H23" s="170">
        <f>F23*G23</f>
        <v>45600</v>
      </c>
      <c r="I23" t="s">
        <v>263</v>
      </c>
      <c r="J23" s="170">
        <v>2</v>
      </c>
      <c r="K23" s="170">
        <v>2.5</v>
      </c>
      <c r="L23" s="170">
        <f>H23</f>
        <v>45600</v>
      </c>
      <c r="M23" s="170">
        <f>ROUND(L23*I23%,2)</f>
        <v>1368</v>
      </c>
      <c r="N23" s="170">
        <f>H23-M23</f>
        <v>44232</v>
      </c>
      <c r="O23" s="170">
        <f>ROUND(N23*J23%,2)</f>
        <v>884.64</v>
      </c>
      <c r="P23" s="170">
        <f>ROUND(N23-O23,2)</f>
        <v>43347.360000000001</v>
      </c>
      <c r="Q23" s="170">
        <f>ROUND(P23*K23%,2)</f>
        <v>1083.68</v>
      </c>
      <c r="R23" s="170">
        <f>ROUND((M23+O23+Q23),2)</f>
        <v>3336.32</v>
      </c>
      <c r="S23" s="170">
        <f>ROUND((H23-R23),2)</f>
        <v>42263.68</v>
      </c>
      <c r="T23" s="171" t="s">
        <v>146</v>
      </c>
      <c r="U23" s="172">
        <v>0.18</v>
      </c>
      <c r="V23" s="170">
        <f>IF(OR([1]StocktransferLC!$C$21=1,[1]StocktransferLC!$C$21=4),ROUND(((S23*U23)/2),2),0)</f>
        <v>3803.73</v>
      </c>
      <c r="W23" s="170">
        <f>IF([1]StocktransferLC!$C$21=1,ROUND(((S23*U23)/2),2),0)</f>
        <v>3803.73</v>
      </c>
      <c r="X23" s="170">
        <f>IF([1]StocktransferLC!$C$21=2,ROUND(((S23*U23)),2),0)</f>
        <v>0</v>
      </c>
      <c r="Y23" s="170">
        <f>IF([1]StocktransferLC!$C$21=4,ROUND(((S23*U23)/2),2),0)</f>
        <v>0</v>
      </c>
      <c r="Z23" s="173">
        <v>0</v>
      </c>
      <c r="AA23" s="170">
        <f>IF([1]StocktransferLC!$C20=3, 0, ROUND(S23*Z23, 2))</f>
        <v>0</v>
      </c>
      <c r="AB23" s="169">
        <f>V23+W23+X23+Y23+AA23</f>
        <v>7607.46</v>
      </c>
      <c r="AC23" s="169">
        <f>IF([1]StocktransferLC!$V20=1,S23+AB23,S23)</f>
        <v>42263.68</v>
      </c>
      <c r="AD23" s="171">
        <v>120</v>
      </c>
      <c r="AE23" s="171">
        <f>IF([1]StocktransferLC!$P$21=1,(S23/[1]StocktransferLC!$S$24)*[1]StocktransferLC!$E$35,AD23/[1]StocktransferLC!$AD$24*[1]StocktransferLC!$E$35)</f>
        <v>0</v>
      </c>
      <c r="AF23" s="171"/>
      <c r="AG23" s="171">
        <f>IF([1]StocktransferLC!$P$21=1,(S23/[1]StocktransferLC!$S$24)*[1]StocktransferLC!$E$37,AD23/[1]StocktransferLC!$AD$24*[1]StocktransferLC!$E$37)</f>
        <v>0</v>
      </c>
      <c r="AH23" s="171">
        <f>IF([1]StocktransferLC!$P$21=1,(S23/[1]StocktransferLC!$S$24)*[1]StocktransferLC!$E$38,AD23/[1]StocktransferLC!$AD$24*[1]StocktransferLC!$E$38)</f>
        <v>0</v>
      </c>
      <c r="AI23" s="171">
        <f>S23*[1]StocktransferLC!$M$21</f>
        <v>42263.68</v>
      </c>
      <c r="AJ23" s="171">
        <f>IF([1]StocktransferLC!$C$21=3,0,AG23+AH23)</f>
        <v>0</v>
      </c>
      <c r="AK23" s="171">
        <f>IF([1]StocktransferLC!$C$21=3,AE23+AG23+AH23,0)</f>
        <v>0</v>
      </c>
      <c r="AL23" s="174">
        <v>1</v>
      </c>
      <c r="AM23" s="171">
        <f>F23/AL23</f>
        <v>12</v>
      </c>
      <c r="AN23" s="171">
        <f>ROUND(AI23/AM23,5)</f>
        <v>3521.9733299999998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3521.9733299999998</v>
      </c>
      <c r="AS23" s="175" t="s">
        <v>518</v>
      </c>
      <c r="AT23" s="175" t="s">
        <v>58</v>
      </c>
      <c r="AU23" t="s">
        <v>239</v>
      </c>
      <c r="AV23" t="s">
        <v>523</v>
      </c>
      <c r="AW23" s="175">
        <f>AM23</f>
        <v>12</v>
      </c>
      <c r="AX23" s="175">
        <f>AR23</f>
        <v>3521.9733299999998</v>
      </c>
      <c r="AY23" s="175">
        <f>AU23+AW23</f>
        <v>12</v>
      </c>
      <c r="AZ23" s="175">
        <f>ROUND(((AU23*AV23)+(AW23*AX23))/(AU23+AW23),5)</f>
        <v>3521.9733299999998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520</v>
      </c>
      <c r="BM23" t="s">
        <v>524</v>
      </c>
      <c r="BN23" t="s">
        <v>460</v>
      </c>
      <c r="BO23" s="175">
        <f>ROUND((((AW23*AZ23)+(BN23*BM23))/(AW23+BN23)),5)</f>
        <v>1796.78808</v>
      </c>
      <c r="BP23" s="87">
        <f>BN23+AW23</f>
        <v>26</v>
      </c>
      <c r="BQ23" s="88">
        <v>88363222</v>
      </c>
      <c r="BR23" s="190" t="s">
        <v>525</v>
      </c>
      <c r="BS23" s="190" t="s">
        <v>508</v>
      </c>
      <c r="BT23" s="190">
        <v>10100</v>
      </c>
      <c r="BU23" s="190" t="s">
        <v>526</v>
      </c>
      <c r="BV23" s="191" t="s">
        <v>527</v>
      </c>
      <c r="BW23" s="190" t="s">
        <v>509</v>
      </c>
      <c r="BX23" s="192" t="s">
        <v>528</v>
      </c>
      <c r="BY23" s="190">
        <v>450</v>
      </c>
      <c r="BZ23" s="190" t="s">
        <v>529</v>
      </c>
      <c r="CA23" s="193">
        <v>60</v>
      </c>
    </row>
    <row r="24" spans="1:7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45600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3336.32</v>
      </c>
      <c r="S24" s="180">
        <f>SUM(S23)</f>
        <v>42263.68</v>
      </c>
      <c r="T24" s="180"/>
      <c r="U24" s="180"/>
      <c r="V24" s="181">
        <f t="shared" ref="V24:AE24" si="1">SUM(V23)</f>
        <v>3803.73</v>
      </c>
      <c r="W24" s="181">
        <f t="shared" si="1"/>
        <v>3803.73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7607.46</v>
      </c>
      <c r="AC24" s="183">
        <f t="shared" si="1"/>
        <v>42263.68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IF([1]StocktransferLC!$P$21=1,(S24/[1]StocktransferLC!$S$24)*[1]StocktransferLC!$E$38,AD24/[1]StocktransferLC!$AD$24*[1]StocktransferLC!$E$38)</f>
        <v>0</v>
      </c>
      <c r="AI24" s="184">
        <f>SUM(AI23)</f>
        <v>42263.68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R24" s="190"/>
      <c r="BS24" s="190"/>
      <c r="BT24" s="190"/>
      <c r="BU24" s="190"/>
      <c r="BV24" s="191"/>
      <c r="BW24" s="190"/>
      <c r="BX24" s="192"/>
      <c r="BY24" s="190"/>
      <c r="BZ24" s="190"/>
      <c r="CA24" s="193"/>
    </row>
    <row r="25" spans="1:7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7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45600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  <c r="BR26" s="193"/>
      <c r="BS26" s="190"/>
      <c r="BT26" s="190"/>
      <c r="BU26" s="190"/>
      <c r="BV26" s="191"/>
      <c r="BW26" s="190"/>
      <c r="BX26" s="194"/>
      <c r="BY26" s="190"/>
      <c r="BZ26" s="190"/>
      <c r="CA26" s="193"/>
    </row>
    <row r="27" spans="1:7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3336.32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7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42263.68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7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7607.46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7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49871.14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7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7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BQ38"/>
  <sheetViews>
    <sheetView topLeftCell="A19" workbookViewId="0">
      <selection activeCell="D28" sqref="D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09" t="s">
        <v>47</v>
      </c>
      <c r="B2" s="209"/>
      <c r="C2" s="209"/>
      <c r="D2" s="209"/>
      <c r="E2" s="209"/>
      <c r="F2" s="209"/>
      <c r="G2" s="209"/>
      <c r="H2" s="209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564</v>
      </c>
      <c r="BN23" t="s">
        <v>563</v>
      </c>
      <c r="BO23" s="175">
        <f>ROUND((((AW23*AZ23)+(BN23*BM23))/(AW23+BN23)),5)</f>
        <v>475.56932</v>
      </c>
      <c r="BP23" s="87">
        <f>BN23+AW23</f>
        <v>44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24.65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475.35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85.56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560.91000000000008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BQ38"/>
  <sheetViews>
    <sheetView topLeftCell="BL16" workbookViewId="0">
      <selection activeCell="BP24" sqref="BP24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10.570312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210" t="s">
        <v>47</v>
      </c>
      <c r="B2" s="210"/>
      <c r="C2" s="210"/>
      <c r="D2" s="210"/>
      <c r="E2" s="210"/>
      <c r="F2" s="210"/>
      <c r="G2" s="210"/>
      <c r="H2" s="210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223</v>
      </c>
      <c r="J23" s="170">
        <v>1</v>
      </c>
      <c r="K23" s="170">
        <v>1</v>
      </c>
      <c r="L23" s="170">
        <f>H23</f>
        <v>500</v>
      </c>
      <c r="M23" s="170">
        <f>ROUND(L23*I23%,2)</f>
        <v>10</v>
      </c>
      <c r="N23" s="170">
        <f>H23-M23</f>
        <v>490</v>
      </c>
      <c r="O23" s="170">
        <f>ROUND(N23*J23%,2)</f>
        <v>4.9000000000000004</v>
      </c>
      <c r="P23" s="170">
        <f>ROUND(N23-O23,2)</f>
        <v>485.1</v>
      </c>
      <c r="Q23" s="170">
        <f>ROUND(P23*K23%,2)</f>
        <v>4.8499999999999996</v>
      </c>
      <c r="R23" s="170">
        <f>ROUND((M23+O23+Q23),2)</f>
        <v>19.75</v>
      </c>
      <c r="S23" s="170">
        <f>ROUND((H23-R23),2)</f>
        <v>480.25</v>
      </c>
      <c r="T23" s="171" t="s">
        <v>146</v>
      </c>
      <c r="U23" s="172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86.45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86.45</v>
      </c>
      <c r="AC23" s="169">
        <f>IF($V21=1,S23+AB23,S23)</f>
        <v>480.25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480.25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480.25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480.25</v>
      </c>
      <c r="AS23" s="175" t="s">
        <v>565</v>
      </c>
      <c r="AT23" s="175" t="s">
        <v>58</v>
      </c>
      <c r="AU23" t="s">
        <v>239</v>
      </c>
      <c r="AV23" t="s">
        <v>567</v>
      </c>
      <c r="AW23" s="175">
        <f>AM23</f>
        <v>1</v>
      </c>
      <c r="AX23" s="175">
        <f>AR23</f>
        <v>480.25</v>
      </c>
      <c r="AY23" s="175">
        <f>AU23+AW23</f>
        <v>1</v>
      </c>
      <c r="AZ23" s="175">
        <f>ROUND(((AU23*AV23)+(AW23*AX23))/(AU23+AW23),5)</f>
        <v>480.25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566</v>
      </c>
      <c r="BM23" t="s">
        <v>568</v>
      </c>
      <c r="BN23" t="s">
        <v>255</v>
      </c>
      <c r="BO23" s="175">
        <f>ROUND((((AW23*AZ23)+(BN23*BM23))/(AW23+BN23)),5)</f>
        <v>421.64285999999998</v>
      </c>
      <c r="BP23" s="87">
        <f>BN23+AW23</f>
        <v>7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19.75</v>
      </c>
      <c r="S24" s="180">
        <f>SUM(S23)</f>
        <v>480.25</v>
      </c>
      <c r="T24" s="180"/>
      <c r="U24" s="180"/>
      <c r="V24" s="181">
        <f t="shared" ref="V24:AE24" si="1">SUM(V23)</f>
        <v>0</v>
      </c>
      <c r="W24" s="181">
        <f t="shared" si="1"/>
        <v>0</v>
      </c>
      <c r="X24" s="181">
        <f t="shared" si="1"/>
        <v>86.45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86.45</v>
      </c>
      <c r="AC24" s="183">
        <f t="shared" si="1"/>
        <v>480.25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480.25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480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19.75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480.25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86.45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566.70000000000005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G30:H30"/>
    <mergeCell ref="I30:J30"/>
    <mergeCell ref="G27:H27"/>
    <mergeCell ref="I27:J27"/>
    <mergeCell ref="G28:H28"/>
    <mergeCell ref="I28:J28"/>
    <mergeCell ref="G29:H29"/>
    <mergeCell ref="I29:J29"/>
    <mergeCell ref="A1:AC1"/>
    <mergeCell ref="B19:G19"/>
    <mergeCell ref="A21:B21"/>
    <mergeCell ref="G26:H26"/>
    <mergeCell ref="I26:J26"/>
    <mergeCell ref="M26:P26"/>
  </mergeCells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BQ38"/>
  <sheetViews>
    <sheetView topLeftCell="A7" workbookViewId="0">
      <selection activeCell="B28" sqref="B28"/>
    </sheetView>
  </sheetViews>
  <sheetFormatPr defaultColWidth="9" defaultRowHeight="15"/>
  <cols>
    <col min="2" max="2" width="28.28515625" bestFit="1" customWidth="1"/>
    <col min="4" max="4" width="72.42578125" bestFit="1" customWidth="1"/>
    <col min="11" max="11" width="6.140625" customWidth="1"/>
    <col min="12" max="12" width="13.85546875" bestFit="1" customWidth="1"/>
    <col min="14" max="14" width="13.7109375" bestFit="1" customWidth="1"/>
    <col min="16" max="16" width="13.85546875" bestFit="1" customWidth="1"/>
    <col min="17" max="17" width="37.7109375" bestFit="1" customWidth="1"/>
    <col min="18" max="18" width="10.85546875" bestFit="1" customWidth="1"/>
    <col min="28" max="28" width="9.140625" bestFit="1" customWidth="1"/>
    <col min="29" max="29" width="11.5703125" bestFit="1" customWidth="1"/>
    <col min="35" max="35" width="14.28515625" customWidth="1"/>
    <col min="36" max="36" width="17.5703125" customWidth="1"/>
    <col min="37" max="37" width="13.42578125" bestFit="1" customWidth="1"/>
    <col min="38" max="38" width="13.5703125" bestFit="1" customWidth="1"/>
    <col min="45" max="45" width="9.85546875" bestFit="1" customWidth="1"/>
    <col min="47" max="47" width="15.28515625" customWidth="1"/>
    <col min="48" max="48" width="20.28515625" customWidth="1"/>
    <col min="50" max="50" width="16.28515625" bestFit="1" customWidth="1"/>
    <col min="51" max="51" width="13.85546875" customWidth="1"/>
    <col min="52" max="52" width="18.85546875" customWidth="1"/>
    <col min="54" max="57" width="21.7109375" customWidth="1"/>
    <col min="58" max="58" width="16.5703125" customWidth="1"/>
    <col min="59" max="59" width="13.7109375" customWidth="1"/>
    <col min="60" max="60" width="12.42578125" customWidth="1"/>
    <col min="63" max="63" width="30.5703125" customWidth="1"/>
    <col min="64" max="64" width="10.5703125" bestFit="1" customWidth="1"/>
    <col min="65" max="65" width="41.140625" customWidth="1"/>
    <col min="66" max="66" width="37" customWidth="1"/>
    <col min="67" max="67" width="18.85546875" customWidth="1"/>
    <col min="68" max="68" width="34.42578125" customWidth="1"/>
    <col min="71" max="71" width="24.140625" bestFit="1" customWidth="1"/>
    <col min="72" max="72" width="19.28515625" bestFit="1" customWidth="1"/>
    <col min="73" max="73" width="72.42578125" bestFit="1" customWidth="1"/>
    <col min="77" max="77" width="11.85546875" bestFit="1" customWidth="1"/>
    <col min="81" max="81" width="13.85546875" bestFit="1" customWidth="1"/>
    <col min="104" max="104" width="10.7109375" bestFit="1" customWidth="1"/>
    <col min="134" max="134" width="41.140625" bestFit="1" customWidth="1"/>
    <col min="136" max="136" width="18.85546875" bestFit="1" customWidth="1"/>
    <col min="139" max="140" width="18.5703125" bestFit="1" customWidth="1"/>
    <col min="141" max="141" width="18.85546875" bestFit="1" customWidth="1"/>
    <col min="142" max="142" width="28.5703125" bestFit="1" customWidth="1"/>
    <col min="143" max="143" width="12.140625" bestFit="1" customWidth="1"/>
    <col min="144" max="144" width="9.85546875" bestFit="1" customWidth="1"/>
    <col min="146" max="146" width="17.5703125" bestFit="1" customWidth="1"/>
    <col min="147" max="147" width="21.140625" bestFit="1" customWidth="1"/>
    <col min="148" max="148" width="4.28515625" bestFit="1" customWidth="1"/>
  </cols>
  <sheetData>
    <row r="1" spans="1:67" ht="18.75" thickBot="1">
      <c r="A1" s="301" t="s">
        <v>154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  <c r="P1" s="301"/>
      <c r="Q1" s="301"/>
      <c r="R1" s="301"/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136"/>
      <c r="AP1" s="136"/>
      <c r="AQ1" s="136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</row>
    <row r="2" spans="1:67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137"/>
      <c r="AH2" s="137"/>
      <c r="AI2" s="137"/>
      <c r="AJ2" s="137"/>
      <c r="AK2" s="137"/>
      <c r="AL2" s="137"/>
      <c r="AM2" s="137"/>
      <c r="AN2" s="137"/>
      <c r="AO2" s="137"/>
      <c r="AP2" s="137"/>
      <c r="AQ2" s="137"/>
      <c r="AR2" s="137"/>
      <c r="AS2" s="137"/>
      <c r="AT2" s="137"/>
      <c r="AU2" s="137"/>
      <c r="AV2" s="137"/>
      <c r="AW2" s="137"/>
      <c r="AX2" s="137"/>
      <c r="AY2" s="137"/>
      <c r="AZ2" s="137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</row>
    <row r="3" spans="1:67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t="s">
        <v>223</v>
      </c>
      <c r="W3" s="137"/>
      <c r="X3" s="137"/>
      <c r="Y3" s="137"/>
      <c r="Z3" s="137"/>
      <c r="AA3" s="137"/>
      <c r="AB3" s="137"/>
      <c r="AC3" s="137"/>
      <c r="AD3" s="137"/>
      <c r="AE3" s="137"/>
      <c r="AF3" s="137"/>
      <c r="AG3" s="137"/>
      <c r="AH3" s="137"/>
      <c r="AI3" s="137"/>
      <c r="AJ3" s="137"/>
      <c r="AK3" s="137"/>
      <c r="AL3" s="137"/>
      <c r="AM3" s="137"/>
      <c r="AN3" s="137"/>
      <c r="AO3" s="137"/>
      <c r="AP3" s="137"/>
      <c r="AQ3" s="137"/>
      <c r="AR3" s="137"/>
      <c r="AS3" s="137"/>
      <c r="AT3" s="137"/>
      <c r="AU3" s="137"/>
      <c r="AV3" s="137"/>
      <c r="AW3" s="137"/>
      <c r="AX3" s="137"/>
      <c r="AY3" s="137"/>
      <c r="AZ3" s="137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</row>
    <row r="4" spans="1:67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 t="shared" ref="H4:H18" si="0">F4*G4</f>
        <v>6440.75</v>
      </c>
      <c r="I4" s="137"/>
      <c r="J4" s="137"/>
      <c r="K4" s="137"/>
      <c r="L4" s="137"/>
      <c r="M4" s="137"/>
      <c r="N4" s="137"/>
      <c r="O4" s="137"/>
      <c r="P4" s="137"/>
      <c r="Q4" s="137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  <c r="AD4" s="137"/>
      <c r="AE4" s="137"/>
      <c r="AF4" s="137"/>
      <c r="AG4" s="137"/>
      <c r="AH4" s="137"/>
      <c r="AI4" s="137"/>
      <c r="AJ4" s="137"/>
      <c r="AK4" s="137"/>
      <c r="AL4" s="137"/>
      <c r="AM4" s="137"/>
      <c r="AN4" s="137"/>
      <c r="AO4" s="137"/>
      <c r="AP4" s="137"/>
      <c r="AQ4" s="137"/>
      <c r="AR4" s="137"/>
      <c r="AS4" s="137"/>
      <c r="AT4" s="137"/>
      <c r="AU4" s="137"/>
      <c r="AV4" s="137"/>
      <c r="AW4" s="137"/>
      <c r="AX4" s="137"/>
      <c r="AY4" s="137"/>
      <c r="AZ4" s="137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</row>
    <row r="5" spans="1:67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 t="shared" si="0"/>
        <v>4390.75</v>
      </c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  <c r="AD5" s="137"/>
      <c r="AE5" s="137"/>
      <c r="AF5" s="137"/>
      <c r="AG5" s="137"/>
      <c r="AH5" s="137"/>
      <c r="AI5" s="137"/>
      <c r="AJ5" s="137"/>
      <c r="AK5" s="137"/>
      <c r="AL5" s="137"/>
      <c r="AM5" s="137"/>
      <c r="AN5" s="137"/>
      <c r="AO5" s="137"/>
      <c r="AP5" s="137"/>
      <c r="AQ5" s="137"/>
      <c r="AR5" s="137"/>
      <c r="AS5" s="137"/>
      <c r="AT5" s="137"/>
      <c r="AU5" s="137"/>
      <c r="AV5" s="137"/>
      <c r="AW5" s="137"/>
      <c r="AX5" s="137"/>
      <c r="AY5" s="137"/>
      <c r="AZ5" s="137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</row>
    <row r="6" spans="1:67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 t="shared" si="0"/>
        <v>5641.2</v>
      </c>
      <c r="I6" s="137"/>
      <c r="J6" s="137"/>
      <c r="K6" s="137"/>
      <c r="L6" s="137"/>
      <c r="M6" s="137"/>
      <c r="N6" s="137"/>
      <c r="O6" s="137"/>
      <c r="P6" s="137"/>
      <c r="Q6" s="137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  <c r="AS6" s="137"/>
      <c r="AT6" s="137"/>
      <c r="AU6" s="137"/>
      <c r="AV6" s="137"/>
      <c r="AW6" s="137"/>
      <c r="AX6" s="137"/>
      <c r="AY6" s="137"/>
      <c r="AZ6" s="137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</row>
    <row r="7" spans="1:67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si="0"/>
        <v>2488.75</v>
      </c>
      <c r="I7" s="137"/>
      <c r="J7" s="137"/>
      <c r="K7" s="137"/>
      <c r="L7" s="137"/>
      <c r="M7" s="137"/>
      <c r="N7" s="137"/>
      <c r="O7" s="137"/>
      <c r="P7" s="137"/>
      <c r="Q7" s="137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  <c r="AD7" s="137"/>
      <c r="AE7" s="137"/>
      <c r="AF7" s="137"/>
      <c r="AG7" s="137"/>
      <c r="AH7" s="137"/>
      <c r="AI7" s="137"/>
      <c r="AJ7" s="137"/>
      <c r="AK7" s="137"/>
      <c r="AL7" s="137"/>
      <c r="AM7" s="137"/>
      <c r="AN7" s="137"/>
      <c r="AO7" s="137"/>
      <c r="AP7" s="137"/>
      <c r="AQ7" s="137"/>
      <c r="AR7" s="137"/>
      <c r="AS7" s="137"/>
      <c r="AT7" s="137"/>
      <c r="AU7" s="137"/>
      <c r="AV7" s="137"/>
      <c r="AW7" s="137"/>
      <c r="AX7" s="137"/>
      <c r="AY7" s="137"/>
      <c r="AZ7" s="137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</row>
    <row r="8" spans="1:67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37"/>
      <c r="J8" s="137"/>
      <c r="K8" s="137"/>
      <c r="L8" s="137"/>
      <c r="M8" s="137"/>
      <c r="N8" s="137"/>
      <c r="O8" s="137"/>
      <c r="P8" s="137"/>
      <c r="Q8" s="137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  <c r="AD8" s="137"/>
      <c r="AE8" s="137"/>
      <c r="AF8" s="137"/>
      <c r="AG8" s="137"/>
      <c r="AH8" s="137"/>
      <c r="AI8" s="137"/>
      <c r="AJ8" s="137"/>
      <c r="AK8" s="137"/>
      <c r="AL8" s="137"/>
      <c r="AM8" s="137"/>
      <c r="AN8" s="137"/>
      <c r="AO8" s="137"/>
      <c r="AP8" s="137"/>
      <c r="AQ8" s="137"/>
      <c r="AR8" s="137"/>
      <c r="AS8" s="137"/>
      <c r="AT8" s="137"/>
      <c r="AU8" s="137"/>
      <c r="AV8" s="137"/>
      <c r="AW8" s="137"/>
      <c r="AX8" s="137"/>
      <c r="AY8" s="137"/>
      <c r="AZ8" s="137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</row>
    <row r="9" spans="1:67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</row>
    <row r="10" spans="1:67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37"/>
      <c r="J10" s="137"/>
      <c r="K10" s="137"/>
      <c r="L10" s="137"/>
      <c r="M10" s="137"/>
      <c r="N10" s="137"/>
      <c r="O10" s="137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</row>
    <row r="11" spans="1:67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37"/>
      <c r="J11" s="137"/>
      <c r="K11" s="137"/>
      <c r="L11" s="137"/>
      <c r="M11" s="137"/>
      <c r="N11" s="137"/>
      <c r="O11" s="137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</row>
    <row r="12" spans="1:67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37"/>
      <c r="J12" s="137"/>
      <c r="K12" s="137"/>
      <c r="L12" s="137"/>
      <c r="M12" s="137"/>
      <c r="N12" s="137"/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</row>
    <row r="13" spans="1:67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37"/>
      <c r="J13" s="137"/>
      <c r="K13" s="137"/>
      <c r="L13" s="137"/>
      <c r="M13" s="137"/>
      <c r="N13" s="137"/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</row>
    <row r="14" spans="1:67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</row>
    <row r="15" spans="1:67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37"/>
      <c r="J15" s="137"/>
      <c r="K15" s="137"/>
      <c r="L15" s="137"/>
      <c r="M15" s="137"/>
      <c r="N15" s="137"/>
      <c r="O15" s="137"/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</row>
    <row r="16" spans="1:67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</row>
    <row r="17" spans="1:69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37"/>
      <c r="J17" s="137"/>
      <c r="K17" s="137"/>
      <c r="L17" s="137"/>
      <c r="M17" s="137"/>
      <c r="N17" s="137"/>
      <c r="O17" s="137"/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</row>
    <row r="18" spans="1:69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37"/>
      <c r="J18" s="137"/>
      <c r="K18" s="137"/>
      <c r="L18" s="137"/>
      <c r="M18" s="137"/>
      <c r="N18" s="137"/>
      <c r="O18" s="137"/>
      <c r="P18" s="137"/>
      <c r="Q18" s="137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  <c r="AD18" s="137"/>
      <c r="AE18" s="137"/>
      <c r="AF18" s="137"/>
      <c r="AG18" s="137"/>
      <c r="AH18" s="137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  <c r="AS18" s="137"/>
      <c r="AT18" s="137"/>
      <c r="AU18" s="137"/>
      <c r="AV18" s="137"/>
      <c r="AW18" s="137"/>
      <c r="AX18" s="137"/>
      <c r="AY18" s="137"/>
      <c r="AZ18" s="137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</row>
    <row r="19" spans="1:69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37"/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  <c r="AD19" s="137"/>
      <c r="AE19" s="137"/>
      <c r="AF19" s="137"/>
      <c r="AG19" s="137"/>
      <c r="AH19" s="137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  <c r="AS19" s="137"/>
      <c r="AT19" s="137"/>
      <c r="AU19" s="137"/>
      <c r="AV19" s="137"/>
      <c r="AW19" s="137"/>
      <c r="AX19" s="137"/>
      <c r="AY19" s="137"/>
      <c r="AZ19" s="137"/>
      <c r="BA19" s="137"/>
      <c r="BB19" s="137"/>
      <c r="BC19" s="137"/>
      <c r="BD19" s="137"/>
      <c r="BE19" s="137"/>
      <c r="BF19" s="137"/>
      <c r="BG19" s="137"/>
      <c r="BH19" s="137"/>
      <c r="BI19" s="137"/>
      <c r="BJ19" s="137"/>
      <c r="BK19" s="137"/>
      <c r="BL19" s="137"/>
      <c r="BM19" s="137"/>
      <c r="BN19" s="137"/>
      <c r="BO19" s="137"/>
    </row>
    <row r="20" spans="1:69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</row>
    <row r="21" spans="1:69" ht="15.75" thickBot="1">
      <c r="A21" s="303" t="s">
        <v>89</v>
      </c>
      <c r="B21" s="303"/>
      <c r="C21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2</v>
      </c>
      <c r="Q21" s="156" t="s">
        <v>95</v>
      </c>
      <c r="R21" s="154"/>
      <c r="S21" s="154"/>
      <c r="T21" s="154"/>
      <c r="U21" s="154"/>
      <c r="V21">
        <v>2</v>
      </c>
      <c r="W21" s="154" t="s">
        <v>211</v>
      </c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</row>
    <row r="22" spans="1:69" ht="58.5" thickTop="1" thickBot="1">
      <c r="A22" s="159" t="s">
        <v>155</v>
      </c>
      <c r="B22" s="159" t="s">
        <v>49</v>
      </c>
      <c r="C22" s="159" t="s">
        <v>156</v>
      </c>
      <c r="D22" s="159" t="s">
        <v>51</v>
      </c>
      <c r="E22" s="159" t="s">
        <v>52</v>
      </c>
      <c r="F22" s="159" t="s">
        <v>53</v>
      </c>
      <c r="G22" s="159" t="s">
        <v>54</v>
      </c>
      <c r="H22" s="159" t="s">
        <v>55</v>
      </c>
      <c r="I22" s="160" t="s">
        <v>97</v>
      </c>
      <c r="J22" s="160" t="s">
        <v>99</v>
      </c>
      <c r="K22" s="160" t="s">
        <v>98</v>
      </c>
      <c r="L22" s="161" t="s">
        <v>100</v>
      </c>
      <c r="M22" s="161" t="s">
        <v>101</v>
      </c>
      <c r="N22" s="161" t="s">
        <v>104</v>
      </c>
      <c r="O22" s="161" t="s">
        <v>105</v>
      </c>
      <c r="P22" s="161" t="s">
        <v>102</v>
      </c>
      <c r="Q22" s="161" t="s">
        <v>103</v>
      </c>
      <c r="R22" s="160" t="s">
        <v>106</v>
      </c>
      <c r="S22" s="159" t="s">
        <v>158</v>
      </c>
      <c r="T22" s="159" t="s">
        <v>108</v>
      </c>
      <c r="U22" s="162" t="s">
        <v>159</v>
      </c>
      <c r="V22" s="162" t="s">
        <v>110</v>
      </c>
      <c r="W22" s="162" t="s">
        <v>111</v>
      </c>
      <c r="X22" s="162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164" t="s">
        <v>114</v>
      </c>
      <c r="AD22" s="164" t="s">
        <v>115</v>
      </c>
      <c r="AE22" s="164" t="s">
        <v>116</v>
      </c>
      <c r="AF22" s="164" t="s">
        <v>117</v>
      </c>
      <c r="AG22" s="164" t="s">
        <v>118</v>
      </c>
      <c r="AH22" s="164" t="s">
        <v>119</v>
      </c>
      <c r="AI22" s="164" t="s">
        <v>120</v>
      </c>
      <c r="AJ22" s="164" t="s">
        <v>121</v>
      </c>
      <c r="AK22" s="164" t="s">
        <v>122</v>
      </c>
      <c r="AL22" s="164" t="s">
        <v>123</v>
      </c>
      <c r="AM22" s="164" t="s">
        <v>124</v>
      </c>
      <c r="AN22" s="164" t="s">
        <v>125</v>
      </c>
      <c r="AO22" s="164" t="s">
        <v>126</v>
      </c>
      <c r="AP22" s="164" t="s">
        <v>127</v>
      </c>
      <c r="AQ22" s="164" t="s">
        <v>128</v>
      </c>
      <c r="AR22" s="165" t="s">
        <v>160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69" ht="15.75" thickBot="1">
      <c r="A23" s="169">
        <v>1</v>
      </c>
      <c r="B23" s="169" t="s">
        <v>541</v>
      </c>
      <c r="C23" s="169" t="s">
        <v>162</v>
      </c>
      <c r="D23" s="169" t="s">
        <v>58</v>
      </c>
      <c r="E23" s="169" t="s">
        <v>163</v>
      </c>
      <c r="F23" s="170">
        <v>1</v>
      </c>
      <c r="G23" t="s">
        <v>254</v>
      </c>
      <c r="H23" s="170">
        <f>F23*G23</f>
        <v>500</v>
      </c>
      <c r="I23" t="s">
        <v>263</v>
      </c>
      <c r="J23" s="170">
        <v>1</v>
      </c>
      <c r="K23" s="170">
        <v>1</v>
      </c>
      <c r="L23" s="170">
        <f>H23</f>
        <v>500</v>
      </c>
      <c r="M23" s="170">
        <f>ROUND(L23*I23%,2)</f>
        <v>15</v>
      </c>
      <c r="N23" s="170">
        <f>H23-M23</f>
        <v>485</v>
      </c>
      <c r="O23" s="170">
        <f>ROUND(N23*J23%,2)</f>
        <v>4.8499999999999996</v>
      </c>
      <c r="P23" s="170">
        <f>ROUND(N23-O23,2)</f>
        <v>480.15</v>
      </c>
      <c r="Q23" s="170">
        <f>ROUND(P23*K23%,2)</f>
        <v>4.8</v>
      </c>
      <c r="R23" s="170">
        <f>ROUND((M23+O23+Q23),2)</f>
        <v>24.65</v>
      </c>
      <c r="S23" s="170">
        <f>ROUND((H23-R23),2)</f>
        <v>475.35</v>
      </c>
      <c r="T23" s="171" t="s">
        <v>146</v>
      </c>
      <c r="U23" s="172">
        <v>0.18</v>
      </c>
      <c r="V23" s="170">
        <f>IF(OR($C$21=1,$C$21=4),ROUND(((S23*U23)/2),2),0)</f>
        <v>42.78</v>
      </c>
      <c r="W23" s="170">
        <f>IF($C$21=1,ROUND(((S23*U23)/2),2),0)</f>
        <v>42.78</v>
      </c>
      <c r="X23" s="170">
        <f>IF($C$21=2,ROUND(((S23*U23)),2),0)</f>
        <v>0</v>
      </c>
      <c r="Y23" s="170">
        <f>IF($C$21=4,ROUND(((S23*U23)/2),2),0)</f>
        <v>0</v>
      </c>
      <c r="Z23" s="173">
        <v>0</v>
      </c>
      <c r="AA23" s="170">
        <f>IF($C20=3, 0, ROUND(S23*Z23, 2))</f>
        <v>0</v>
      </c>
      <c r="AB23" s="169">
        <f>V23+W23+X23+Y23+AA23</f>
        <v>85.56</v>
      </c>
      <c r="AC23" s="169">
        <f>IF($V21=1,S23+AB23,S23)</f>
        <v>475.35</v>
      </c>
      <c r="AD23" s="171">
        <v>120</v>
      </c>
      <c r="AE23" s="171">
        <f>IF($P$21=1,(S23/$S$24)*$E$35,AD23/$AD$24*$E$35)</f>
        <v>0</v>
      </c>
      <c r="AF23" s="171"/>
      <c r="AG23" s="171">
        <f>IF($P$21=1,(S23/$S$24)*$E$37,AD23/$AD$24*$E$37)</f>
        <v>0</v>
      </c>
      <c r="AH23" s="171">
        <f>IF($P$21=1,(S23/$S$24)*$E$38,AD23/$AD$24*$E$38)</f>
        <v>0</v>
      </c>
      <c r="AI23" s="171">
        <f>S23*$M$21</f>
        <v>475.35</v>
      </c>
      <c r="AJ23" s="171">
        <f>IF($C$21=3,0,AG23+AH23)</f>
        <v>0</v>
      </c>
      <c r="AK23" s="171">
        <f>IF($C$21=3,AE23+AG23+AH23,0)</f>
        <v>0</v>
      </c>
      <c r="AL23" s="174">
        <v>1</v>
      </c>
      <c r="AM23" s="171">
        <f>F23/AL23</f>
        <v>1</v>
      </c>
      <c r="AN23" s="171">
        <f>ROUND(AI23/AM23,5)</f>
        <v>475.35</v>
      </c>
      <c r="AO23" s="171">
        <f>AJ23/AM23</f>
        <v>0</v>
      </c>
      <c r="AP23" s="171">
        <f>AK23/AM23</f>
        <v>0</v>
      </c>
      <c r="AQ23" s="171" t="s">
        <v>58</v>
      </c>
      <c r="AR23" s="171">
        <f>ROUND(AN23+AO23+AP23,5)</f>
        <v>475.35</v>
      </c>
      <c r="AS23" s="175" t="s">
        <v>557</v>
      </c>
      <c r="AT23" s="175" t="s">
        <v>58</v>
      </c>
      <c r="AU23" t="s">
        <v>239</v>
      </c>
      <c r="AV23" t="s">
        <v>559</v>
      </c>
      <c r="AW23" s="175">
        <f>AM23</f>
        <v>1</v>
      </c>
      <c r="AX23" s="175">
        <f>AR23</f>
        <v>475.35</v>
      </c>
      <c r="AY23" s="175">
        <f>AU23+AW23</f>
        <v>1</v>
      </c>
      <c r="AZ23" s="175">
        <f>ROUND(((AU23*AV23)+(AW23*AX23))/(AU23+AW23),5)</f>
        <v>475.35</v>
      </c>
      <c r="BA23" s="85"/>
      <c r="BB23" s="85" t="s">
        <v>149</v>
      </c>
      <c r="BC23" s="95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6" t="s">
        <v>558</v>
      </c>
      <c r="BM23" t="s">
        <v>561</v>
      </c>
      <c r="BN23" t="s">
        <v>560</v>
      </c>
      <c r="BO23" s="175">
        <f>ROUND((((AW23*AZ23)+(BN23*BM23))/(AW23+BN23)),5)</f>
        <v>475.83249000000001</v>
      </c>
      <c r="BP23" s="87">
        <f>BN23+AW23</f>
        <v>20</v>
      </c>
      <c r="BQ23" s="88">
        <v>88363222</v>
      </c>
    </row>
    <row r="24" spans="1:69" ht="15.75" thickBot="1">
      <c r="A24" s="137"/>
      <c r="C24" s="177" t="s">
        <v>87</v>
      </c>
      <c r="D24" s="178"/>
      <c r="E24" s="178"/>
      <c r="F24" s="178"/>
      <c r="G24" s="179"/>
      <c r="H24" s="180">
        <f>SUM(H23)</f>
        <v>500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SUM(R23)</f>
        <v>24.65</v>
      </c>
      <c r="S24" s="180">
        <f>SUM(S23)</f>
        <v>475.35</v>
      </c>
      <c r="T24" s="180"/>
      <c r="U24" s="180"/>
      <c r="V24" s="181">
        <f t="shared" ref="V24:AE24" si="1">SUM(V23)</f>
        <v>42.78</v>
      </c>
      <c r="W24" s="181">
        <f t="shared" si="1"/>
        <v>42.78</v>
      </c>
      <c r="X24" s="181">
        <f t="shared" si="1"/>
        <v>0</v>
      </c>
      <c r="Y24" s="181">
        <f t="shared" si="1"/>
        <v>0</v>
      </c>
      <c r="Z24" s="182">
        <f t="shared" si="1"/>
        <v>0</v>
      </c>
      <c r="AA24" s="181">
        <f t="shared" si="1"/>
        <v>0</v>
      </c>
      <c r="AB24" s="180">
        <f t="shared" si="1"/>
        <v>85.56</v>
      </c>
      <c r="AC24" s="183">
        <f t="shared" si="1"/>
        <v>475.35</v>
      </c>
      <c r="AD24" s="184">
        <f t="shared" si="1"/>
        <v>120</v>
      </c>
      <c r="AE24" s="184">
        <f t="shared" si="1"/>
        <v>0</v>
      </c>
      <c r="AF24" s="183"/>
      <c r="AG24" s="184">
        <f>SUM(AG23)</f>
        <v>0</v>
      </c>
      <c r="AH24" s="184">
        <f>IF($P$21=1,(S24/$S$24)*$E$38,AD24/$AD$24*$E$38)</f>
        <v>0</v>
      </c>
      <c r="AI24" s="184">
        <f>SUM(AI23)</f>
        <v>475.35</v>
      </c>
      <c r="AJ24" s="184">
        <f>SUM(AJ23)</f>
        <v>0</v>
      </c>
      <c r="AK24" s="184">
        <f>SUM(AK23)</f>
        <v>0</v>
      </c>
      <c r="AL24" s="183"/>
      <c r="AM24" s="183"/>
      <c r="AN24" s="183"/>
      <c r="AO24" s="183"/>
      <c r="AP24" s="183"/>
      <c r="AQ24" s="183"/>
      <c r="AR24" s="183"/>
      <c r="AS24" s="137"/>
      <c r="AT24" s="137">
        <f>IF(AC24-INT(AC24) &gt;= 0.5, INT(AC24)+1, INT(AC24))</f>
        <v>475</v>
      </c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</row>
    <row r="25" spans="1:69" ht="15.75" thickBot="1">
      <c r="A25" s="137"/>
      <c r="B25" s="137"/>
      <c r="C25" s="137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  <c r="AT25" s="137"/>
      <c r="AU25" s="137"/>
      <c r="AV25" s="137"/>
      <c r="AW25" s="137"/>
      <c r="AX25" s="137"/>
      <c r="AY25" s="137"/>
      <c r="AZ25" s="137"/>
      <c r="BA25" s="137"/>
      <c r="BB25" s="137"/>
      <c r="BC25" s="137"/>
      <c r="BD25" s="137"/>
      <c r="BE25" s="137"/>
      <c r="BF25" s="137"/>
      <c r="BG25" s="137"/>
      <c r="BH25" s="137"/>
      <c r="BI25" s="137"/>
      <c r="BJ25" s="137"/>
      <c r="BK25" s="137"/>
      <c r="BL25" s="137"/>
      <c r="BM25" s="137"/>
      <c r="BN25" s="137"/>
      <c r="BO25" s="137"/>
    </row>
    <row r="26" spans="1:69" ht="15.75" thickBot="1">
      <c r="A26" s="137"/>
      <c r="B26" s="137"/>
      <c r="C26" s="137"/>
      <c r="D26" s="137"/>
      <c r="E26" s="137"/>
      <c r="F26" s="137"/>
      <c r="G26" s="304" t="s">
        <v>194</v>
      </c>
      <c r="H26" s="305"/>
      <c r="I26" s="306">
        <f>H24</f>
        <v>500</v>
      </c>
      <c r="J26" s="306"/>
      <c r="K26" s="185"/>
      <c r="L26" s="137"/>
      <c r="M26" s="298" t="s">
        <v>195</v>
      </c>
      <c r="N26" s="299"/>
      <c r="O26" s="299"/>
      <c r="P26" s="300"/>
      <c r="Q26" s="137"/>
      <c r="R26" s="137"/>
      <c r="S26" s="137"/>
      <c r="T26" s="137"/>
      <c r="U26" s="137"/>
      <c r="V26" s="137"/>
      <c r="W26" s="137"/>
      <c r="X26" s="137"/>
      <c r="Y26" s="137"/>
      <c r="Z26" s="137"/>
      <c r="AA26" s="137"/>
      <c r="AB26" s="137"/>
      <c r="AC26" s="137"/>
      <c r="AD26" s="137"/>
      <c r="AE26" s="137"/>
      <c r="AF26" s="137"/>
      <c r="AG26" s="137"/>
      <c r="AH26" s="137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  <c r="AS26" s="137"/>
      <c r="AT26" s="137"/>
      <c r="AU26" s="137"/>
      <c r="AV26" s="137"/>
      <c r="AW26" s="137"/>
      <c r="AX26" s="137"/>
      <c r="AY26" s="137"/>
      <c r="AZ26" s="137"/>
      <c r="BA26" s="137"/>
      <c r="BB26" s="137"/>
      <c r="BC26" s="137"/>
      <c r="BD26" s="137"/>
      <c r="BE26" s="137"/>
      <c r="BF26" s="137"/>
      <c r="BG26" s="137"/>
      <c r="BH26" s="137" t="s">
        <v>374</v>
      </c>
      <c r="BI26" s="186" t="s">
        <v>375</v>
      </c>
      <c r="BJ26" s="137"/>
      <c r="BK26" s="137"/>
      <c r="BL26" s="137"/>
      <c r="BM26" s="137"/>
      <c r="BN26" s="137"/>
      <c r="BO26" s="137"/>
    </row>
    <row r="27" spans="1:69" ht="15.75" thickBot="1">
      <c r="A27" s="137"/>
      <c r="B27" s="137"/>
      <c r="C27" s="137"/>
      <c r="D27" s="137"/>
      <c r="E27" s="137"/>
      <c r="F27" s="137"/>
      <c r="G27" s="304" t="s">
        <v>196</v>
      </c>
      <c r="H27" s="305"/>
      <c r="I27" s="306">
        <f>R24</f>
        <v>24.65</v>
      </c>
      <c r="J27" s="306"/>
      <c r="K27" s="137"/>
      <c r="L27" s="137"/>
      <c r="M27" s="187">
        <v>1</v>
      </c>
      <c r="N27" s="187" t="s">
        <v>58</v>
      </c>
      <c r="O27" s="187">
        <v>2</v>
      </c>
      <c r="P27" s="187" t="s">
        <v>163</v>
      </c>
      <c r="Q27" s="137"/>
      <c r="R27" s="137"/>
      <c r="S27" s="137"/>
      <c r="T27" s="137"/>
      <c r="U27" s="137"/>
      <c r="V27" s="137"/>
      <c r="W27" s="137"/>
      <c r="X27" s="137"/>
      <c r="Y27" s="137"/>
      <c r="Z27" s="137"/>
      <c r="AA27" s="137"/>
      <c r="AB27" s="137"/>
      <c r="AC27" s="137"/>
      <c r="AD27" s="137"/>
      <c r="AE27" s="137"/>
      <c r="AF27" s="137"/>
      <c r="AG27" s="137"/>
      <c r="AH27" s="137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  <c r="AS27" s="137"/>
      <c r="AT27" s="137"/>
      <c r="AU27" s="137"/>
      <c r="AV27" s="137"/>
      <c r="AW27" s="137"/>
      <c r="AX27" s="137"/>
      <c r="AY27" s="137"/>
      <c r="AZ27" s="137"/>
      <c r="BA27" s="137"/>
      <c r="BB27" s="137"/>
      <c r="BC27" s="137"/>
      <c r="BD27" s="137"/>
      <c r="BE27" s="137"/>
      <c r="BF27" s="137"/>
      <c r="BG27" s="137"/>
      <c r="BH27" s="137" t="s">
        <v>376</v>
      </c>
      <c r="BI27" s="186" t="s">
        <v>377</v>
      </c>
      <c r="BJ27" s="137"/>
      <c r="BK27" s="137"/>
      <c r="BL27" s="137"/>
      <c r="BM27" s="137"/>
      <c r="BN27" s="137"/>
      <c r="BO27" s="137"/>
    </row>
    <row r="28" spans="1:69" ht="15.75" thickBot="1">
      <c r="A28" s="137"/>
      <c r="B28" s="137"/>
      <c r="C28" s="137"/>
      <c r="D28" s="137"/>
      <c r="E28" s="137"/>
      <c r="F28" s="137"/>
      <c r="G28" s="304" t="s">
        <v>197</v>
      </c>
      <c r="H28" s="305"/>
      <c r="I28" s="306">
        <f>S24</f>
        <v>475.35</v>
      </c>
      <c r="J28" s="306"/>
      <c r="K28" s="137"/>
      <c r="L28" s="137"/>
      <c r="M28" s="169">
        <v>1</v>
      </c>
      <c r="N28" s="169" t="s">
        <v>58</v>
      </c>
      <c r="O28" s="169">
        <v>2.5</v>
      </c>
      <c r="P28" s="169" t="s">
        <v>176</v>
      </c>
      <c r="Q28" s="137"/>
      <c r="R28" s="137"/>
      <c r="S28" s="137"/>
      <c r="T28" s="137"/>
      <c r="U28" s="137"/>
      <c r="V28" s="137"/>
      <c r="W28" s="137"/>
      <c r="X28" s="137"/>
      <c r="Y28" s="137"/>
      <c r="Z28" s="137"/>
      <c r="AA28" s="137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  <c r="AS28" s="137"/>
      <c r="AT28" s="137"/>
      <c r="AU28" s="137"/>
      <c r="AV28" s="137"/>
      <c r="AW28" s="137"/>
      <c r="AX28" s="137"/>
      <c r="AY28" s="137"/>
      <c r="AZ28" s="137"/>
      <c r="BA28" s="137"/>
      <c r="BB28" s="137"/>
      <c r="BC28" s="137"/>
      <c r="BD28" s="137"/>
      <c r="BE28" s="137"/>
      <c r="BF28" s="137"/>
      <c r="BG28" s="137"/>
      <c r="BH28" s="137"/>
      <c r="BI28" s="137"/>
      <c r="BJ28" s="137"/>
      <c r="BK28" s="137"/>
      <c r="BL28" s="137"/>
      <c r="BM28" s="137"/>
      <c r="BN28" s="137"/>
      <c r="BO28" s="137"/>
    </row>
    <row r="29" spans="1:69" ht="15.75" thickBot="1">
      <c r="A29" s="137"/>
      <c r="B29" s="137"/>
      <c r="C29" s="137"/>
      <c r="D29" s="137"/>
      <c r="E29" s="137"/>
      <c r="F29" s="137"/>
      <c r="G29" s="304" t="s">
        <v>198</v>
      </c>
      <c r="H29" s="305"/>
      <c r="I29" s="306">
        <f>AB24</f>
        <v>85.56</v>
      </c>
      <c r="J29" s="306"/>
      <c r="K29" s="137"/>
      <c r="L29" s="137"/>
      <c r="M29" s="169">
        <v>1</v>
      </c>
      <c r="N29" s="169" t="s">
        <v>163</v>
      </c>
      <c r="O29" s="169">
        <v>1E-3</v>
      </c>
      <c r="P29" s="169" t="s">
        <v>185</v>
      </c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7"/>
      <c r="AF29" s="137"/>
      <c r="AG29" s="137"/>
      <c r="AH29" s="137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  <c r="AS29" s="137"/>
      <c r="AT29" s="137"/>
      <c r="AU29" s="137"/>
      <c r="AV29" s="137"/>
      <c r="AW29" s="137"/>
      <c r="AX29" s="137"/>
      <c r="AY29" s="137"/>
      <c r="AZ29" s="137"/>
      <c r="BA29" s="137"/>
      <c r="BB29" s="137"/>
      <c r="BC29" s="137"/>
      <c r="BD29" s="137"/>
      <c r="BE29" s="137"/>
      <c r="BF29" s="137"/>
      <c r="BG29" s="137"/>
      <c r="BH29" s="137"/>
      <c r="BI29" s="137"/>
      <c r="BJ29" s="137"/>
      <c r="BK29" s="137"/>
      <c r="BL29" s="137"/>
      <c r="BM29" s="137"/>
      <c r="BN29" s="137"/>
      <c r="BO29" s="137"/>
    </row>
    <row r="30" spans="1:69" ht="15.75" thickBot="1">
      <c r="A30" s="137"/>
      <c r="B30" s="137"/>
      <c r="C30" s="137"/>
      <c r="D30" s="137"/>
      <c r="E30" s="137"/>
      <c r="F30" s="137"/>
      <c r="G30" s="304" t="s">
        <v>199</v>
      </c>
      <c r="H30" s="305"/>
      <c r="I30" s="307">
        <f>I28+I29</f>
        <v>560.91000000000008</v>
      </c>
      <c r="J30" s="307"/>
      <c r="K30" s="137"/>
      <c r="L30" s="137"/>
      <c r="M30" s="137"/>
      <c r="N30" s="137"/>
      <c r="O30" s="137"/>
      <c r="P30" s="137"/>
      <c r="Q30" s="137"/>
      <c r="R30" s="137"/>
      <c r="S30" s="137"/>
      <c r="T30" s="137"/>
      <c r="U30" s="137"/>
      <c r="V30" s="137"/>
      <c r="W30" s="137"/>
      <c r="X30" s="137"/>
      <c r="Y30" s="137"/>
      <c r="Z30" s="137"/>
      <c r="AA30" s="137"/>
      <c r="AB30" s="137"/>
      <c r="AC30" s="137"/>
      <c r="AD30" s="137"/>
      <c r="AE30" s="137"/>
      <c r="AF30" s="137"/>
      <c r="AG30" s="137"/>
      <c r="AH30" s="137"/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  <c r="AS30" s="137"/>
      <c r="AT30" s="137"/>
      <c r="AU30" s="137"/>
      <c r="AV30" s="137"/>
      <c r="AW30" s="137"/>
      <c r="AX30" s="137"/>
      <c r="AY30" s="137"/>
      <c r="AZ30" s="137"/>
      <c r="BA30" s="137"/>
      <c r="BB30" s="137"/>
      <c r="BC30" s="137"/>
      <c r="BD30" s="137"/>
      <c r="BE30" s="137"/>
      <c r="BF30" s="137"/>
      <c r="BG30" s="137"/>
      <c r="BH30" s="137"/>
      <c r="BI30" s="137"/>
      <c r="BJ30" s="137"/>
      <c r="BK30" s="137"/>
      <c r="BL30" s="137"/>
      <c r="BM30" s="137"/>
      <c r="BN30" s="137"/>
      <c r="BO30" s="137"/>
    </row>
    <row r="31" spans="1:69">
      <c r="A31" s="137"/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7"/>
      <c r="W31" s="137"/>
      <c r="X31" s="137"/>
      <c r="Y31" s="137"/>
      <c r="Z31" s="137"/>
      <c r="AA31" s="137"/>
      <c r="AB31" s="137"/>
      <c r="AC31" s="137"/>
      <c r="AD31" s="137"/>
      <c r="AE31" s="137"/>
      <c r="AF31" s="137"/>
      <c r="AG31" s="137"/>
      <c r="AH31" s="137"/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  <c r="AS31" s="137"/>
      <c r="AT31" s="137"/>
      <c r="AU31" s="137"/>
      <c r="AV31" s="137"/>
      <c r="AW31" s="137"/>
      <c r="AX31" s="137"/>
      <c r="AY31" s="137"/>
      <c r="AZ31" s="137"/>
      <c r="BA31" s="137"/>
      <c r="BB31" s="137"/>
      <c r="BC31" s="137"/>
      <c r="BD31" s="137"/>
      <c r="BE31" s="137"/>
      <c r="BF31" s="137"/>
      <c r="BG31" s="137"/>
      <c r="BH31" s="137"/>
      <c r="BI31" s="137"/>
      <c r="BJ31" s="137"/>
      <c r="BK31" s="137"/>
      <c r="BL31" s="137"/>
      <c r="BM31" s="137" t="s">
        <v>378</v>
      </c>
      <c r="BN31" s="137" t="s">
        <v>379</v>
      </c>
      <c r="BO31" s="137"/>
    </row>
    <row r="32" spans="1:69">
      <c r="A32" s="137"/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137"/>
      <c r="P32" s="137"/>
      <c r="Q32" s="137"/>
      <c r="R32" s="137"/>
      <c r="S32" s="137"/>
      <c r="T32" s="137"/>
      <c r="U32" s="137"/>
      <c r="V32" s="137"/>
      <c r="W32" s="137"/>
      <c r="X32" s="137"/>
      <c r="Y32" s="137"/>
      <c r="Z32" s="137"/>
      <c r="AA32" s="137"/>
      <c r="AB32" s="137"/>
      <c r="AC32" s="137"/>
      <c r="AD32" s="137"/>
      <c r="AE32" s="137"/>
      <c r="AF32" s="137"/>
      <c r="AG32" s="137"/>
      <c r="AH32" s="137"/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  <c r="AS32" s="137"/>
      <c r="AT32" s="137"/>
      <c r="AU32" s="137"/>
      <c r="AV32" s="137"/>
      <c r="AW32" s="137"/>
      <c r="AX32" s="137"/>
      <c r="AY32" s="137"/>
      <c r="AZ32" s="137"/>
      <c r="BA32" s="137"/>
      <c r="BB32" s="137"/>
      <c r="BC32" s="137"/>
      <c r="BD32" s="137"/>
      <c r="BE32" s="137"/>
      <c r="BF32" s="137"/>
      <c r="BG32" s="137"/>
      <c r="BH32" s="137"/>
      <c r="BI32" s="137"/>
      <c r="BJ32" s="137"/>
      <c r="BK32" s="137" t="s">
        <v>380</v>
      </c>
      <c r="BL32" s="137">
        <v>12.5</v>
      </c>
      <c r="BM32" s="137">
        <f>BL34*BL35</f>
        <v>18277.77</v>
      </c>
      <c r="BN32" s="137">
        <f>BL32*BL33</f>
        <v>6092.59</v>
      </c>
      <c r="BO32" s="137"/>
    </row>
    <row r="33" spans="1:67">
      <c r="A33" s="137"/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137"/>
      <c r="P33" s="137"/>
      <c r="Q33" s="137"/>
      <c r="R33" s="137"/>
      <c r="S33" s="137"/>
      <c r="T33" s="137"/>
      <c r="U33" s="137"/>
      <c r="V33" s="137"/>
      <c r="W33" s="137"/>
      <c r="X33" s="137"/>
      <c r="Y33" s="137"/>
      <c r="Z33" s="137"/>
      <c r="AA33" s="137"/>
      <c r="AB33" s="137"/>
      <c r="AC33" s="137"/>
      <c r="AD33" s="137"/>
      <c r="AE33" s="137"/>
      <c r="AF33" s="137"/>
      <c r="AG33" s="137"/>
      <c r="AH33" s="137"/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  <c r="AS33" s="137"/>
      <c r="AT33" s="137"/>
      <c r="AU33" s="137"/>
      <c r="AV33" s="137"/>
      <c r="AW33" s="137"/>
      <c r="AX33" s="137"/>
      <c r="AY33" s="137"/>
      <c r="AZ33" s="137"/>
      <c r="BA33" s="137"/>
      <c r="BB33" s="137"/>
      <c r="BC33" s="137"/>
      <c r="BD33" s="137"/>
      <c r="BE33" s="137"/>
      <c r="BF33" s="137"/>
      <c r="BG33" s="137"/>
      <c r="BH33" s="137"/>
      <c r="BI33" s="137"/>
      <c r="BJ33" s="137"/>
      <c r="BK33" s="137" t="s">
        <v>381</v>
      </c>
      <c r="BL33" s="137">
        <v>487.40719999999999</v>
      </c>
      <c r="BM33" s="137">
        <f>BL32+BL34</f>
        <v>50</v>
      </c>
      <c r="BN33" s="137"/>
      <c r="BO33" s="137"/>
    </row>
    <row r="34" spans="1:67">
      <c r="A34" s="137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7"/>
      <c r="S34" s="137"/>
      <c r="T34" s="137"/>
      <c r="U34" s="137"/>
      <c r="V34" s="137"/>
      <c r="W34" s="137"/>
      <c r="X34" s="137"/>
      <c r="Y34" s="137"/>
      <c r="Z34" s="137"/>
      <c r="AA34" s="137"/>
      <c r="AB34" s="137"/>
      <c r="AC34" s="137"/>
      <c r="AD34" s="137"/>
      <c r="AE34" s="137"/>
      <c r="AF34" s="137"/>
      <c r="AG34" s="137"/>
      <c r="AH34" s="137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  <c r="AS34" s="137"/>
      <c r="AT34" s="137"/>
      <c r="AU34" s="137"/>
      <c r="AV34" s="137"/>
      <c r="AW34" s="137"/>
      <c r="AX34" s="137"/>
      <c r="AY34" s="137"/>
      <c r="AZ34" s="137"/>
      <c r="BA34" s="137"/>
      <c r="BB34" s="137"/>
      <c r="BC34" s="137"/>
      <c r="BD34" s="137"/>
      <c r="BE34" s="137"/>
      <c r="BF34" s="137"/>
      <c r="BG34" s="137"/>
      <c r="BH34" s="137"/>
      <c r="BI34" s="137"/>
      <c r="BJ34" s="137"/>
      <c r="BK34" s="137" t="s">
        <v>382</v>
      </c>
      <c r="BL34" s="137">
        <v>37.5</v>
      </c>
      <c r="BM34" s="137"/>
      <c r="BN34" s="137"/>
      <c r="BO34" s="137"/>
    </row>
    <row r="35" spans="1:67">
      <c r="A35" s="137"/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137"/>
      <c r="P35" s="137"/>
      <c r="Q35" s="137"/>
      <c r="R35" s="137"/>
      <c r="S35" s="137"/>
      <c r="T35" s="137"/>
      <c r="U35" s="137"/>
      <c r="V35" s="137"/>
      <c r="W35" s="137"/>
      <c r="X35" s="137"/>
      <c r="Y35" s="137"/>
      <c r="Z35" s="137"/>
      <c r="AA35" s="137"/>
      <c r="AB35" s="137"/>
      <c r="AC35" s="137"/>
      <c r="AD35" s="137"/>
      <c r="AE35" s="137"/>
      <c r="AF35" s="137"/>
      <c r="AG35" s="137"/>
      <c r="AH35" s="137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  <c r="AS35" s="137"/>
      <c r="AT35" s="137"/>
      <c r="AU35" s="137"/>
      <c r="AV35" s="137"/>
      <c r="AW35" s="137"/>
      <c r="AX35" s="137"/>
      <c r="AY35" s="137"/>
      <c r="AZ35" s="137"/>
      <c r="BA35" s="137"/>
      <c r="BB35" s="137"/>
      <c r="BC35" s="137"/>
      <c r="BD35" s="137"/>
      <c r="BE35" s="137"/>
      <c r="BF35" s="137"/>
      <c r="BG35" s="137"/>
      <c r="BH35" s="137"/>
      <c r="BI35" s="137"/>
      <c r="BJ35" s="137"/>
      <c r="BK35" s="137" t="s">
        <v>383</v>
      </c>
      <c r="BL35" s="137">
        <v>487.40719999999999</v>
      </c>
      <c r="BM35" s="137"/>
      <c r="BN35" s="137"/>
      <c r="BO35" s="137"/>
    </row>
    <row r="36" spans="1:67">
      <c r="A36" s="137"/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7"/>
      <c r="AG36" s="137"/>
      <c r="AH36" s="137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  <c r="AS36" s="137"/>
      <c r="AT36" s="137"/>
      <c r="AU36" s="137"/>
      <c r="AV36" s="137"/>
      <c r="AW36" s="137"/>
      <c r="AX36" s="137"/>
      <c r="AY36" s="137"/>
      <c r="AZ36" s="137"/>
      <c r="BA36" s="137"/>
      <c r="BB36" s="137"/>
      <c r="BC36" s="137"/>
      <c r="BD36" s="137"/>
      <c r="BE36" s="137"/>
      <c r="BF36" s="137"/>
      <c r="BG36" s="137"/>
      <c r="BH36" s="137"/>
      <c r="BI36" s="137"/>
      <c r="BJ36" s="137"/>
      <c r="BK36" s="137"/>
      <c r="BL36" s="137"/>
      <c r="BM36" s="137">
        <f>BM32+BN32</f>
        <v>24370.36</v>
      </c>
      <c r="BN36" s="137">
        <f>BM36/BM33</f>
        <v>487.40719999999999</v>
      </c>
      <c r="BO36" s="137"/>
    </row>
    <row r="37" spans="1:6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137"/>
      <c r="P37" s="137"/>
      <c r="Q37" s="137"/>
      <c r="R37" s="137"/>
      <c r="S37" s="137"/>
      <c r="T37" s="137"/>
      <c r="U37" s="137"/>
      <c r="V37" s="137"/>
      <c r="W37" s="137"/>
      <c r="X37" s="137"/>
      <c r="Y37" s="137"/>
      <c r="Z37" s="137"/>
      <c r="AA37" s="137"/>
      <c r="AB37" s="137"/>
      <c r="AC37" s="137"/>
      <c r="AD37" s="137"/>
      <c r="AE37" s="137"/>
      <c r="AF37" s="137"/>
      <c r="AG37" s="137"/>
      <c r="AH37" s="137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  <c r="AS37" s="137"/>
      <c r="AT37" s="137"/>
      <c r="AU37" s="137"/>
      <c r="AV37" s="137"/>
      <c r="AW37" s="137"/>
      <c r="AX37" s="137"/>
      <c r="AY37" s="137"/>
      <c r="AZ37" s="137"/>
      <c r="BA37" s="137"/>
      <c r="BB37" s="137"/>
      <c r="BC37" s="137"/>
      <c r="BD37" s="137"/>
      <c r="BE37" s="137"/>
      <c r="BF37" s="137"/>
      <c r="BG37" s="137"/>
      <c r="BH37" s="137"/>
      <c r="BI37" s="137"/>
      <c r="BJ37" s="137"/>
      <c r="BK37" s="137"/>
      <c r="BL37" s="137"/>
      <c r="BM37" s="137"/>
      <c r="BN37" s="137"/>
      <c r="BO37" s="137"/>
    </row>
    <row r="38" spans="1:67">
      <c r="A38" s="137"/>
      <c r="B38" s="137"/>
      <c r="C38" s="137"/>
      <c r="D38" s="137"/>
      <c r="E38" s="137"/>
      <c r="F38" s="137"/>
      <c r="G38" s="137"/>
      <c r="H38" s="137"/>
      <c r="I38" s="137"/>
      <c r="J38" s="137"/>
      <c r="K38" s="137"/>
      <c r="L38" s="137"/>
      <c r="M38" s="137"/>
      <c r="N38" s="137"/>
      <c r="O38" s="137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  <c r="AB38" s="137"/>
      <c r="AC38" s="137"/>
      <c r="AD38" s="137"/>
      <c r="AE38" s="137"/>
      <c r="AF38" s="137"/>
      <c r="AG38" s="137"/>
      <c r="AH38" s="137"/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  <c r="AS38" s="137"/>
      <c r="AT38" s="137"/>
      <c r="AU38" s="137"/>
      <c r="AV38" s="137"/>
      <c r="AW38" s="137"/>
      <c r="AX38" s="137"/>
      <c r="AY38" s="137"/>
      <c r="AZ38" s="137"/>
      <c r="BA38" s="137"/>
      <c r="BB38" s="137"/>
      <c r="BC38" s="137"/>
      <c r="BD38" s="137"/>
      <c r="BE38" s="137"/>
      <c r="BF38" s="137"/>
      <c r="BG38" s="137"/>
      <c r="BH38" s="137"/>
      <c r="BI38" s="137"/>
      <c r="BJ38" s="137"/>
      <c r="BK38" s="137"/>
      <c r="BL38" s="137"/>
      <c r="BM38" s="137"/>
      <c r="BN38" s="137"/>
      <c r="BO38" s="137"/>
    </row>
  </sheetData>
  <mergeCells count="14">
    <mergeCell ref="A1:AC1"/>
    <mergeCell ref="B19:G19"/>
    <mergeCell ref="A21:B21"/>
    <mergeCell ref="G26:H26"/>
    <mergeCell ref="I26:J26"/>
    <mergeCell ref="M26:P26"/>
    <mergeCell ref="G30:H30"/>
    <mergeCell ref="I30:J30"/>
    <mergeCell ref="G27:H27"/>
    <mergeCell ref="I27:J27"/>
    <mergeCell ref="G28:H28"/>
    <mergeCell ref="I28:J28"/>
    <mergeCell ref="G29:H29"/>
    <mergeCell ref="I29:J29"/>
  </mergeCells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BR25"/>
  <sheetViews>
    <sheetView topLeftCell="A16" workbookViewId="0">
      <selection activeCell="D17" sqref="D17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08" t="s">
        <v>46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3" t="s">
        <v>89</v>
      </c>
      <c r="B21" s="303"/>
      <c r="C21" s="157">
        <v>1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42.18</v>
      </c>
      <c r="W23" s="170">
        <f>IF($C$21=1,ROUND(((S23*U23)/2),2),0)</f>
        <v>42.18</v>
      </c>
      <c r="X23" s="170">
        <f>IF($C$21=2,ROUND(((S23*U23)),2),0)</f>
        <v>0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42.18</v>
      </c>
      <c r="W24" s="208">
        <f t="shared" si="5"/>
        <v>42.18</v>
      </c>
      <c r="X24" s="208">
        <f t="shared" si="5"/>
        <v>0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BR25"/>
  <sheetViews>
    <sheetView topLeftCell="BL13" workbookViewId="0">
      <selection activeCell="BT23" sqref="BT23"/>
    </sheetView>
  </sheetViews>
  <sheetFormatPr defaultColWidth="9" defaultRowHeight="15"/>
  <cols>
    <col min="2" max="2" width="26.85546875" customWidth="1"/>
    <col min="3" max="3" width="19.28515625" customWidth="1"/>
    <col min="4" max="4" width="80.42578125" customWidth="1"/>
    <col min="5" max="5" width="10.42578125" customWidth="1"/>
    <col min="6" max="6" width="8.28515625" customWidth="1"/>
    <col min="7" max="7" width="10.140625" customWidth="1"/>
    <col min="8" max="8" width="11.85546875" customWidth="1"/>
    <col min="11" max="11" width="6.28515625" customWidth="1"/>
    <col min="29" max="29" width="10.28515625" customWidth="1"/>
    <col min="30" max="30" width="12.85546875" customWidth="1"/>
    <col min="31" max="31" width="8.7109375" customWidth="1"/>
    <col min="35" max="35" width="14.28515625" customWidth="1"/>
    <col min="43" max="43" width="11.85546875" customWidth="1"/>
    <col min="44" max="44" width="23.28515625" customWidth="1"/>
    <col min="46" max="46" width="11.85546875" customWidth="1"/>
    <col min="47" max="47" width="15.28515625" customWidth="1"/>
    <col min="48" max="48" width="20.28515625" customWidth="1"/>
    <col min="49" max="49" width="11.42578125" customWidth="1"/>
    <col min="51" max="51" width="13.85546875" customWidth="1"/>
    <col min="60" max="60" width="12.5703125" customWidth="1"/>
    <col min="61" max="61" width="21.7109375" customWidth="1"/>
    <col min="62" max="63" width="30.5703125" customWidth="1"/>
    <col min="65" max="65" width="41.140625" customWidth="1"/>
    <col min="66" max="66" width="37" customWidth="1"/>
    <col min="67" max="67" width="18.85546875" customWidth="1"/>
    <col min="68" max="68" width="34.42578125" customWidth="1"/>
  </cols>
  <sheetData>
    <row r="1" spans="1:45" ht="18">
      <c r="A1" s="308" t="s">
        <v>46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  <c r="V1" s="308"/>
      <c r="W1" s="308"/>
      <c r="X1" s="308"/>
      <c r="Y1" s="308"/>
      <c r="Z1" s="308"/>
      <c r="AA1" s="308"/>
      <c r="AB1" s="308"/>
      <c r="AC1" s="30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7"/>
      <c r="AS1" s="137"/>
    </row>
    <row r="2" spans="1:45" ht="18.75" thickBot="1">
      <c r="A2" s="138" t="s">
        <v>47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7"/>
      <c r="AS2" s="137"/>
    </row>
    <row r="3" spans="1:45" ht="15.75" thickTop="1">
      <c r="A3" s="139" t="s">
        <v>48</v>
      </c>
      <c r="B3" s="140" t="s">
        <v>49</v>
      </c>
      <c r="C3" s="141" t="s">
        <v>50</v>
      </c>
      <c r="D3" s="140" t="s">
        <v>51</v>
      </c>
      <c r="E3" s="140" t="s">
        <v>52</v>
      </c>
      <c r="F3" s="140" t="s">
        <v>53</v>
      </c>
      <c r="G3" s="140" t="s">
        <v>54</v>
      </c>
      <c r="H3" s="142" t="s">
        <v>55</v>
      </c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7"/>
      <c r="AP3" s="157"/>
      <c r="AQ3" s="157"/>
      <c r="AR3" s="157"/>
      <c r="AS3" s="137"/>
    </row>
    <row r="4" spans="1:45">
      <c r="A4" s="143">
        <v>1</v>
      </c>
      <c r="B4" s="144" t="s">
        <v>56</v>
      </c>
      <c r="C4" s="144" t="s">
        <v>57</v>
      </c>
      <c r="D4" s="144" t="s">
        <v>58</v>
      </c>
      <c r="E4" s="144" t="s">
        <v>58</v>
      </c>
      <c r="F4" s="145">
        <v>25</v>
      </c>
      <c r="G4" s="146">
        <v>257.63</v>
      </c>
      <c r="H4" s="147">
        <f>F4*G4</f>
        <v>6440.75</v>
      </c>
      <c r="I4" s="196"/>
      <c r="J4" s="196"/>
      <c r="K4" s="196"/>
      <c r="L4" s="197"/>
      <c r="M4" s="197"/>
      <c r="N4" s="197"/>
      <c r="O4" s="197"/>
      <c r="P4" s="197"/>
      <c r="Q4" s="197"/>
      <c r="R4" s="197"/>
      <c r="S4" s="197"/>
      <c r="T4" s="197"/>
      <c r="U4" s="196"/>
      <c r="V4" s="196"/>
      <c r="W4" s="196"/>
      <c r="X4" s="196"/>
      <c r="Y4" s="196"/>
      <c r="Z4" s="196"/>
      <c r="AA4" s="196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37"/>
    </row>
    <row r="5" spans="1:45">
      <c r="A5" s="143">
        <v>2</v>
      </c>
      <c r="B5" s="144" t="s">
        <v>59</v>
      </c>
      <c r="C5" s="144" t="s">
        <v>60</v>
      </c>
      <c r="D5" s="144" t="s">
        <v>58</v>
      </c>
      <c r="E5" s="144" t="s">
        <v>58</v>
      </c>
      <c r="F5" s="145">
        <v>35</v>
      </c>
      <c r="G5" s="146">
        <v>125.45</v>
      </c>
      <c r="H5" s="147">
        <f>F5*G5</f>
        <v>4390.75</v>
      </c>
      <c r="I5" s="196"/>
      <c r="J5" s="196"/>
      <c r="K5" s="196"/>
      <c r="L5" s="197"/>
      <c r="M5" s="197"/>
      <c r="N5" s="197"/>
      <c r="O5" s="197"/>
      <c r="P5" s="197"/>
      <c r="Q5" s="197"/>
      <c r="R5" s="197"/>
      <c r="S5" s="197"/>
      <c r="T5" s="197"/>
      <c r="U5" s="196"/>
      <c r="V5" s="196"/>
      <c r="W5" s="196"/>
      <c r="X5" s="196"/>
      <c r="Y5" s="196"/>
      <c r="Z5" s="196"/>
      <c r="AA5" s="196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37"/>
    </row>
    <row r="6" spans="1:45">
      <c r="A6" s="143">
        <v>3</v>
      </c>
      <c r="B6" s="144" t="s">
        <v>61</v>
      </c>
      <c r="C6" s="144" t="s">
        <v>62</v>
      </c>
      <c r="D6" s="144" t="s">
        <v>58</v>
      </c>
      <c r="E6" s="144" t="s">
        <v>58</v>
      </c>
      <c r="F6" s="145">
        <v>45</v>
      </c>
      <c r="G6" s="146">
        <v>125.36</v>
      </c>
      <c r="H6" s="147">
        <f>F6*G6</f>
        <v>5641.2</v>
      </c>
      <c r="I6" s="196"/>
      <c r="J6" s="196"/>
      <c r="K6" s="196"/>
      <c r="L6" s="197"/>
      <c r="M6" s="197"/>
      <c r="N6" s="197"/>
      <c r="O6" s="197"/>
      <c r="P6" s="197"/>
      <c r="Q6" s="197"/>
      <c r="R6" s="197"/>
      <c r="S6" s="197"/>
      <c r="T6" s="197"/>
      <c r="U6" s="196"/>
      <c r="V6" s="196"/>
      <c r="W6" s="196"/>
      <c r="X6" s="196"/>
      <c r="Y6" s="196"/>
      <c r="Z6" s="196"/>
      <c r="AA6" s="196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37"/>
    </row>
    <row r="7" spans="1:45">
      <c r="A7" s="143">
        <v>4</v>
      </c>
      <c r="B7" s="144" t="s">
        <v>63</v>
      </c>
      <c r="C7" s="144" t="s">
        <v>64</v>
      </c>
      <c r="D7" s="144" t="s">
        <v>58</v>
      </c>
      <c r="E7" s="144" t="s">
        <v>58</v>
      </c>
      <c r="F7" s="145">
        <v>55</v>
      </c>
      <c r="G7" s="146">
        <v>45.25</v>
      </c>
      <c r="H7" s="147">
        <f t="shared" ref="H7:H18" si="0">F7*G7</f>
        <v>2488.75</v>
      </c>
      <c r="I7" s="196"/>
      <c r="J7" s="196"/>
      <c r="K7" s="196"/>
      <c r="L7" s="197"/>
      <c r="M7" s="197"/>
      <c r="N7" s="197"/>
      <c r="O7" s="197"/>
      <c r="P7" s="197"/>
      <c r="Q7" s="197"/>
      <c r="R7" s="197"/>
      <c r="S7" s="197"/>
      <c r="T7" s="197"/>
      <c r="U7" s="196"/>
      <c r="V7" s="196"/>
      <c r="W7" s="196"/>
      <c r="X7" s="196"/>
      <c r="Y7" s="196"/>
      <c r="Z7" s="196"/>
      <c r="AA7" s="196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37"/>
    </row>
    <row r="8" spans="1:45">
      <c r="A8" s="143">
        <v>5</v>
      </c>
      <c r="B8" s="144" t="s">
        <v>65</v>
      </c>
      <c r="C8" s="144" t="s">
        <v>66</v>
      </c>
      <c r="D8" s="144" t="s">
        <v>58</v>
      </c>
      <c r="E8" s="144" t="s">
        <v>58</v>
      </c>
      <c r="F8" s="145">
        <v>60</v>
      </c>
      <c r="G8" s="146">
        <v>45.5</v>
      </c>
      <c r="H8" s="147">
        <f t="shared" si="0"/>
        <v>2730</v>
      </c>
      <c r="I8" s="196"/>
      <c r="J8" s="196"/>
      <c r="K8" s="196"/>
      <c r="L8" s="197"/>
      <c r="M8" s="197"/>
      <c r="N8" s="197"/>
      <c r="O8" s="197"/>
      <c r="P8" s="197"/>
      <c r="Q8" s="197"/>
      <c r="R8" s="197"/>
      <c r="S8" s="197"/>
      <c r="T8" s="197"/>
      <c r="U8" s="196"/>
      <c r="V8" s="196"/>
      <c r="W8" s="196"/>
      <c r="X8" s="196"/>
      <c r="Y8" s="196"/>
      <c r="Z8" s="196"/>
      <c r="AA8" s="196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37"/>
    </row>
    <row r="9" spans="1:45">
      <c r="A9" s="143">
        <v>6</v>
      </c>
      <c r="B9" s="144" t="s">
        <v>67</v>
      </c>
      <c r="C9" s="144" t="s">
        <v>68</v>
      </c>
      <c r="D9" s="144" t="s">
        <v>58</v>
      </c>
      <c r="E9" s="144" t="s">
        <v>58</v>
      </c>
      <c r="F9" s="145">
        <v>75</v>
      </c>
      <c r="G9" s="146">
        <v>125.25</v>
      </c>
      <c r="H9" s="147">
        <f t="shared" si="0"/>
        <v>9393.75</v>
      </c>
      <c r="I9" s="196"/>
      <c r="J9" s="196"/>
      <c r="K9" s="196"/>
      <c r="L9" s="197"/>
      <c r="M9" s="197"/>
      <c r="N9" s="197"/>
      <c r="O9" s="197"/>
      <c r="P9" s="197"/>
      <c r="Q9" s="197"/>
      <c r="R9" s="197"/>
      <c r="S9" s="197"/>
      <c r="T9" s="197"/>
      <c r="U9" s="196"/>
      <c r="V9" s="196"/>
      <c r="W9" s="196"/>
      <c r="X9" s="196"/>
      <c r="Y9" s="196"/>
      <c r="Z9" s="196"/>
      <c r="AA9" s="196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37"/>
    </row>
    <row r="10" spans="1:45">
      <c r="A10" s="143">
        <v>7</v>
      </c>
      <c r="B10" s="144" t="s">
        <v>69</v>
      </c>
      <c r="C10" s="144" t="s">
        <v>70</v>
      </c>
      <c r="D10" s="144" t="s">
        <v>58</v>
      </c>
      <c r="E10" s="144" t="s">
        <v>58</v>
      </c>
      <c r="F10" s="145">
        <v>28</v>
      </c>
      <c r="G10" s="146">
        <v>150.5</v>
      </c>
      <c r="H10" s="147">
        <f t="shared" si="0"/>
        <v>4214</v>
      </c>
      <c r="I10" s="196"/>
      <c r="J10" s="196"/>
      <c r="K10" s="196"/>
      <c r="L10" s="197"/>
      <c r="M10" s="197"/>
      <c r="N10" s="197"/>
      <c r="O10" s="197"/>
      <c r="P10" s="197"/>
      <c r="Q10" s="197"/>
      <c r="R10" s="197"/>
      <c r="S10" s="197"/>
      <c r="T10" s="197"/>
      <c r="U10" s="196"/>
      <c r="V10" s="196"/>
      <c r="W10" s="196"/>
      <c r="X10" s="196"/>
      <c r="Y10" s="196"/>
      <c r="Z10" s="196"/>
      <c r="AA10" s="196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37"/>
    </row>
    <row r="11" spans="1:45">
      <c r="A11" s="143">
        <v>8</v>
      </c>
      <c r="B11" s="144" t="s">
        <v>71</v>
      </c>
      <c r="C11" s="144" t="s">
        <v>72</v>
      </c>
      <c r="D11" s="144" t="s">
        <v>58</v>
      </c>
      <c r="E11" s="144" t="s">
        <v>58</v>
      </c>
      <c r="F11" s="145">
        <v>30</v>
      </c>
      <c r="G11" s="146">
        <v>65.319999999999993</v>
      </c>
      <c r="H11" s="147">
        <f t="shared" si="0"/>
        <v>1959.6</v>
      </c>
      <c r="I11" s="196"/>
      <c r="J11" s="196"/>
      <c r="K11" s="196"/>
      <c r="L11" s="197"/>
      <c r="M11" s="197"/>
      <c r="N11" s="197"/>
      <c r="O11" s="197"/>
      <c r="P11" s="197"/>
      <c r="Q11" s="197"/>
      <c r="R11" s="197"/>
      <c r="S11" s="197"/>
      <c r="T11" s="197"/>
      <c r="U11" s="196"/>
      <c r="V11" s="196"/>
      <c r="W11" s="196"/>
      <c r="X11" s="196"/>
      <c r="Y11" s="196"/>
      <c r="Z11" s="196"/>
      <c r="AA11" s="196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37"/>
    </row>
    <row r="12" spans="1:45">
      <c r="A12" s="143">
        <v>9</v>
      </c>
      <c r="B12" s="144" t="s">
        <v>73</v>
      </c>
      <c r="C12" s="144" t="s">
        <v>74</v>
      </c>
      <c r="D12" s="144" t="s">
        <v>58</v>
      </c>
      <c r="E12" s="144" t="s">
        <v>58</v>
      </c>
      <c r="F12" s="145">
        <v>25</v>
      </c>
      <c r="G12" s="146">
        <v>74.89</v>
      </c>
      <c r="H12" s="147">
        <f t="shared" si="0"/>
        <v>1872.25</v>
      </c>
      <c r="I12" s="196"/>
      <c r="J12" s="196"/>
      <c r="K12" s="196"/>
      <c r="L12" s="197"/>
      <c r="M12" s="197"/>
      <c r="N12" s="197"/>
      <c r="O12" s="197"/>
      <c r="P12" s="197"/>
      <c r="Q12" s="197"/>
      <c r="R12" s="197"/>
      <c r="S12" s="197"/>
      <c r="T12" s="197"/>
      <c r="U12" s="196"/>
      <c r="V12" s="196"/>
      <c r="W12" s="196"/>
      <c r="X12" s="196"/>
      <c r="Y12" s="196"/>
      <c r="Z12" s="196"/>
      <c r="AA12" s="196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37"/>
    </row>
    <row r="13" spans="1:45">
      <c r="A13" s="143">
        <v>10</v>
      </c>
      <c r="B13" s="144" t="s">
        <v>75</v>
      </c>
      <c r="C13" s="144" t="s">
        <v>76</v>
      </c>
      <c r="D13" s="144" t="s">
        <v>58</v>
      </c>
      <c r="E13" s="144" t="s">
        <v>58</v>
      </c>
      <c r="F13" s="145">
        <v>28</v>
      </c>
      <c r="G13" s="146">
        <v>89.56</v>
      </c>
      <c r="H13" s="147">
        <f t="shared" si="0"/>
        <v>2507.6800000000003</v>
      </c>
      <c r="I13" s="196"/>
      <c r="J13" s="196"/>
      <c r="K13" s="196"/>
      <c r="L13" s="197"/>
      <c r="M13" s="197"/>
      <c r="N13" s="197"/>
      <c r="O13" s="197"/>
      <c r="P13" s="197"/>
      <c r="Q13" s="197"/>
      <c r="R13" s="197"/>
      <c r="S13" s="197"/>
      <c r="T13" s="197"/>
      <c r="U13" s="196"/>
      <c r="V13" s="196"/>
      <c r="W13" s="196"/>
      <c r="X13" s="196"/>
      <c r="Y13" s="196"/>
      <c r="Z13" s="196"/>
      <c r="AA13" s="196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37"/>
    </row>
    <row r="14" spans="1:45">
      <c r="A14" s="143">
        <v>11</v>
      </c>
      <c r="B14" s="144" t="s">
        <v>77</v>
      </c>
      <c r="C14" s="144" t="s">
        <v>78</v>
      </c>
      <c r="D14" s="144" t="s">
        <v>58</v>
      </c>
      <c r="E14" s="144" t="s">
        <v>58</v>
      </c>
      <c r="F14" s="145">
        <v>37</v>
      </c>
      <c r="G14" s="146">
        <v>89.54</v>
      </c>
      <c r="H14" s="147">
        <f t="shared" si="0"/>
        <v>3312.98</v>
      </c>
      <c r="I14" s="196"/>
      <c r="J14" s="196"/>
      <c r="K14" s="196"/>
      <c r="L14" s="197"/>
      <c r="M14" s="197"/>
      <c r="N14" s="197"/>
      <c r="O14" s="197"/>
      <c r="P14" s="197"/>
      <c r="Q14" s="197"/>
      <c r="R14" s="197"/>
      <c r="S14" s="197"/>
      <c r="T14" s="197"/>
      <c r="U14" s="196"/>
      <c r="V14" s="196"/>
      <c r="W14" s="196"/>
      <c r="X14" s="196"/>
      <c r="Y14" s="196"/>
      <c r="Z14" s="196"/>
      <c r="AA14" s="196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37"/>
    </row>
    <row r="15" spans="1:45">
      <c r="A15" s="143">
        <v>12</v>
      </c>
      <c r="B15" s="144" t="s">
        <v>79</v>
      </c>
      <c r="C15" s="144" t="s">
        <v>80</v>
      </c>
      <c r="D15" s="144" t="s">
        <v>58</v>
      </c>
      <c r="E15" s="144" t="s">
        <v>58</v>
      </c>
      <c r="F15" s="145">
        <v>39</v>
      </c>
      <c r="G15" s="146">
        <v>98.25</v>
      </c>
      <c r="H15" s="147">
        <f t="shared" si="0"/>
        <v>3831.75</v>
      </c>
      <c r="I15" s="196"/>
      <c r="J15" s="196"/>
      <c r="K15" s="196"/>
      <c r="L15" s="197"/>
      <c r="M15" s="197"/>
      <c r="N15" s="197"/>
      <c r="O15" s="197"/>
      <c r="P15" s="197"/>
      <c r="Q15" s="197"/>
      <c r="R15" s="197"/>
      <c r="S15" s="197"/>
      <c r="T15" s="197"/>
      <c r="U15" s="196"/>
      <c r="V15" s="196"/>
      <c r="W15" s="196"/>
      <c r="X15" s="196"/>
      <c r="Y15" s="196"/>
      <c r="Z15" s="196"/>
      <c r="AA15" s="196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37"/>
    </row>
    <row r="16" spans="1:45">
      <c r="A16" s="143">
        <v>13</v>
      </c>
      <c r="B16" s="144" t="s">
        <v>81</v>
      </c>
      <c r="C16" s="144" t="s">
        <v>82</v>
      </c>
      <c r="D16" s="144" t="s">
        <v>58</v>
      </c>
      <c r="E16" s="144" t="s">
        <v>58</v>
      </c>
      <c r="F16" s="145">
        <v>70</v>
      </c>
      <c r="G16" s="146">
        <v>102.25</v>
      </c>
      <c r="H16" s="147">
        <f t="shared" si="0"/>
        <v>7157.5</v>
      </c>
      <c r="I16" s="196"/>
      <c r="J16" s="196"/>
      <c r="K16" s="196"/>
      <c r="L16" s="197"/>
      <c r="M16" s="197"/>
      <c r="N16" s="197"/>
      <c r="O16" s="197"/>
      <c r="P16" s="197"/>
      <c r="Q16" s="197"/>
      <c r="R16" s="197"/>
      <c r="S16" s="197"/>
      <c r="T16" s="197"/>
      <c r="U16" s="196"/>
      <c r="V16" s="196"/>
      <c r="W16" s="196"/>
      <c r="X16" s="196"/>
      <c r="Y16" s="196"/>
      <c r="Z16" s="196"/>
      <c r="AA16" s="196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37"/>
    </row>
    <row r="17" spans="1:70">
      <c r="A17" s="143">
        <v>14</v>
      </c>
      <c r="B17" s="144" t="s">
        <v>83</v>
      </c>
      <c r="C17" s="144" t="s">
        <v>84</v>
      </c>
      <c r="D17" s="144" t="s">
        <v>58</v>
      </c>
      <c r="E17" s="144" t="s">
        <v>58</v>
      </c>
      <c r="F17" s="145">
        <v>100</v>
      </c>
      <c r="G17" s="146">
        <v>103.5</v>
      </c>
      <c r="H17" s="147">
        <f t="shared" si="0"/>
        <v>10350</v>
      </c>
      <c r="I17" s="196"/>
      <c r="J17" s="196"/>
      <c r="K17" s="196"/>
      <c r="L17" s="197"/>
      <c r="M17" s="197"/>
      <c r="N17" s="197"/>
      <c r="O17" s="197"/>
      <c r="P17" s="197"/>
      <c r="Q17" s="197"/>
      <c r="R17" s="197"/>
      <c r="S17" s="198"/>
      <c r="T17" s="197"/>
      <c r="U17" s="196"/>
      <c r="V17" s="196"/>
      <c r="W17" s="196"/>
      <c r="X17" s="196"/>
      <c r="Y17" s="196"/>
      <c r="Z17" s="196"/>
      <c r="AA17" s="196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37"/>
    </row>
    <row r="18" spans="1:70" ht="15.75" thickBot="1">
      <c r="A18" s="148">
        <v>15</v>
      </c>
      <c r="B18" s="149" t="s">
        <v>85</v>
      </c>
      <c r="C18" s="149" t="s">
        <v>86</v>
      </c>
      <c r="D18" s="149" t="s">
        <v>58</v>
      </c>
      <c r="E18" s="149" t="s">
        <v>58</v>
      </c>
      <c r="F18" s="150">
        <v>85</v>
      </c>
      <c r="G18" s="151">
        <v>65.48</v>
      </c>
      <c r="H18" s="152">
        <f t="shared" si="0"/>
        <v>5565.8</v>
      </c>
      <c r="I18" s="196"/>
      <c r="J18" s="196"/>
      <c r="K18" s="196"/>
      <c r="L18" s="197"/>
      <c r="M18" s="197"/>
      <c r="N18" s="197"/>
      <c r="O18" s="197"/>
      <c r="P18" s="197"/>
      <c r="Q18" s="197"/>
      <c r="R18" s="197"/>
      <c r="S18" s="197"/>
      <c r="T18" s="197"/>
      <c r="U18" s="196"/>
      <c r="V18" s="196"/>
      <c r="W18" s="196"/>
      <c r="X18" s="196"/>
      <c r="Y18" s="196"/>
      <c r="Z18" s="196"/>
      <c r="AA18" s="196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37"/>
    </row>
    <row r="19" spans="1:70" ht="15.75" thickTop="1">
      <c r="A19" s="137"/>
      <c r="B19" s="302" t="s">
        <v>87</v>
      </c>
      <c r="C19" s="302"/>
      <c r="D19" s="302"/>
      <c r="E19" s="302"/>
      <c r="F19" s="302"/>
      <c r="G19" s="302"/>
      <c r="H19" s="153">
        <f>SUM(H4:H18)</f>
        <v>71856.759999999995</v>
      </c>
      <c r="I19" s="199"/>
      <c r="J19" s="199"/>
      <c r="K19" s="199"/>
      <c r="L19" s="199"/>
      <c r="M19" s="199"/>
      <c r="N19" s="199"/>
      <c r="O19" s="199"/>
      <c r="P19" s="199"/>
      <c r="Q19" s="199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  <c r="AG19" s="154"/>
      <c r="AH19" s="154"/>
      <c r="AI19" s="154"/>
      <c r="AJ19" s="154"/>
      <c r="AK19" s="154"/>
      <c r="AL19" s="154"/>
      <c r="AM19" s="154"/>
      <c r="AN19" s="154"/>
      <c r="AO19" s="154"/>
      <c r="AP19" s="154"/>
      <c r="AQ19" s="154"/>
      <c r="AR19" s="154"/>
      <c r="AS19" s="137"/>
    </row>
    <row r="20" spans="1:70">
      <c r="A20" s="154" t="s">
        <v>88</v>
      </c>
      <c r="B20" s="155"/>
      <c r="C20" s="155"/>
      <c r="D20" s="155"/>
      <c r="E20" s="155"/>
      <c r="F20" s="155"/>
      <c r="G20" s="155"/>
      <c r="H20" s="154"/>
      <c r="I20" s="156"/>
      <c r="J20" s="156"/>
      <c r="K20" s="156"/>
      <c r="L20" s="156"/>
      <c r="M20" s="156"/>
      <c r="N20" s="156"/>
      <c r="O20" s="156"/>
      <c r="P20" s="156"/>
      <c r="Q20" s="156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  <c r="AG20" s="154"/>
      <c r="AH20" s="154"/>
      <c r="AI20" s="154"/>
      <c r="AJ20" s="154"/>
      <c r="AK20" s="154"/>
      <c r="AL20" s="154"/>
      <c r="AM20" s="154"/>
      <c r="AN20" s="154"/>
      <c r="AO20" s="154"/>
      <c r="AP20" s="154"/>
      <c r="AQ20" s="154"/>
      <c r="AR20" s="154"/>
      <c r="AS20" s="137"/>
    </row>
    <row r="21" spans="1:70" ht="15.75" thickBot="1">
      <c r="A21" s="303" t="s">
        <v>89</v>
      </c>
      <c r="B21" s="303"/>
      <c r="C21" s="157">
        <v>2</v>
      </c>
      <c r="D21" s="158" t="s">
        <v>210</v>
      </c>
      <c r="E21" s="155"/>
      <c r="F21" s="155"/>
      <c r="G21" s="155"/>
      <c r="H21" s="154"/>
      <c r="I21" s="156" t="s">
        <v>91</v>
      </c>
      <c r="J21" s="156" t="s">
        <v>92</v>
      </c>
      <c r="K21" s="156"/>
      <c r="L21" s="156" t="s">
        <v>93</v>
      </c>
      <c r="M21" s="156">
        <v>1</v>
      </c>
      <c r="N21" s="156"/>
      <c r="O21" s="156" t="s">
        <v>94</v>
      </c>
      <c r="P21" s="156">
        <v>1</v>
      </c>
      <c r="Q21" s="156" t="s">
        <v>95</v>
      </c>
      <c r="R21" s="154"/>
      <c r="S21" s="154"/>
      <c r="T21" s="154"/>
      <c r="U21" s="154"/>
      <c r="V21" s="154">
        <v>1</v>
      </c>
      <c r="W21" s="154" t="s">
        <v>211</v>
      </c>
      <c r="X21" s="154"/>
      <c r="Y21" s="154"/>
      <c r="Z21" s="154"/>
      <c r="AA21" s="154"/>
      <c r="AB21" s="154"/>
      <c r="AC21" s="154"/>
      <c r="AD21" s="154"/>
      <c r="AE21" s="154"/>
      <c r="AF21" s="154"/>
      <c r="AG21" s="154"/>
      <c r="AH21" s="154"/>
      <c r="AI21" s="154"/>
      <c r="AJ21" s="154"/>
      <c r="AK21" s="154"/>
      <c r="AL21" s="154"/>
      <c r="AM21" s="154"/>
      <c r="AN21" s="154"/>
      <c r="AO21" s="154"/>
      <c r="AP21" s="154"/>
      <c r="AQ21" s="154"/>
      <c r="AR21" s="154"/>
      <c r="AS21" s="137"/>
    </row>
    <row r="22" spans="1:70" ht="58.5" thickTop="1" thickBot="1">
      <c r="A22" s="200" t="s">
        <v>48</v>
      </c>
      <c r="B22" s="200" t="s">
        <v>49</v>
      </c>
      <c r="C22" s="201" t="s">
        <v>50</v>
      </c>
      <c r="D22" s="200" t="s">
        <v>51</v>
      </c>
      <c r="E22" s="200" t="s">
        <v>52</v>
      </c>
      <c r="F22" s="202" t="s">
        <v>96</v>
      </c>
      <c r="G22" s="200" t="s">
        <v>54</v>
      </c>
      <c r="H22" s="200" t="s">
        <v>55</v>
      </c>
      <c r="I22" s="203" t="s">
        <v>97</v>
      </c>
      <c r="J22" s="203" t="s">
        <v>98</v>
      </c>
      <c r="K22" s="203" t="s">
        <v>99</v>
      </c>
      <c r="L22" s="204" t="s">
        <v>100</v>
      </c>
      <c r="M22" s="204" t="s">
        <v>101</v>
      </c>
      <c r="N22" s="204" t="s">
        <v>102</v>
      </c>
      <c r="O22" s="204" t="s">
        <v>103</v>
      </c>
      <c r="P22" s="204" t="s">
        <v>104</v>
      </c>
      <c r="Q22" s="204" t="s">
        <v>105</v>
      </c>
      <c r="R22" s="203" t="s">
        <v>106</v>
      </c>
      <c r="S22" s="200" t="s">
        <v>107</v>
      </c>
      <c r="T22" s="200" t="s">
        <v>108</v>
      </c>
      <c r="U22" s="163" t="s">
        <v>109</v>
      </c>
      <c r="V22" s="163" t="s">
        <v>110</v>
      </c>
      <c r="W22" s="163" t="s">
        <v>111</v>
      </c>
      <c r="X22" s="163" t="s">
        <v>112</v>
      </c>
      <c r="Y22" s="163" t="s">
        <v>212</v>
      </c>
      <c r="Z22" s="163" t="s">
        <v>213</v>
      </c>
      <c r="AA22" s="163" t="s">
        <v>214</v>
      </c>
      <c r="AB22" s="163" t="s">
        <v>113</v>
      </c>
      <c r="AC22" s="205" t="s">
        <v>114</v>
      </c>
      <c r="AD22" s="205" t="s">
        <v>115</v>
      </c>
      <c r="AE22" s="206" t="s">
        <v>116</v>
      </c>
      <c r="AF22" s="206" t="s">
        <v>117</v>
      </c>
      <c r="AG22" s="206" t="s">
        <v>118</v>
      </c>
      <c r="AH22" s="205" t="s">
        <v>119</v>
      </c>
      <c r="AI22" s="205" t="s">
        <v>120</v>
      </c>
      <c r="AJ22" s="206" t="s">
        <v>121</v>
      </c>
      <c r="AK22" s="206" t="s">
        <v>122</v>
      </c>
      <c r="AL22" s="205" t="s">
        <v>123</v>
      </c>
      <c r="AM22" s="205" t="s">
        <v>124</v>
      </c>
      <c r="AN22" s="206" t="s">
        <v>125</v>
      </c>
      <c r="AO22" s="206" t="s">
        <v>126</v>
      </c>
      <c r="AP22" s="206" t="s">
        <v>127</v>
      </c>
      <c r="AQ22" s="205" t="s">
        <v>128</v>
      </c>
      <c r="AR22" s="207" t="s">
        <v>129</v>
      </c>
      <c r="AS22" s="140" t="s">
        <v>215</v>
      </c>
      <c r="AT22" s="140" t="s">
        <v>128</v>
      </c>
      <c r="AU22" s="166" t="s">
        <v>131</v>
      </c>
      <c r="AV22" s="166" t="s">
        <v>132</v>
      </c>
      <c r="AW22" s="166" t="s">
        <v>133</v>
      </c>
      <c r="AX22" s="166" t="s">
        <v>134</v>
      </c>
      <c r="AY22" s="166" t="s">
        <v>135</v>
      </c>
      <c r="AZ22" s="166" t="s">
        <v>136</v>
      </c>
      <c r="BA22" s="166" t="s">
        <v>137</v>
      </c>
      <c r="BB22" s="166" t="s">
        <v>138</v>
      </c>
      <c r="BC22" s="167" t="s">
        <v>139</v>
      </c>
      <c r="BD22" s="167" t="s">
        <v>8</v>
      </c>
      <c r="BE22" s="167" t="s">
        <v>9</v>
      </c>
      <c r="BF22" s="166" t="s">
        <v>216</v>
      </c>
      <c r="BG22" s="166" t="s">
        <v>140</v>
      </c>
      <c r="BH22" s="166" t="s">
        <v>141</v>
      </c>
      <c r="BI22" s="166" t="s">
        <v>142</v>
      </c>
      <c r="BJ22" s="166" t="s">
        <v>143</v>
      </c>
      <c r="BK22" s="166" t="s">
        <v>144</v>
      </c>
      <c r="BL22" s="166" t="s">
        <v>217</v>
      </c>
      <c r="BM22" s="168" t="s">
        <v>218</v>
      </c>
      <c r="BN22" s="166" t="s">
        <v>219</v>
      </c>
      <c r="BO22" s="166" t="s">
        <v>136</v>
      </c>
      <c r="BP22" s="166" t="s">
        <v>220</v>
      </c>
      <c r="BQ22" s="166" t="s">
        <v>108</v>
      </c>
    </row>
    <row r="23" spans="1:70" ht="15.75" thickBot="1">
      <c r="A23" s="169">
        <v>1</v>
      </c>
      <c r="B23" s="169" t="s">
        <v>33</v>
      </c>
      <c r="C23" s="169" t="s">
        <v>33</v>
      </c>
      <c r="D23" s="169" t="s">
        <v>58</v>
      </c>
      <c r="E23" s="169" t="s">
        <v>58</v>
      </c>
      <c r="F23" s="170">
        <v>2</v>
      </c>
      <c r="G23" s="170">
        <v>250.25</v>
      </c>
      <c r="H23" s="170">
        <f>F23*G23</f>
        <v>500.5</v>
      </c>
      <c r="I23" s="170">
        <v>2.21</v>
      </c>
      <c r="J23" s="170">
        <v>1.79</v>
      </c>
      <c r="K23" s="170">
        <v>2.5</v>
      </c>
      <c r="L23" s="170">
        <f>H23</f>
        <v>500.5</v>
      </c>
      <c r="M23" s="170">
        <f>ROUND(L23*I23%,2)</f>
        <v>11.06</v>
      </c>
      <c r="N23" s="170">
        <f>H23-M23</f>
        <v>489.44</v>
      </c>
      <c r="O23" s="170">
        <f>ROUND(N23*J23%,2)</f>
        <v>8.76</v>
      </c>
      <c r="P23" s="170">
        <f>ROUND(N23-O23,2)</f>
        <v>480.68</v>
      </c>
      <c r="Q23" s="170">
        <f>ROUND(P23*K23%,2)</f>
        <v>12.02</v>
      </c>
      <c r="R23" s="170">
        <f>M23+O23+Q23</f>
        <v>31.84</v>
      </c>
      <c r="S23" s="170">
        <f>(H23-R23)</f>
        <v>468.66</v>
      </c>
      <c r="T23" s="170" t="s">
        <v>146</v>
      </c>
      <c r="U23" s="170">
        <v>0.18</v>
      </c>
      <c r="V23" s="170">
        <f>IF(OR($C$21=1,$C$21=4),ROUND(((S23*U23)/2),2),0)</f>
        <v>0</v>
      </c>
      <c r="W23" s="170">
        <f>IF($C$21=1,ROUND(((S23*U23)/2),2),0)</f>
        <v>0</v>
      </c>
      <c r="X23" s="170">
        <f>IF($C$21=2,ROUND(((S23*U23)),2),0)</f>
        <v>84.36</v>
      </c>
      <c r="Y23" s="170">
        <f>IF($C$21=4,ROUND(((S23*U23)/2),2),0)</f>
        <v>0</v>
      </c>
      <c r="Z23" s="172">
        <v>0</v>
      </c>
      <c r="AA23" s="170">
        <f>IF($C21=3,0,S23*Z23)</f>
        <v>0</v>
      </c>
      <c r="AB23" s="170">
        <f>V23+W23+X23+Y23+AA23</f>
        <v>84.36</v>
      </c>
      <c r="AC23" s="170">
        <f>IF($V21=1,S23+AB23,S23)</f>
        <v>553.02</v>
      </c>
      <c r="AD23" s="170">
        <v>120</v>
      </c>
      <c r="AE23" s="170">
        <f>IF($P$21=1,(S23/$S$24)*$E$35,AD23/$AD$24*$E$35)</f>
        <v>0</v>
      </c>
      <c r="AF23" s="170"/>
      <c r="AG23" s="170">
        <f>IF($P$21=1,(S23/$S$24)*$E$37,AD23/$AD$24*$E$37)</f>
        <v>0</v>
      </c>
      <c r="AH23" s="170">
        <f>IF($P$21=1,(S23/$S$24)*$E$37,AD23/$AD$24*$E$37)</f>
        <v>0</v>
      </c>
      <c r="AI23" s="170">
        <f t="shared" ref="AI23" si="1">S23*$M$21</f>
        <v>468.66</v>
      </c>
      <c r="AJ23" s="170">
        <f t="shared" ref="AJ23" si="2">IF($C$21=3,0,AG23+AH23)</f>
        <v>0</v>
      </c>
      <c r="AK23" s="170">
        <f t="shared" ref="AK23" si="3">IF($C$21=3,AE23+AG23+AH23,0)</f>
        <v>0</v>
      </c>
      <c r="AL23" s="170">
        <v>1</v>
      </c>
      <c r="AM23" s="170">
        <f t="shared" ref="AM23" si="4">F23/AL23</f>
        <v>2</v>
      </c>
      <c r="AN23" s="170">
        <f>AI23/AM23</f>
        <v>234.33</v>
      </c>
      <c r="AO23" s="170">
        <f>AJ23/AM23</f>
        <v>0</v>
      </c>
      <c r="AP23" s="170">
        <f>AK23/AM23</f>
        <v>0</v>
      </c>
      <c r="AQ23" s="170" t="s">
        <v>58</v>
      </c>
      <c r="AR23" s="170">
        <f>AN23+AO23+AP23</f>
        <v>234.33</v>
      </c>
      <c r="AS23" s="175" t="s">
        <v>222</v>
      </c>
      <c r="AT23" s="175" t="s">
        <v>58</v>
      </c>
      <c r="AU23" t="s">
        <v>223</v>
      </c>
      <c r="AV23" t="s">
        <v>224</v>
      </c>
      <c r="AW23" s="175">
        <f>AM23</f>
        <v>2</v>
      </c>
      <c r="AX23" s="175">
        <f>AR23</f>
        <v>234.33</v>
      </c>
      <c r="AY23" s="175">
        <f>AU23+AW23</f>
        <v>4</v>
      </c>
      <c r="AZ23" s="175">
        <f>ROUND(((AU23*AV23)+(AW23*AX23))/(AU23+AW23),5)</f>
        <v>234.33</v>
      </c>
      <c r="BA23" s="85"/>
      <c r="BB23" s="85" t="s">
        <v>149</v>
      </c>
      <c r="BC23" s="86" t="s">
        <v>38</v>
      </c>
      <c r="BD23" s="86" t="s">
        <v>30</v>
      </c>
      <c r="BE23" s="86" t="s">
        <v>39</v>
      </c>
      <c r="BF23" s="85"/>
      <c r="BG23" s="85"/>
      <c r="BH23" s="85"/>
      <c r="BI23" s="175"/>
      <c r="BJ23" s="175"/>
      <c r="BK23" s="175"/>
      <c r="BL23" s="175" t="s">
        <v>31</v>
      </c>
      <c r="BM23" t="s">
        <v>225</v>
      </c>
      <c r="BN23" t="s">
        <v>226</v>
      </c>
      <c r="BO23" s="175">
        <f>ROUND((((AW23*AZ23)+(BN23*BM23))/(AW23+BN23)),5)</f>
        <v>3577.4380000000001</v>
      </c>
      <c r="BP23" s="87">
        <f>BN23+AW23</f>
        <v>12</v>
      </c>
      <c r="BQ23" s="88">
        <v>88363222</v>
      </c>
      <c r="BR23" s="87"/>
    </row>
    <row r="24" spans="1:70" ht="15.75" thickBot="1">
      <c r="A24" s="137"/>
      <c r="B24" s="70"/>
      <c r="C24" s="70"/>
      <c r="D24" s="178" t="s">
        <v>87</v>
      </c>
      <c r="E24" s="178"/>
      <c r="F24" s="178"/>
      <c r="G24" s="179"/>
      <c r="H24" s="180">
        <f>SUM(H23:H23)</f>
        <v>500.5</v>
      </c>
      <c r="I24" s="169"/>
      <c r="J24" s="169"/>
      <c r="K24" s="169"/>
      <c r="L24" s="169"/>
      <c r="M24" s="169"/>
      <c r="N24" s="169"/>
      <c r="O24" s="169"/>
      <c r="P24" s="169"/>
      <c r="Q24" s="169"/>
      <c r="R24" s="180">
        <f>SUM(R23:R23)</f>
        <v>31.84</v>
      </c>
      <c r="S24" s="181">
        <f>SUM(S23:S23)</f>
        <v>468.66</v>
      </c>
      <c r="T24" s="180"/>
      <c r="U24" s="180"/>
      <c r="V24" s="208">
        <f t="shared" ref="V24:AE24" si="5">SUM(V23:V23)</f>
        <v>0</v>
      </c>
      <c r="W24" s="208">
        <f t="shared" si="5"/>
        <v>0</v>
      </c>
      <c r="X24" s="208">
        <f t="shared" si="5"/>
        <v>84.36</v>
      </c>
      <c r="Y24" s="208"/>
      <c r="Z24" s="208"/>
      <c r="AA24" s="208"/>
      <c r="AB24" s="180">
        <f t="shared" si="5"/>
        <v>84.36</v>
      </c>
      <c r="AC24" s="183">
        <f t="shared" si="5"/>
        <v>553.02</v>
      </c>
      <c r="AD24" s="184">
        <f t="shared" si="5"/>
        <v>120</v>
      </c>
      <c r="AE24" s="184">
        <f t="shared" si="5"/>
        <v>0</v>
      </c>
      <c r="AF24" s="183"/>
      <c r="AG24" s="184">
        <f>SUM(AG23:AG23)</f>
        <v>0</v>
      </c>
      <c r="AH24" s="184">
        <f>SUM(AH23:AH23)</f>
        <v>0</v>
      </c>
      <c r="AI24" s="184">
        <f>SUM(AI23:AI23)</f>
        <v>468.66</v>
      </c>
      <c r="AJ24" s="184">
        <f>SUM(AJ23:AJ23)</f>
        <v>0</v>
      </c>
      <c r="AK24" s="184">
        <f>SUM(AK23:AK23)</f>
        <v>0</v>
      </c>
      <c r="AL24" s="183"/>
      <c r="AM24" s="183"/>
      <c r="AN24" s="183"/>
      <c r="AO24" s="183"/>
      <c r="AP24" s="183"/>
      <c r="AQ24" s="183"/>
      <c r="AR24" s="183"/>
      <c r="AS24" s="137"/>
    </row>
    <row r="25" spans="1:70">
      <c r="A25" s="137"/>
      <c r="B25" s="70"/>
      <c r="C25" s="70"/>
      <c r="D25" s="137"/>
      <c r="E25" s="137"/>
      <c r="F25" s="137"/>
      <c r="G25" s="137"/>
      <c r="H25" s="137"/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  <c r="AD25" s="137"/>
      <c r="AE25" s="137"/>
      <c r="AF25" s="137"/>
      <c r="AG25" s="137"/>
      <c r="AH25" s="137"/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  <c r="AS25" s="137"/>
    </row>
  </sheetData>
  <mergeCells count="3">
    <mergeCell ref="A1:AC1"/>
    <mergeCell ref="B19:G19"/>
    <mergeCell ref="A21:B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134</vt:i4>
      </vt:variant>
    </vt:vector>
  </HeadingPairs>
  <TitlesOfParts>
    <vt:vector size="134" baseType="lpstr">
      <vt:lpstr>test</vt:lpstr>
      <vt:lpstr>DBDetails2</vt:lpstr>
      <vt:lpstr>Sheet3</vt:lpstr>
      <vt:lpstr>Sheet1</vt:lpstr>
      <vt:lpstr>Sheet4</vt:lpstr>
      <vt:lpstr>POSER</vt:lpstr>
      <vt:lpstr>POGENUD</vt:lpstr>
      <vt:lpstr>ToleranceQty</vt:lpstr>
      <vt:lpstr>FreePassDirectGRNUserDefined</vt:lpstr>
      <vt:lpstr>FreePassDirectRateSer</vt:lpstr>
      <vt:lpstr>POwithGrnWithoutQualityEnabImp</vt:lpstr>
      <vt:lpstr>POwithGrnWithoutQualityEnabled</vt:lpstr>
      <vt:lpstr>PriceListGenWOQE</vt:lpstr>
      <vt:lpstr>POWithRateContractGen</vt:lpstr>
      <vt:lpstr>POwithoutQualityRateGen</vt:lpstr>
      <vt:lpstr>PriceListMaterial</vt:lpstr>
      <vt:lpstr>POwithRateContractMat</vt:lpstr>
      <vt:lpstr>POMATUD</vt:lpstr>
      <vt:lpstr>PurchaseWithImportSupplier</vt:lpstr>
      <vt:lpstr>STRateContract</vt:lpstr>
      <vt:lpstr>StockTransferItemGeneralType</vt:lpstr>
      <vt:lpstr>FreePassUdRateSer</vt:lpstr>
      <vt:lpstr>FreePassDirectGRNSerUserDefined</vt:lpstr>
      <vt:lpstr>FreePassDirectGRNRateGen</vt:lpstr>
      <vt:lpstr>FreePassDirectPriceListGen</vt:lpstr>
      <vt:lpstr>FreePassDirectGRNPriceListSer</vt:lpstr>
      <vt:lpstr>RateContractSer</vt:lpstr>
      <vt:lpstr>PriceListItemGen</vt:lpstr>
      <vt:lpstr>FreePassUdGen</vt:lpstr>
      <vt:lpstr>FreePassUDRatContract</vt:lpstr>
      <vt:lpstr>FreePassGenPrice</vt:lpstr>
      <vt:lpstr>StockTransferFreePassUD</vt:lpstr>
      <vt:lpstr>FreePassUdService</vt:lpstr>
      <vt:lpstr>FreePassSerPrice</vt:lpstr>
      <vt:lpstr>PriceListItemSer</vt:lpstr>
      <vt:lpstr>StockTransferPriceList</vt:lpstr>
      <vt:lpstr>StockTransferPOUserDefined</vt:lpstr>
      <vt:lpstr>StockTransferSameRateContract</vt:lpstr>
      <vt:lpstr>DifferentUOMUD</vt:lpstr>
      <vt:lpstr>DirectGrnDifFreePassRateContGen</vt:lpstr>
      <vt:lpstr>DirectgrndiffFreePassPricelistG</vt:lpstr>
      <vt:lpstr>DirectPOWithFreePassItem</vt:lpstr>
      <vt:lpstr>StockTransferRateDifferent</vt:lpstr>
      <vt:lpstr>DirectPOPriceListFreePassGRN</vt:lpstr>
      <vt:lpstr>StocktransferPriceListDifferent</vt:lpstr>
      <vt:lpstr>PoToGrnRateContractGenWQE</vt:lpstr>
      <vt:lpstr>PotoGRNDiffUOMPriceListGenWQE</vt:lpstr>
      <vt:lpstr>PoToGrnDifferentUomGenWOQE</vt:lpstr>
      <vt:lpstr>DifferentUOMRateGen</vt:lpstr>
      <vt:lpstr>StockTransferUDFreePass</vt:lpstr>
      <vt:lpstr>StockTransferRCFreePass</vt:lpstr>
      <vt:lpstr>StockTransferPricelistFreePass</vt:lpstr>
      <vt:lpstr>DifferentUOMPriceListGen</vt:lpstr>
      <vt:lpstr>StockTransferUDDifferentUOM</vt:lpstr>
      <vt:lpstr>DifferentUOMMATUD</vt:lpstr>
      <vt:lpstr>DifferentUOMStocktransferUD</vt:lpstr>
      <vt:lpstr>DifferentUOMRateMat</vt:lpstr>
      <vt:lpstr>POwithGrnWithoutQEMaterial</vt:lpstr>
      <vt:lpstr>POwithoutQualityRateMat</vt:lpstr>
      <vt:lpstr>StockTransferPORateContract</vt:lpstr>
      <vt:lpstr>StockTransferPOpriceList</vt:lpstr>
      <vt:lpstr>StocktransferPriceListPO</vt:lpstr>
      <vt:lpstr>TvsMrvApplicationControl</vt:lpstr>
      <vt:lpstr>MrvLineWiseCancel</vt:lpstr>
      <vt:lpstr>LocalUnregisterSuplier</vt:lpstr>
      <vt:lpstr>InterstateSupplierUnregister</vt:lpstr>
      <vt:lpstr>CESS</vt:lpstr>
      <vt:lpstr>WithoutDiscount</vt:lpstr>
      <vt:lpstr>ImportDirectGRNUDGeneralSameUOM</vt:lpstr>
      <vt:lpstr>ImportDirectGRNUDGeneralDiffUOM</vt:lpstr>
      <vt:lpstr>ImportDirectGRNUDServiceSameUOM</vt:lpstr>
      <vt:lpstr>ImportDirectGRNRCGeneralSameUOM</vt:lpstr>
      <vt:lpstr>ImportDirectGRNRCGeneralDiffUOM</vt:lpstr>
      <vt:lpstr>ImportDirectGRNRCServiceSameUOM</vt:lpstr>
      <vt:lpstr>ImportDirectGRNPLGeneralSameUOM</vt:lpstr>
      <vt:lpstr>ImportDirectGRNPLGeneralDiffUOM</vt:lpstr>
      <vt:lpstr>ImportDirectGRNPLServiceSameUOM</vt:lpstr>
      <vt:lpstr>LandedCostDB</vt:lpstr>
      <vt:lpstr>LandedCostWTDS</vt:lpstr>
      <vt:lpstr>LandedCostWTDSandESI</vt:lpstr>
      <vt:lpstr>LandedCostHSNCHanged</vt:lpstr>
      <vt:lpstr>LandedCostAdditem</vt:lpstr>
      <vt:lpstr>LandedCostAddition</vt:lpstr>
      <vt:lpstr>LandedCostDeduction</vt:lpstr>
      <vt:lpstr>RoundOFValue</vt:lpstr>
      <vt:lpstr>StocktransferAddItem</vt:lpstr>
      <vt:lpstr>StockTransferAddLocalRCM</vt:lpstr>
      <vt:lpstr>StockTransferAddLocalEXToIGST</vt:lpstr>
      <vt:lpstr>StockTransferAddIterstateEXWRCM</vt:lpstr>
      <vt:lpstr>StockTransferAddIterstateEX</vt:lpstr>
      <vt:lpstr>StockTransferAddLocalEXURITR</vt:lpstr>
      <vt:lpstr>StockTransferAddInterEXUR</vt:lpstr>
      <vt:lpstr>StockTransferAddLocalEXUR</vt:lpstr>
      <vt:lpstr>StockTransferIGSTEXPWRCM</vt:lpstr>
      <vt:lpstr>StockTransferIGSTEXP</vt:lpstr>
      <vt:lpstr>StockTransferAddLocalEXIGST</vt:lpstr>
      <vt:lpstr>StockTransferAddDCTIS</vt:lpstr>
      <vt:lpstr>STUNRIGST</vt:lpstr>
      <vt:lpstr>STUNRLocalToIgst</vt:lpstr>
      <vt:lpstr>STUNRLocal</vt:lpstr>
      <vt:lpstr>STIGSTWEXPRCM</vt:lpstr>
      <vt:lpstr>StockTransferAddLocalEXDCTRCM</vt:lpstr>
      <vt:lpstr>StockTransferDomURSU</vt:lpstr>
      <vt:lpstr>StockTransferDomURLF</vt:lpstr>
      <vt:lpstr>StockTransferDomRegUT</vt:lpstr>
      <vt:lpstr>StockTransferDomRegSezUnit</vt:lpstr>
      <vt:lpstr>StockTransferAddLocalFright</vt:lpstr>
      <vt:lpstr>StockTransferAddLocalEXDCT</vt:lpstr>
      <vt:lpstr>StockTransferAddLocalEX</vt:lpstr>
      <vt:lpstr>StocktransferInterstate</vt:lpstr>
      <vt:lpstr>StocktransferISForRCM</vt:lpstr>
      <vt:lpstr>StocktransferLCRCM</vt:lpstr>
      <vt:lpstr>StocktransferURSEZ</vt:lpstr>
      <vt:lpstr>StocktransferURLF</vt:lpstr>
      <vt:lpstr>StocktransferLocalURUT</vt:lpstr>
      <vt:lpstr>StocktransferLocalWFUT</vt:lpstr>
      <vt:lpstr>StocktransferLocalWFSEZ</vt:lpstr>
      <vt:lpstr>StocktransferNRUT</vt:lpstr>
      <vt:lpstr>StocktransferNRLF</vt:lpstr>
      <vt:lpstr>StocktransferCPUT</vt:lpstr>
      <vt:lpstr>StocktransferLocalFrightCP</vt:lpstr>
      <vt:lpstr>StocktransferLocalCPSup</vt:lpstr>
      <vt:lpstr>StocktransferUTComSup</vt:lpstr>
      <vt:lpstr>StocktransferIntrerComSup</vt:lpstr>
      <vt:lpstr>StocktransferLocalComSup</vt:lpstr>
      <vt:lpstr>StocktransferLocalComFright</vt:lpstr>
      <vt:lpstr>StocktransferLocalWF</vt:lpstr>
      <vt:lpstr>StocktransferLC</vt:lpstr>
      <vt:lpstr>StocktransferAddItemWithEx</vt:lpstr>
      <vt:lpstr>StocktransferURINTR</vt:lpstr>
      <vt:lpstr>StocktransferIntrUR</vt:lpstr>
      <vt:lpstr>StocktransferUR</vt:lpstr>
      <vt:lpstr>poSerPurbills</vt:lpstr>
      <vt:lpstr>PoSerPurBillsInterstate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Premkumar.K</cp:lastModifiedBy>
  <dcterms:created xsi:type="dcterms:W3CDTF">2024-08-28T12:59:00Z</dcterms:created>
  <dcterms:modified xsi:type="dcterms:W3CDTF">2026-04-20T13:52:34Z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1033-12.2.0.23155</vt:lpwstr>
  </property>
</Properties>
</file>