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<sst xmlns="http://schemas.openxmlformats.org/spreadsheetml/2006/main" count="94" uniqueCount="85">
  <si>
    <t>Oktobar</t>
  </si>
  <si>
    <t>Prvi zadatak</t>
  </si>
  <si>
    <t>Broj automobila</t>
  </si>
  <si>
    <t>Lambda</t>
  </si>
  <si>
    <t>Broj intervala</t>
  </si>
  <si>
    <t>Ocekivane frekvencije</t>
  </si>
  <si>
    <t>X^2 vrednost</t>
  </si>
  <si>
    <t>Suma:</t>
  </si>
  <si>
    <t>Kriticna vrednost</t>
  </si>
  <si>
    <t>Cetvrti zadatak</t>
  </si>
  <si>
    <t>N</t>
  </si>
  <si>
    <t>Interval ID</t>
  </si>
  <si>
    <t>Interval MIN</t>
  </si>
  <si>
    <t>Interval MAX</t>
  </si>
  <si>
    <t>Frekvencija</t>
  </si>
  <si>
    <t>Sredine intervala</t>
  </si>
  <si>
    <t>Logaritamske</t>
  </si>
  <si>
    <t>Logaritmi * frekvencije</t>
  </si>
  <si>
    <t>Reciprocne</t>
  </si>
  <si>
    <t>Reciprocna * frekvencije</t>
  </si>
  <si>
    <t>Min</t>
  </si>
  <si>
    <t>Max</t>
  </si>
  <si>
    <t>Absolutno odstupanje</t>
  </si>
  <si>
    <t>Standardna devijacija</t>
  </si>
  <si>
    <t>Kurtosis</t>
  </si>
  <si>
    <t>Aritmeticka</t>
  </si>
  <si>
    <t>Geometrijska</t>
  </si>
  <si>
    <t>Harmonijska</t>
  </si>
  <si>
    <t>Sirina intervala</t>
  </si>
  <si>
    <t>Novembar</t>
  </si>
  <si>
    <t>Propaganda</t>
  </si>
  <si>
    <t>Suma X</t>
  </si>
  <si>
    <t>Prodaja</t>
  </si>
  <si>
    <t>Suma Y</t>
  </si>
  <si>
    <t>X * Y</t>
  </si>
  <si>
    <t>Suma XY</t>
  </si>
  <si>
    <t>X^2</t>
  </si>
  <si>
    <t>Suma X^2</t>
  </si>
  <si>
    <t>Y^2</t>
  </si>
  <si>
    <t>Suma Y^2</t>
  </si>
  <si>
    <t>b</t>
  </si>
  <si>
    <t>a</t>
  </si>
  <si>
    <t>y = -3,83 + 15.75 * X</t>
  </si>
  <si>
    <t>Treci zadatak</t>
  </si>
  <si>
    <t>n</t>
  </si>
  <si>
    <t xml:space="preserve">S^2 </t>
  </si>
  <si>
    <t>Interval</t>
  </si>
  <si>
    <t>Jednostrani interval</t>
  </si>
  <si>
    <t>Dvostrani donja</t>
  </si>
  <si>
    <t>Dvostrani gornja</t>
  </si>
  <si>
    <t>Jednostrano poverenje</t>
  </si>
  <si>
    <t>Dvostrano poverenje donja</t>
  </si>
  <si>
    <t>Dvostrano poverenje gornja</t>
  </si>
  <si>
    <t>Sredina intervala</t>
  </si>
  <si>
    <t>Kumulativ ispod</t>
  </si>
  <si>
    <t>Kumulativ iznad</t>
  </si>
  <si>
    <t>Relativna frekvencija</t>
  </si>
  <si>
    <t>Kumulativna frekvencija</t>
  </si>
  <si>
    <t>Sredina * frekvencija</t>
  </si>
  <si>
    <t>min</t>
  </si>
  <si>
    <t>max</t>
  </si>
  <si>
    <t>Aritmeticka sredina</t>
  </si>
  <si>
    <t>Velicina intervala</t>
  </si>
  <si>
    <t>Najveca frekvencija</t>
  </si>
  <si>
    <t>Donja granica najveceg intervala</t>
  </si>
  <si>
    <t>Frekvencija intervala pre najveceg(nula ako prvi)</t>
  </si>
  <si>
    <t>Frekvencija intervala posle najveceg (nula ako poslednji)</t>
  </si>
  <si>
    <t>Mod</t>
  </si>
  <si>
    <t>N/2</t>
  </si>
  <si>
    <t>Prvi kumulativ ispod koji &gt;= N/2</t>
  </si>
  <si>
    <t>Kumulativ ispod pre njega</t>
  </si>
  <si>
    <t>Donja granica intervala iznad N/2</t>
  </si>
  <si>
    <t>Frekvencija medijalnog intervala</t>
  </si>
  <si>
    <t>Medijana</t>
  </si>
  <si>
    <t>N/4</t>
  </si>
  <si>
    <t>3N/4</t>
  </si>
  <si>
    <t>Prvi kvartil frekvencija</t>
  </si>
  <si>
    <t>Treci kvartil frekvencija</t>
  </si>
  <si>
    <t>Donja granica frekvencije prvog kvartila</t>
  </si>
  <si>
    <t>Donja granica frekvencije treceg kvartila</t>
  </si>
  <si>
    <t>Q1</t>
  </si>
  <si>
    <t>Q2</t>
  </si>
  <si>
    <t>Q3</t>
  </si>
  <si>
    <t>Q4</t>
  </si>
  <si>
    <t>Kumulativ ispod prethodne frekvencije treceg kvartila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</si>
</sst>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4.25"/>
    <col customWidth="1" min="14" max="14" width="1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3" t="s">
        <v>2</v>
      </c>
      <c r="D10" s="3">
        <v>0.0</v>
      </c>
      <c r="E10" s="3">
        <v>1.0</v>
      </c>
      <c r="F10" s="3">
        <v>2.0</v>
      </c>
      <c r="G10" s="3">
        <v>3.0</v>
      </c>
      <c r="H10" s="3">
        <v>4.0</v>
      </c>
      <c r="I10" s="1"/>
      <c r="J10" s="3" t="s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3" t="s">
        <v>4</v>
      </c>
      <c r="D11" s="3">
        <v>23.0</v>
      </c>
      <c r="E11" s="3">
        <v>34.0</v>
      </c>
      <c r="F11" s="3">
        <v>26.0</v>
      </c>
      <c r="G11" s="3">
        <v>12.0</v>
      </c>
      <c r="H11" s="3">
        <v>5.0</v>
      </c>
      <c r="I11" s="1"/>
      <c r="J11" s="4">
        <f>SUMPRODUCT(D10:H11)/SUM(D11:H11)</f>
        <v>1.1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" t="s">
        <v>5</v>
      </c>
      <c r="D14" s="4">
        <f t="shared" ref="D14:H14" si="1">_xlfn.POISSON.DIST(D10,$J$11,FALSE) * SUM($D$11:$H$11)</f>
        <v>33.28710837</v>
      </c>
      <c r="E14" s="4">
        <f t="shared" si="1"/>
        <v>36.61581921</v>
      </c>
      <c r="F14" s="4">
        <f t="shared" si="1"/>
        <v>20.13870056</v>
      </c>
      <c r="G14" s="4">
        <f t="shared" si="1"/>
        <v>7.384190207</v>
      </c>
      <c r="H14" s="4">
        <f t="shared" si="1"/>
        <v>2.030652307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3" t="s">
        <v>6</v>
      </c>
      <c r="D15" s="3">
        <f t="shared" ref="D15:H15" si="2">POW(D11-D14, 2)/D14</f>
        <v>3.179146636</v>
      </c>
      <c r="E15" s="3">
        <f t="shared" si="2"/>
        <v>0.1868730584</v>
      </c>
      <c r="F15" s="3">
        <f t="shared" si="2"/>
        <v>1.705911013</v>
      </c>
      <c r="G15" s="3">
        <f t="shared" si="2"/>
        <v>2.885313007</v>
      </c>
      <c r="H15" s="3">
        <f t="shared" si="2"/>
        <v>4.341967206</v>
      </c>
      <c r="I15" s="3" t="s">
        <v>7</v>
      </c>
      <c r="J15" s="4">
        <f>SUM(D15:H15)</f>
        <v>12.29921092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3" t="s">
        <v>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4">
        <f>_xlfn.CHISQ.INV.RT(0.01, 4)</f>
        <v>13.27670414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3">
        <v>7520.0</v>
      </c>
      <c r="D24" s="3">
        <v>9040.0</v>
      </c>
      <c r="E24" s="3">
        <v>8020.0</v>
      </c>
      <c r="F24" s="3">
        <v>10500.0</v>
      </c>
      <c r="G24" s="3">
        <v>11800.0</v>
      </c>
      <c r="H24" s="3">
        <v>6900.0</v>
      </c>
      <c r="I24" s="3">
        <v>8340.0</v>
      </c>
      <c r="J24" s="3">
        <v>7200.0</v>
      </c>
      <c r="K24" s="3">
        <v>10880.0</v>
      </c>
      <c r="L24" s="3">
        <v>8910.0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3">
        <v>7330.0</v>
      </c>
      <c r="D25" s="3">
        <v>8380.0</v>
      </c>
      <c r="E25" s="3">
        <v>7500.0</v>
      </c>
      <c r="F25" s="3">
        <v>8990.0</v>
      </c>
      <c r="G25" s="3">
        <v>10680.0</v>
      </c>
      <c r="H25" s="3">
        <v>7400.0</v>
      </c>
      <c r="I25" s="3">
        <v>9640.0</v>
      </c>
      <c r="J25" s="3">
        <v>10960.0</v>
      </c>
      <c r="K25" s="3">
        <v>9800.0</v>
      </c>
      <c r="L25" s="3">
        <v>8520.0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3">
        <v>9990.0</v>
      </c>
      <c r="D26" s="3">
        <v>7466.0</v>
      </c>
      <c r="E26" s="3">
        <v>8800.0</v>
      </c>
      <c r="F26" s="3">
        <v>9200.0</v>
      </c>
      <c r="G26" s="3">
        <v>7980.0</v>
      </c>
      <c r="H26" s="3">
        <v>8100.0</v>
      </c>
      <c r="I26" s="3">
        <v>7280.0</v>
      </c>
      <c r="J26" s="3">
        <v>7830.0</v>
      </c>
      <c r="K26" s="3">
        <v>7300.0</v>
      </c>
      <c r="L26" s="3">
        <v>7700.0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3" t="s">
        <v>10</v>
      </c>
      <c r="D29" s="2"/>
      <c r="E29" s="3" t="s">
        <v>11</v>
      </c>
      <c r="F29" s="3" t="s">
        <v>12</v>
      </c>
      <c r="G29" s="3" t="s">
        <v>13</v>
      </c>
      <c r="H29" s="3" t="s">
        <v>14</v>
      </c>
      <c r="I29" s="1"/>
      <c r="J29" s="3" t="s">
        <v>15</v>
      </c>
      <c r="L29" s="3" t="s">
        <v>16</v>
      </c>
      <c r="M29" s="3" t="s">
        <v>17</v>
      </c>
      <c r="N29" s="3" t="s">
        <v>18</v>
      </c>
      <c r="O29" s="3" t="s">
        <v>19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4">
        <f>COUNT(C24:L26)</f>
        <v>30</v>
      </c>
      <c r="D30" s="1"/>
      <c r="E30" s="3">
        <v>1.0</v>
      </c>
      <c r="F30" s="4">
        <f>C33</f>
        <v>6900</v>
      </c>
      <c r="G30" s="4">
        <f t="shared" ref="G30:G34" si="3">F30+999</f>
        <v>7899</v>
      </c>
      <c r="H30" s="3">
        <f t="shared" ref="H30:H34" si="4">COUNTIFS($C$24:$L$26, "&gt;=" &amp;F30, $C$24:$L$26, "&lt;=" &amp; G30)</f>
        <v>11</v>
      </c>
      <c r="I30" s="1"/>
      <c r="J30" s="4">
        <f t="shared" ref="J30:J34" si="5">AVERAGE(F30:G30)</f>
        <v>7399.5</v>
      </c>
      <c r="L30" s="4">
        <f t="shared" ref="L30:L34" si="6">LN(J30)</f>
        <v>8.909167709</v>
      </c>
      <c r="M30" s="4">
        <f t="shared" ref="M30:M34" si="7">L30*H30</f>
        <v>98.0008448</v>
      </c>
      <c r="N30" s="4">
        <f t="shared" ref="N30:N34" si="8">1/J30</f>
        <v>0.0001351442665</v>
      </c>
      <c r="O30" s="4">
        <f t="shared" ref="O30:O34" si="9">N30*H30</f>
        <v>0.001486586932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3">
        <v>2.0</v>
      </c>
      <c r="F31" s="4">
        <f t="shared" ref="F31:F34" si="10">F30+$C$39</f>
        <v>7900</v>
      </c>
      <c r="G31" s="4">
        <f t="shared" si="3"/>
        <v>8899</v>
      </c>
      <c r="H31" s="3">
        <f t="shared" si="4"/>
        <v>7</v>
      </c>
      <c r="I31" s="1"/>
      <c r="J31" s="4">
        <f t="shared" si="5"/>
        <v>8399.5</v>
      </c>
      <c r="L31" s="4">
        <f t="shared" si="6"/>
        <v>9.035927459</v>
      </c>
      <c r="M31" s="4">
        <f t="shared" si="7"/>
        <v>63.25149221</v>
      </c>
      <c r="N31" s="4">
        <f t="shared" si="8"/>
        <v>0.0001190547056</v>
      </c>
      <c r="O31" s="4">
        <f t="shared" si="9"/>
        <v>0.0008333829395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 t="s">
        <v>20</v>
      </c>
      <c r="D32" s="1"/>
      <c r="E32" s="3">
        <v>3.0</v>
      </c>
      <c r="F32" s="4">
        <f t="shared" si="10"/>
        <v>8900</v>
      </c>
      <c r="G32" s="4">
        <f t="shared" si="3"/>
        <v>9899</v>
      </c>
      <c r="H32" s="3">
        <f t="shared" si="4"/>
        <v>6</v>
      </c>
      <c r="I32" s="1"/>
      <c r="J32" s="4">
        <f t="shared" si="5"/>
        <v>9399.5</v>
      </c>
      <c r="L32" s="4">
        <f t="shared" si="6"/>
        <v>9.148411775</v>
      </c>
      <c r="M32" s="4">
        <f t="shared" si="7"/>
        <v>54.89047065</v>
      </c>
      <c r="N32" s="4">
        <f t="shared" si="8"/>
        <v>0.0001063886377</v>
      </c>
      <c r="O32" s="4">
        <f t="shared" si="9"/>
        <v>0.0006383318262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4">
        <f>MIN(C24:L26)</f>
        <v>6900</v>
      </c>
      <c r="D33" s="1"/>
      <c r="E33" s="3">
        <v>4.0</v>
      </c>
      <c r="F33" s="4">
        <f t="shared" si="10"/>
        <v>9900</v>
      </c>
      <c r="G33" s="4">
        <f t="shared" si="3"/>
        <v>10899</v>
      </c>
      <c r="H33" s="3">
        <f t="shared" si="4"/>
        <v>4</v>
      </c>
      <c r="I33" s="1"/>
      <c r="J33" s="4">
        <f t="shared" si="5"/>
        <v>10399.5</v>
      </c>
      <c r="L33" s="4">
        <f t="shared" si="6"/>
        <v>9.249513007</v>
      </c>
      <c r="M33" s="4">
        <f t="shared" si="7"/>
        <v>36.99805203</v>
      </c>
      <c r="N33" s="4">
        <f t="shared" si="8"/>
        <v>0.00009615846916</v>
      </c>
      <c r="O33" s="4">
        <f t="shared" si="9"/>
        <v>0.0003846338766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5">
        <v>5.0</v>
      </c>
      <c r="F34" s="6">
        <f t="shared" si="10"/>
        <v>10900</v>
      </c>
      <c r="G34" s="6">
        <f t="shared" si="3"/>
        <v>11899</v>
      </c>
      <c r="H34" s="5">
        <f t="shared" si="4"/>
        <v>2</v>
      </c>
      <c r="I34" s="1"/>
      <c r="J34" s="4">
        <f t="shared" si="5"/>
        <v>11399.5</v>
      </c>
      <c r="L34" s="4">
        <f t="shared" si="6"/>
        <v>9.341324774</v>
      </c>
      <c r="M34" s="4">
        <f t="shared" si="7"/>
        <v>18.68264955</v>
      </c>
      <c r="N34" s="4">
        <f t="shared" si="8"/>
        <v>0.00008772314575</v>
      </c>
      <c r="O34" s="4">
        <f t="shared" si="9"/>
        <v>0.0001754462915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 t="s">
        <v>21</v>
      </c>
      <c r="D35" s="1"/>
      <c r="E35" s="7"/>
      <c r="F35" s="8"/>
      <c r="G35" s="8"/>
      <c r="H35" s="7"/>
      <c r="I35" s="1"/>
      <c r="J35" s="1"/>
      <c r="L35" s="1"/>
      <c r="M35" s="4">
        <f>SUM(M30:M34)</f>
        <v>271.8235092</v>
      </c>
      <c r="N35" s="1"/>
      <c r="O35" s="4">
        <f>SUM(O30:O34)</f>
        <v>0.003518381865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4">
        <f>max(C24:L26)</f>
        <v>11800</v>
      </c>
      <c r="D36" s="1"/>
      <c r="E36" s="1"/>
      <c r="F36" s="1"/>
      <c r="G36" s="1"/>
      <c r="H36" s="2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3" t="s">
        <v>22</v>
      </c>
      <c r="F37" s="3" t="s">
        <v>23</v>
      </c>
      <c r="G37" s="3" t="s">
        <v>24</v>
      </c>
      <c r="H37" s="1"/>
      <c r="I37" s="1"/>
      <c r="J37" s="1"/>
      <c r="L37" s="3" t="s">
        <v>25</v>
      </c>
      <c r="M37" s="3" t="s">
        <v>26</v>
      </c>
      <c r="N37" s="3" t="s">
        <v>27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 t="s">
        <v>28</v>
      </c>
      <c r="D38" s="1"/>
      <c r="E38" s="4">
        <f>SUMPRODUCT(ABS(J30:J34-$L$38),H30:H34)</f>
        <v>32800</v>
      </c>
      <c r="F38" s="4">
        <f>SQRT(SUMPRODUCT((J30:J34-$E$48)^2,H30:H34)/SUM(H30:H34))</f>
        <v>8791.547091</v>
      </c>
      <c r="G38" s="4">
        <f>(SUMPRODUCT((J30:J34-$E$48)^4,H30:H34)*C30)/(SUMPRODUCT((J30:J34-$E$48)^2,H30:H34)^2)</f>
        <v>1.089244531</v>
      </c>
      <c r="H38" s="1"/>
      <c r="I38" s="1"/>
      <c r="J38" s="1"/>
      <c r="L38" s="4">
        <f>SUMPRODUCT(H30:H34,J30:J34)/SUM(H30:H34)</f>
        <v>8699.5</v>
      </c>
      <c r="M38" s="4">
        <f>EXP(M35/C30)</f>
        <v>8610.895866</v>
      </c>
      <c r="N38" s="4">
        <f>C30/O35</f>
        <v>8526.64695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>
        <v>1000.0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 t="s">
        <v>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 t="s">
        <v>30</v>
      </c>
      <c r="D46" s="3">
        <v>4.0</v>
      </c>
      <c r="E46" s="3">
        <v>5.0</v>
      </c>
      <c r="F46" s="3">
        <v>5.0</v>
      </c>
      <c r="G46" s="3">
        <v>6.0</v>
      </c>
      <c r="H46" s="3">
        <v>7.0</v>
      </c>
      <c r="I46" s="3">
        <v>9.0</v>
      </c>
      <c r="J46" s="1"/>
      <c r="K46" s="3" t="s">
        <v>31</v>
      </c>
      <c r="L46" s="4">
        <f>SUM(D46:I46)</f>
        <v>36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 t="s">
        <v>32</v>
      </c>
      <c r="D47" s="3">
        <v>55.0</v>
      </c>
      <c r="E47" s="3">
        <v>73.0</v>
      </c>
      <c r="F47" s="3">
        <v>79.0</v>
      </c>
      <c r="G47" s="3">
        <v>89.0</v>
      </c>
      <c r="H47" s="3">
        <v>115.0</v>
      </c>
      <c r="I47" s="3">
        <v>133.0</v>
      </c>
      <c r="J47" s="1"/>
      <c r="K47" s="3" t="s">
        <v>33</v>
      </c>
      <c r="L47" s="4">
        <f>SUM(C47:I47)</f>
        <v>544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 t="s">
        <v>34</v>
      </c>
      <c r="D49" s="4">
        <f t="shared" ref="D49:I49" si="11">D46*D47</f>
        <v>220</v>
      </c>
      <c r="E49" s="4">
        <f t="shared" si="11"/>
        <v>365</v>
      </c>
      <c r="F49" s="4">
        <f t="shared" si="11"/>
        <v>395</v>
      </c>
      <c r="G49" s="4">
        <f t="shared" si="11"/>
        <v>534</v>
      </c>
      <c r="H49" s="4">
        <f t="shared" si="11"/>
        <v>805</v>
      </c>
      <c r="I49" s="4">
        <f t="shared" si="11"/>
        <v>1197</v>
      </c>
      <c r="J49" s="1"/>
      <c r="K49" s="3" t="s">
        <v>35</v>
      </c>
      <c r="L49" s="4">
        <f t="shared" ref="L49:L51" si="13">SUM(D49:I49)</f>
        <v>3516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 t="s">
        <v>36</v>
      </c>
      <c r="D50" s="4">
        <f t="shared" ref="D50:I50" si="12">D46*D46</f>
        <v>16</v>
      </c>
      <c r="E50" s="4">
        <f t="shared" si="12"/>
        <v>25</v>
      </c>
      <c r="F50" s="4">
        <f t="shared" si="12"/>
        <v>25</v>
      </c>
      <c r="G50" s="4">
        <f t="shared" si="12"/>
        <v>36</v>
      </c>
      <c r="H50" s="4">
        <f t="shared" si="12"/>
        <v>49</v>
      </c>
      <c r="I50" s="4">
        <f t="shared" si="12"/>
        <v>81</v>
      </c>
      <c r="J50" s="1"/>
      <c r="K50" s="3" t="s">
        <v>37</v>
      </c>
      <c r="L50" s="4">
        <f t="shared" si="13"/>
        <v>232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 t="s">
        <v>38</v>
      </c>
      <c r="D51" s="4">
        <f t="shared" ref="D51:I51" si="14">D47*D47</f>
        <v>3025</v>
      </c>
      <c r="E51" s="4">
        <f t="shared" si="14"/>
        <v>5329</v>
      </c>
      <c r="F51" s="4">
        <f t="shared" si="14"/>
        <v>6241</v>
      </c>
      <c r="G51" s="4">
        <f t="shared" si="14"/>
        <v>7921</v>
      </c>
      <c r="H51" s="4">
        <f t="shared" si="14"/>
        <v>13225</v>
      </c>
      <c r="I51" s="4">
        <f t="shared" si="14"/>
        <v>17689</v>
      </c>
      <c r="J51" s="1"/>
      <c r="K51" s="3" t="s">
        <v>39</v>
      </c>
      <c r="L51" s="4">
        <f t="shared" si="13"/>
        <v>53430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 t="s">
        <v>40</v>
      </c>
      <c r="D54" s="4">
        <f>(6 * L49-L46*L47)/(6 * L50-L46*L46)</f>
        <v>15.75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 t="s">
        <v>41</v>
      </c>
      <c r="D55" s="3">
        <f>(L47-D54*L46)/COUNT(D46:I46)</f>
        <v>-3.833333333</v>
      </c>
      <c r="E55" s="1"/>
      <c r="F55" s="3" t="s">
        <v>42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>
        <f>NORMSINV(0.95)</f>
        <v>1.644853625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 t="s">
        <v>43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 t="s">
        <v>44</v>
      </c>
      <c r="D60" s="3" t="s">
        <v>45</v>
      </c>
      <c r="E60" s="3" t="s">
        <v>46</v>
      </c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>
        <v>20.0</v>
      </c>
      <c r="D61" s="3">
        <v>0.64</v>
      </c>
      <c r="E61" s="3">
        <v>0.9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 t="s">
        <v>47</v>
      </c>
      <c r="D64" s="3" t="s">
        <v>48</v>
      </c>
      <c r="E64" s="3" t="s">
        <v>49</v>
      </c>
      <c r="F64" s="1"/>
      <c r="G64" s="3" t="s">
        <v>50</v>
      </c>
      <c r="H64" s="3" t="s">
        <v>51</v>
      </c>
      <c r="I64" s="3" t="s">
        <v>52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4">
        <f>_xlfn.CHISQ.INV.RT(0.1,19)</f>
        <v>27.20357103</v>
      </c>
      <c r="D65" s="4">
        <f>_xlfn.CHISQ.INV(0.05,19)</f>
        <v>10.11701306</v>
      </c>
      <c r="E65" s="4">
        <f>_xlfn.CHISQ.INV.RT(0.05, 19)</f>
        <v>30.14352721</v>
      </c>
      <c r="F65" s="1"/>
      <c r="G65" s="3">
        <f t="shared" ref="G65:I65" si="15">(19*0.64)/C65</f>
        <v>0.4470001378</v>
      </c>
      <c r="H65" s="4">
        <f t="shared" si="15"/>
        <v>1.201935781</v>
      </c>
      <c r="I65" s="4">
        <f t="shared" si="15"/>
        <v>0.4034033548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 t="s">
        <v>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>
        <v>1.0</v>
      </c>
      <c r="D70" s="3">
        <v>10.0</v>
      </c>
      <c r="E70" s="3">
        <v>7.0</v>
      </c>
      <c r="F70" s="3">
        <v>16.0</v>
      </c>
      <c r="G70" s="3">
        <v>8.0</v>
      </c>
      <c r="H70" s="3">
        <v>4.0</v>
      </c>
      <c r="I70" s="3">
        <v>12.0</v>
      </c>
      <c r="J70" s="3">
        <v>5.0</v>
      </c>
      <c r="K70" s="3">
        <v>2.0</v>
      </c>
      <c r="L70" s="3">
        <v>2.0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>
        <v>5.0</v>
      </c>
      <c r="D71" s="3">
        <v>7.0</v>
      </c>
      <c r="E71" s="3">
        <v>9.0</v>
      </c>
      <c r="F71" s="3">
        <v>10.0</v>
      </c>
      <c r="G71" s="3">
        <v>13.0</v>
      </c>
      <c r="H71" s="3">
        <v>15.0</v>
      </c>
      <c r="I71" s="3">
        <v>18.0</v>
      </c>
      <c r="J71" s="3">
        <v>20.0</v>
      </c>
      <c r="K71" s="3">
        <v>1.0</v>
      </c>
      <c r="L71" s="3">
        <v>22.0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>
        <v>-30.0</v>
      </c>
      <c r="D72" s="3">
        <v>35.0</v>
      </c>
      <c r="E72" s="3">
        <v>4.0</v>
      </c>
      <c r="F72" s="3">
        <v>8.0</v>
      </c>
      <c r="G72" s="3">
        <v>6.0</v>
      </c>
      <c r="H72" s="3">
        <v>3.0</v>
      </c>
      <c r="I72" s="3">
        <v>15.0</v>
      </c>
      <c r="J72" s="3">
        <v>17.0</v>
      </c>
      <c r="K72" s="3">
        <v>29.0</v>
      </c>
      <c r="L72" s="3">
        <v>36.0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>
        <v>3.0</v>
      </c>
      <c r="D73" s="3">
        <v>9.0</v>
      </c>
      <c r="E73" s="3">
        <v>15.0</v>
      </c>
      <c r="F73" s="3">
        <v>6.0</v>
      </c>
      <c r="G73" s="3">
        <v>7.0</v>
      </c>
      <c r="H73" s="3">
        <v>38.0</v>
      </c>
      <c r="I73" s="3">
        <v>13.0</v>
      </c>
      <c r="J73" s="3">
        <v>10.0</v>
      </c>
      <c r="K73" s="3">
        <v>12.0</v>
      </c>
      <c r="L73" s="3">
        <v>15.0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>
        <v>14.0</v>
      </c>
      <c r="D74" s="3">
        <v>18.0</v>
      </c>
      <c r="E74" s="3">
        <v>10.0</v>
      </c>
      <c r="F74" s="3">
        <v>5.0</v>
      </c>
      <c r="G74" s="3">
        <v>3.0</v>
      </c>
      <c r="H74" s="3">
        <v>2.0</v>
      </c>
      <c r="I74" s="3">
        <v>1.0</v>
      </c>
      <c r="J74" s="3">
        <v>21.0</v>
      </c>
      <c r="K74" s="3">
        <v>19.0</v>
      </c>
      <c r="L74" s="3">
        <v>11.0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 t="s">
        <v>44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4">
        <f>COUNT(C70:L74)</f>
        <v>50</v>
      </c>
      <c r="D77" s="1"/>
      <c r="E77" s="3" t="s">
        <v>11</v>
      </c>
      <c r="F77" s="3" t="s">
        <v>12</v>
      </c>
      <c r="G77" s="3" t="s">
        <v>13</v>
      </c>
      <c r="H77" s="3" t="s">
        <v>53</v>
      </c>
      <c r="I77" s="3" t="s">
        <v>14</v>
      </c>
      <c r="J77" s="3" t="s">
        <v>54</v>
      </c>
      <c r="K77" s="3" t="s">
        <v>55</v>
      </c>
      <c r="L77" s="3" t="s">
        <v>56</v>
      </c>
      <c r="M77" s="3" t="s">
        <v>57</v>
      </c>
      <c r="N77" s="1"/>
      <c r="O77" s="3" t="s">
        <v>58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3">
        <v>1.0</v>
      </c>
      <c r="F78" s="3">
        <v>-30.0</v>
      </c>
      <c r="G78" s="4">
        <f t="shared" ref="G78:G84" si="17">F78+$C$89-1</f>
        <v>-21</v>
      </c>
      <c r="H78" s="4">
        <f t="shared" ref="H78:H84" si="18">AVERAGE(F78:G78)</f>
        <v>-25.5</v>
      </c>
      <c r="I78" s="4">
        <f t="shared" ref="I78:I84" si="19">COUNTIFS($C$70:$L$74, "&gt;=" &amp; F78, $C$70:$L$74, "&lt;=" &amp; G78)</f>
        <v>1</v>
      </c>
      <c r="J78" s="4">
        <f>I78</f>
        <v>1</v>
      </c>
      <c r="K78" s="4">
        <f>C77</f>
        <v>50</v>
      </c>
      <c r="L78" s="4">
        <f t="shared" ref="L78:M78" si="16">I78/$C$77 * 100</f>
        <v>2</v>
      </c>
      <c r="M78" s="4">
        <f t="shared" si="16"/>
        <v>2</v>
      </c>
      <c r="N78" s="1"/>
      <c r="O78" s="4">
        <f t="shared" ref="O78:O84" si="21">H78*I78</f>
        <v>-25.5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 t="s">
        <v>59</v>
      </c>
      <c r="D79" s="1"/>
      <c r="E79" s="3">
        <v>2.0</v>
      </c>
      <c r="F79" s="4">
        <f t="shared" ref="F79:F84" si="22">F78+$C$89</f>
        <v>-20</v>
      </c>
      <c r="G79" s="4">
        <f t="shared" si="17"/>
        <v>-11</v>
      </c>
      <c r="H79" s="4">
        <f t="shared" si="18"/>
        <v>-15.5</v>
      </c>
      <c r="I79" s="4">
        <f t="shared" si="19"/>
        <v>0</v>
      </c>
      <c r="J79" s="4">
        <f t="shared" ref="J79:J84" si="23">J78+I79</f>
        <v>1</v>
      </c>
      <c r="K79" s="4">
        <f t="shared" ref="K79:K84" si="24">K78-I78</f>
        <v>49</v>
      </c>
      <c r="L79" s="4">
        <f t="shared" ref="L79:M79" si="20">I79/$C$77 * 100</f>
        <v>0</v>
      </c>
      <c r="M79" s="4">
        <f t="shared" si="20"/>
        <v>2</v>
      </c>
      <c r="N79" s="1"/>
      <c r="O79" s="4">
        <f t="shared" si="21"/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4">
        <f>MIN(C70:L74)</f>
        <v>-30</v>
      </c>
      <c r="D80" s="1"/>
      <c r="E80" s="3">
        <v>3.0</v>
      </c>
      <c r="F80" s="4">
        <f t="shared" si="22"/>
        <v>-10</v>
      </c>
      <c r="G80" s="4">
        <f t="shared" si="17"/>
        <v>-1</v>
      </c>
      <c r="H80" s="4">
        <f t="shared" si="18"/>
        <v>-5.5</v>
      </c>
      <c r="I80" s="4">
        <f t="shared" si="19"/>
        <v>0</v>
      </c>
      <c r="J80" s="4">
        <f t="shared" si="23"/>
        <v>1</v>
      </c>
      <c r="K80" s="4">
        <f t="shared" si="24"/>
        <v>49</v>
      </c>
      <c r="L80" s="4">
        <f t="shared" ref="L80:M80" si="25">I80/$C$77 * 100</f>
        <v>0</v>
      </c>
      <c r="M80" s="4">
        <f t="shared" si="25"/>
        <v>2</v>
      </c>
      <c r="N80" s="1"/>
      <c r="O80" s="4">
        <f t="shared" si="21"/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3">
        <v>4.0</v>
      </c>
      <c r="F81" s="4">
        <f t="shared" si="22"/>
        <v>0</v>
      </c>
      <c r="G81" s="4">
        <f t="shared" si="17"/>
        <v>9</v>
      </c>
      <c r="H81" s="4">
        <f t="shared" si="18"/>
        <v>4.5</v>
      </c>
      <c r="I81" s="4">
        <f t="shared" si="19"/>
        <v>23</v>
      </c>
      <c r="J81" s="4">
        <f t="shared" si="23"/>
        <v>24</v>
      </c>
      <c r="K81" s="4">
        <f t="shared" si="24"/>
        <v>49</v>
      </c>
      <c r="L81" s="4">
        <f t="shared" ref="L81:M81" si="26">I81/$C$77 * 100</f>
        <v>46</v>
      </c>
      <c r="M81" s="4">
        <f t="shared" si="26"/>
        <v>48</v>
      </c>
      <c r="N81" s="1"/>
      <c r="O81" s="4">
        <f t="shared" si="21"/>
        <v>103.5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 t="s">
        <v>60</v>
      </c>
      <c r="D82" s="1"/>
      <c r="E82" s="3">
        <v>5.0</v>
      </c>
      <c r="F82" s="4">
        <f t="shared" si="22"/>
        <v>10</v>
      </c>
      <c r="G82" s="4">
        <f t="shared" si="17"/>
        <v>19</v>
      </c>
      <c r="H82" s="4">
        <f t="shared" si="18"/>
        <v>14.5</v>
      </c>
      <c r="I82" s="4">
        <f t="shared" si="19"/>
        <v>19</v>
      </c>
      <c r="J82" s="4">
        <f t="shared" si="23"/>
        <v>43</v>
      </c>
      <c r="K82" s="4">
        <f t="shared" si="24"/>
        <v>26</v>
      </c>
      <c r="L82" s="4">
        <f t="shared" ref="L82:M82" si="27">I82/$C$77 * 100</f>
        <v>38</v>
      </c>
      <c r="M82" s="4">
        <f t="shared" si="27"/>
        <v>86</v>
      </c>
      <c r="N82" s="1"/>
      <c r="O82" s="4">
        <f t="shared" si="21"/>
        <v>275.5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4">
        <f>MAX(C70:L74)</f>
        <v>38</v>
      </c>
      <c r="D83" s="1"/>
      <c r="E83" s="3">
        <v>6.0</v>
      </c>
      <c r="F83" s="4">
        <f t="shared" si="22"/>
        <v>20</v>
      </c>
      <c r="G83" s="4">
        <f t="shared" si="17"/>
        <v>29</v>
      </c>
      <c r="H83" s="4">
        <f t="shared" si="18"/>
        <v>24.5</v>
      </c>
      <c r="I83" s="4">
        <f t="shared" si="19"/>
        <v>4</v>
      </c>
      <c r="J83" s="4">
        <f t="shared" si="23"/>
        <v>47</v>
      </c>
      <c r="K83" s="4">
        <f t="shared" si="24"/>
        <v>7</v>
      </c>
      <c r="L83" s="4">
        <f t="shared" ref="L83:M83" si="28">I83/$C$77 * 100</f>
        <v>8</v>
      </c>
      <c r="M83" s="4">
        <f t="shared" si="28"/>
        <v>94</v>
      </c>
      <c r="N83" s="1"/>
      <c r="O83" s="4">
        <f t="shared" si="21"/>
        <v>98</v>
      </c>
      <c r="P83" s="1"/>
      <c r="Q83" s="3" t="s">
        <v>61</v>
      </c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3">
        <v>7.0</v>
      </c>
      <c r="F84" s="4">
        <f t="shared" si="22"/>
        <v>30</v>
      </c>
      <c r="G84" s="4">
        <f t="shared" si="17"/>
        <v>39</v>
      </c>
      <c r="H84" s="4">
        <f t="shared" si="18"/>
        <v>34.5</v>
      </c>
      <c r="I84" s="4">
        <f t="shared" si="19"/>
        <v>3</v>
      </c>
      <c r="J84" s="4">
        <f t="shared" si="23"/>
        <v>50</v>
      </c>
      <c r="K84" s="4">
        <f t="shared" si="24"/>
        <v>3</v>
      </c>
      <c r="L84" s="4">
        <f t="shared" ref="L84:M84" si="29">I84/$C$77 * 100</f>
        <v>6</v>
      </c>
      <c r="M84" s="4">
        <f t="shared" si="29"/>
        <v>100</v>
      </c>
      <c r="N84" s="1"/>
      <c r="O84" s="4">
        <f t="shared" si="21"/>
        <v>103.5</v>
      </c>
      <c r="P84" s="1"/>
      <c r="Q84" s="4">
        <f>O86/C77</f>
        <v>11.1</v>
      </c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 t="s">
        <v>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4">
        <f>ROUNDUP(1 + 3.3 * LOG(C77))</f>
        <v>7</v>
      </c>
      <c r="D86" s="1"/>
      <c r="E86" s="1"/>
      <c r="F86" s="1"/>
      <c r="G86" s="1"/>
      <c r="H86" s="1"/>
      <c r="I86" s="1"/>
      <c r="J86" s="1"/>
      <c r="K86" s="1"/>
      <c r="L86" s="4">
        <f>SUM(L78:L84)</f>
        <v>100</v>
      </c>
      <c r="M86" s="1"/>
      <c r="N86" s="1"/>
      <c r="O86" s="4">
        <f>SUM(O77:O84)</f>
        <v>555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 t="s">
        <v>62</v>
      </c>
      <c r="D88" s="1"/>
      <c r="E88" s="3" t="s">
        <v>63</v>
      </c>
      <c r="F88" s="3" t="s">
        <v>64</v>
      </c>
      <c r="G88" s="3" t="s">
        <v>65</v>
      </c>
      <c r="H88" s="3" t="s">
        <v>66</v>
      </c>
      <c r="I88" s="3" t="s">
        <v>67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4">
        <f>ROUNDUP((MAX(C70:L74) - MIN(C70:L74)) / C86)</f>
        <v>10</v>
      </c>
      <c r="D89" s="1"/>
      <c r="E89" s="4">
        <f>max(I78:I84)</f>
        <v>23</v>
      </c>
      <c r="F89" s="4">
        <f>F81</f>
        <v>0</v>
      </c>
      <c r="G89" s="3">
        <v>0.0</v>
      </c>
      <c r="H89" s="3">
        <v>19.0</v>
      </c>
      <c r="I89" s="4">
        <f>F89+(E89-G89)/(E89-F89+E89-H89) *C89</f>
        <v>8.518518519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3" t="s">
        <v>68</v>
      </c>
      <c r="F91" s="3" t="s">
        <v>69</v>
      </c>
      <c r="G91" s="3" t="s">
        <v>70</v>
      </c>
      <c r="H91" s="3" t="s">
        <v>71</v>
      </c>
      <c r="I91" s="9" t="s">
        <v>72</v>
      </c>
      <c r="J91" s="3" t="s">
        <v>73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4">
        <f>C77/2</f>
        <v>25</v>
      </c>
      <c r="F92" s="3">
        <v>43.0</v>
      </c>
      <c r="G92" s="3">
        <v>24.0</v>
      </c>
      <c r="H92" s="3">
        <v>10.0</v>
      </c>
      <c r="I92" s="9">
        <v>19.0</v>
      </c>
      <c r="J92" s="4">
        <f>H92 * (E92 -G92)/I92 *C89 </f>
        <v>5.263157895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0" t="s">
        <v>74</v>
      </c>
      <c r="F94" s="10" t="s">
        <v>75</v>
      </c>
      <c r="I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1">
        <f>C77/4</f>
        <v>12.5</v>
      </c>
      <c r="F95" s="11">
        <f>3*E95</f>
        <v>37.5</v>
      </c>
      <c r="I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3" t="s">
        <v>76</v>
      </c>
      <c r="F97" s="3" t="s">
        <v>77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E98" s="3">
        <v>23.0</v>
      </c>
      <c r="F98" s="3">
        <v>43.0</v>
      </c>
      <c r="G98" s="1"/>
      <c r="H98" s="1"/>
      <c r="I98" s="1"/>
      <c r="J98" s="1"/>
      <c r="K98" s="1"/>
      <c r="M98" s="2"/>
      <c r="N98" s="2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E99" s="1"/>
      <c r="F99" s="1"/>
      <c r="G99" s="1"/>
      <c r="H99" s="1"/>
      <c r="I99" s="1"/>
      <c r="J99" s="1"/>
      <c r="K99" s="1"/>
      <c r="M99" s="1"/>
      <c r="N99" s="12"/>
      <c r="O99" s="13"/>
      <c r="P99" s="13"/>
      <c r="Q99" s="13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E100" s="3" t="s">
        <v>78</v>
      </c>
      <c r="F100" s="3" t="s">
        <v>79</v>
      </c>
      <c r="G100" s="1"/>
      <c r="H100" s="3" t="s">
        <v>80</v>
      </c>
      <c r="I100" s="3" t="s">
        <v>81</v>
      </c>
      <c r="J100" s="3" t="s">
        <v>82</v>
      </c>
      <c r="K100" s="3" t="s">
        <v>83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E101" s="3">
        <v>0.0</v>
      </c>
      <c r="F101" s="3">
        <v>10.0</v>
      </c>
      <c r="G101" s="1"/>
      <c r="H101" s="4">
        <f>E101 + (E95-E104)/E98 * C89</f>
        <v>-15.86956522</v>
      </c>
      <c r="I101" s="4">
        <f>J92</f>
        <v>5.263157895</v>
      </c>
      <c r="J101" s="14">
        <f>F101 + (F95 - F104) / F98 *C89</f>
        <v>13.13953488</v>
      </c>
      <c r="K101" s="4">
        <f>C83</f>
        <v>38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E103" s="3" t="s">
        <v>84</v>
      </c>
      <c r="F103" s="3" t="s">
        <v>84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E104" s="3">
        <v>49.0</v>
      </c>
      <c r="F104" s="3">
        <v>24.0</v>
      </c>
      <c r="G104" s="1"/>
      <c r="H104" s="1"/>
      <c r="I104" s="1"/>
      <c r="J104" s="1"/>
      <c r="K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