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98f7da1625225b2/POS IA-DataScience/Estatistica/Trabalho_1/"/>
    </mc:Choice>
  </mc:AlternateContent>
  <xr:revisionPtr revIDLastSave="752" documentId="11_AD4D361C20488DEA4E38A09734195CF25ADEDD8A" xr6:coauthVersionLast="47" xr6:coauthVersionMax="47" xr10:uidLastSave="{23C6CE08-5CFB-41F4-9072-976D658691D6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5" i="1"/>
  <c r="U4" i="1"/>
  <c r="U3" i="1"/>
  <c r="U2" i="1"/>
  <c r="R14" i="1"/>
  <c r="R13" i="1"/>
  <c r="R12" i="1"/>
  <c r="R11" i="1"/>
  <c r="R10" i="1"/>
  <c r="R9" i="1"/>
  <c r="R8" i="1"/>
  <c r="R7" i="1"/>
  <c r="R6" i="1"/>
  <c r="R5" i="1"/>
  <c r="R4" i="1"/>
  <c r="R3" i="1"/>
  <c r="O5" i="1"/>
  <c r="O4" i="1"/>
  <c r="O3" i="1"/>
  <c r="O2" i="1"/>
  <c r="N3" i="1"/>
  <c r="N5" i="1"/>
  <c r="N4" i="1"/>
  <c r="N2" i="1"/>
  <c r="F10" i="1"/>
  <c r="E10" i="1"/>
  <c r="K3" i="1" s="1" a="1"/>
  <c r="K3" i="1" s="1"/>
  <c r="F7" i="1"/>
  <c r="E7" i="1"/>
  <c r="J3" i="1" s="1" a="1"/>
  <c r="J3" i="1" s="1"/>
  <c r="F4" i="1" a="1"/>
  <c r="F4" i="1" s="1"/>
  <c r="G4" i="1" a="1"/>
  <c r="G4" i="1" s="1"/>
  <c r="G3" i="1"/>
  <c r="F3" i="1"/>
  <c r="G2" i="1"/>
  <c r="F2" i="1"/>
  <c r="A25" i="1" s="1"/>
  <c r="C25" i="1" s="1"/>
  <c r="B25" i="1"/>
  <c r="D25" i="1" s="1"/>
  <c r="A30" i="1" l="1"/>
  <c r="C30" i="1" s="1"/>
  <c r="A28" i="1"/>
  <c r="C28" i="1" s="1"/>
  <c r="A20" i="1"/>
  <c r="C20" i="1" s="1"/>
  <c r="A18" i="1"/>
  <c r="C18" i="1" s="1"/>
  <c r="A21" i="1"/>
  <c r="C21" i="1" s="1"/>
  <c r="A22" i="1"/>
  <c r="C22" i="1" s="1"/>
  <c r="A29" i="1"/>
  <c r="C29" i="1" s="1"/>
  <c r="A27" i="1"/>
  <c r="C27" i="1" s="1"/>
  <c r="A26" i="1"/>
  <c r="C26" i="1" s="1"/>
  <c r="A19" i="1"/>
  <c r="C19" i="1" s="1"/>
  <c r="A23" i="1"/>
  <c r="C23" i="1" s="1"/>
  <c r="A24" i="1"/>
  <c r="C24" i="1" s="1"/>
  <c r="B26" i="1"/>
  <c r="D26" i="1" s="1"/>
  <c r="B27" i="1"/>
  <c r="D27" i="1" s="1"/>
  <c r="B28" i="1"/>
  <c r="D28" i="1" s="1"/>
  <c r="B29" i="1"/>
  <c r="D29" i="1" s="1"/>
  <c r="B30" i="1"/>
  <c r="D30" i="1" s="1"/>
  <c r="B19" i="1"/>
  <c r="D19" i="1" s="1"/>
  <c r="B18" i="1"/>
  <c r="D18" i="1" s="1"/>
  <c r="B20" i="1"/>
  <c r="D20" i="1" s="1"/>
  <c r="B21" i="1"/>
  <c r="D21" i="1" s="1"/>
  <c r="B22" i="1"/>
  <c r="D22" i="1" s="1"/>
  <c r="B23" i="1"/>
  <c r="D23" i="1" s="1"/>
  <c r="B24" i="1"/>
  <c r="D24" i="1" s="1"/>
  <c r="C33" i="1" l="1"/>
  <c r="B33" i="1"/>
  <c r="B34" i="1"/>
  <c r="B35" i="1" s="1"/>
  <c r="J2" i="1" s="1"/>
  <c r="C34" i="1"/>
  <c r="C35" i="1" s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<sst xmlns="http://schemas.openxmlformats.org/spreadsheetml/2006/main" count="50" uniqueCount="42">
  <si>
    <t>Mês/Ano</t>
  </si>
  <si>
    <t>Mediana</t>
  </si>
  <si>
    <t>Moda</t>
  </si>
  <si>
    <t>Valor</t>
  </si>
  <si>
    <t>KWH</t>
  </si>
  <si>
    <t>Média</t>
  </si>
  <si>
    <t>Estatísticas</t>
  </si>
  <si>
    <t>Estatística</t>
  </si>
  <si>
    <t>Valor (R$)</t>
  </si>
  <si>
    <t>Desvio Padrão</t>
  </si>
  <si>
    <t>Amplitude</t>
  </si>
  <si>
    <t>Calcular Desvio Padrão</t>
  </si>
  <si>
    <t>VALOR</t>
  </si>
  <si>
    <t>Kwh</t>
  </si>
  <si>
    <t>Soma</t>
  </si>
  <si>
    <t>Soma/12</t>
  </si>
  <si>
    <t>Raiz</t>
  </si>
  <si>
    <t>Coluna1</t>
  </si>
  <si>
    <t>kwhQuadrado</t>
  </si>
  <si>
    <t>VlrQuadrado</t>
  </si>
  <si>
    <t>kwh</t>
  </si>
  <si>
    <t>valor</t>
  </si>
  <si>
    <t>Maior Kwh</t>
  </si>
  <si>
    <t>Menor Kwh</t>
  </si>
  <si>
    <t>Maior Valor</t>
  </si>
  <si>
    <t>Menor Valor</t>
  </si>
  <si>
    <t>Trimestre</t>
  </si>
  <si>
    <t>Média KWH</t>
  </si>
  <si>
    <t>Média Valor (R$)</t>
  </si>
  <si>
    <t>Jan-Mar</t>
  </si>
  <si>
    <t>Abr-Jun</t>
  </si>
  <si>
    <t>Jul-Set</t>
  </si>
  <si>
    <t>Out-Dez</t>
  </si>
  <si>
    <t>-</t>
  </si>
  <si>
    <t>Variação Percentual KWH</t>
  </si>
  <si>
    <t>Intervalo</t>
  </si>
  <si>
    <t>244 - 266</t>
  </si>
  <si>
    <t>267 - 289</t>
  </si>
  <si>
    <t>290 - 312</t>
  </si>
  <si>
    <t>313 - 335</t>
  </si>
  <si>
    <t>336 - 358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</si>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</sst>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</cellXfs>
  <cellStyles count="2">
    <cellStyle name="Normal" xfId="0" builtinId="0"/>
    <cellStyle name="Porcentagem" xfId="1" builtinId="5"/>
  </cellStyles>
  <dxfs count="17">
    <dxf>
      <numFmt numFmtId="14" formatCode="0.00%"/>
      <alignment horizontal="center" vertical="bottom" textRotation="0" wrapText="0" indent="0" justifyLastLine="0" shrinkToFit="0" readingOrder="0"/>
    </dxf>
    <dxf>
      <numFmt numFmtId="22" formatCode="mmm/yy"/>
    </dxf>
    <dxf>
      <numFmt numFmtId="164" formatCode="&quot;R$&quot;\ #,##0.0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2" formatCode="0.00"/>
    </dxf>
    <dxf>
      <numFmt numFmtId="164" formatCode="&quot;R$&quot;\ #,##0.00"/>
    </dxf>
    <dxf>
      <numFmt numFmtId="2" formatCode="0.00"/>
    </dxf>
    <dxf>
      <numFmt numFmtId="164" formatCode="&quot;R$&quot;\ #,##0.00"/>
    </dxf>
    <dxf>
      <numFmt numFmtId="2" formatCode="0.0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Plan1!$A$2:$A$14</c:f>
              <c:numCache>
                <c:formatCode>mmm\-yy</c:formatCode>
                <c:ptCount val="13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</c:numCache>
            </c:numRef>
          </c:cat>
          <c:val>
            <c:numRef>
              <c:f>Plan1!$B$2:$B$14</c:f>
              <c:numCache>
                <c:formatCode>General</c:formatCode>
                <c:ptCount val="13"/>
                <c:pt idx="0">
                  <c:v>268</c:v>
                </c:pt>
                <c:pt idx="1">
                  <c:v>244</c:v>
                </c:pt>
                <c:pt idx="2">
                  <c:v>319</c:v>
                </c:pt>
                <c:pt idx="3">
                  <c:v>246</c:v>
                </c:pt>
                <c:pt idx="4">
                  <c:v>306</c:v>
                </c:pt>
                <c:pt idx="5">
                  <c:v>352</c:v>
                </c:pt>
                <c:pt idx="6">
                  <c:v>262</c:v>
                </c:pt>
                <c:pt idx="7">
                  <c:v>263</c:v>
                </c:pt>
                <c:pt idx="8">
                  <c:v>247</c:v>
                </c:pt>
                <c:pt idx="9">
                  <c:v>271</c:v>
                </c:pt>
                <c:pt idx="10">
                  <c:v>291</c:v>
                </c:pt>
                <c:pt idx="11">
                  <c:v>251</c:v>
                </c:pt>
                <c:pt idx="12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F-4562-9020-ABE095314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577670000"/>
        <c:axId val="1577673840"/>
      </c:barChart>
      <c:dateAx>
        <c:axId val="15776700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7673840"/>
        <c:crosses val="autoZero"/>
        <c:auto val="1"/>
        <c:lblOffset val="100"/>
        <c:baseTimeUnit val="months"/>
      </c:dateAx>
      <c:valAx>
        <c:axId val="1577673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767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valor</a:t>
            </a:r>
            <a:r>
              <a:rPr lang="pt-BR" baseline="0"/>
              <a:t> mensal da conta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pattFill prst="ltUpDiag">
              <a:fgClr>
                <a:schemeClr val="accent5">
                  <a:tint val="77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Plan1!$A$2:$A$14</c:f>
              <c:numCache>
                <c:formatCode>mmm\-yy</c:formatCode>
                <c:ptCount val="13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</c:numCache>
            </c:numRef>
          </c:cat>
          <c:val>
            <c:numRef>
              <c:f>Plan1!$C$2:$C$14</c:f>
              <c:numCache>
                <c:formatCode>"R$"\ #,##0.00</c:formatCode>
                <c:ptCount val="13"/>
                <c:pt idx="0">
                  <c:v>262.70999999999998</c:v>
                </c:pt>
                <c:pt idx="1">
                  <c:v>246.28</c:v>
                </c:pt>
                <c:pt idx="2">
                  <c:v>317.63</c:v>
                </c:pt>
                <c:pt idx="3">
                  <c:v>247.35</c:v>
                </c:pt>
                <c:pt idx="4">
                  <c:v>300.38</c:v>
                </c:pt>
                <c:pt idx="5">
                  <c:v>365.18</c:v>
                </c:pt>
                <c:pt idx="6">
                  <c:v>292.52999999999997</c:v>
                </c:pt>
                <c:pt idx="7">
                  <c:v>265.74</c:v>
                </c:pt>
                <c:pt idx="8">
                  <c:v>236.48</c:v>
                </c:pt>
                <c:pt idx="9">
                  <c:v>257.20999999999998</c:v>
                </c:pt>
                <c:pt idx="10">
                  <c:v>304.47000000000003</c:v>
                </c:pt>
                <c:pt idx="11">
                  <c:v>265.08</c:v>
                </c:pt>
                <c:pt idx="12">
                  <c:v>322.27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4A-44AF-BC0E-2D5B133E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61858496"/>
        <c:axId val="2061873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pattFill prst="ltUpDiag">
                    <a:fgClr>
                      <a:schemeClr val="accent5">
                        <a:shade val="76000"/>
                      </a:schemeClr>
                    </a:fgClr>
                    <a:bgClr>
                      <a:schemeClr val="lt1"/>
                    </a:bgClr>
                  </a:patt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Plan1!$A$2:$A$14</c15:sqref>
                        </c15:formulaRef>
                      </c:ext>
                    </c:extLst>
                    <c:numCache>
                      <c:formatCode>mmm\-yy</c:formatCode>
                      <c:ptCount val="13"/>
                      <c:pt idx="0">
                        <c:v>45383</c:v>
                      </c:pt>
                      <c:pt idx="1">
                        <c:v>45413</c:v>
                      </c:pt>
                      <c:pt idx="2">
                        <c:v>45444</c:v>
                      </c:pt>
                      <c:pt idx="3">
                        <c:v>45474</c:v>
                      </c:pt>
                      <c:pt idx="4">
                        <c:v>45505</c:v>
                      </c:pt>
                      <c:pt idx="5">
                        <c:v>45536</c:v>
                      </c:pt>
                      <c:pt idx="6">
                        <c:v>45566</c:v>
                      </c:pt>
                      <c:pt idx="7">
                        <c:v>45597</c:v>
                      </c:pt>
                      <c:pt idx="8">
                        <c:v>45627</c:v>
                      </c:pt>
                      <c:pt idx="9">
                        <c:v>45658</c:v>
                      </c:pt>
                      <c:pt idx="10">
                        <c:v>45689</c:v>
                      </c:pt>
                      <c:pt idx="11">
                        <c:v>45717</c:v>
                      </c:pt>
                      <c:pt idx="12">
                        <c:v>45748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Plan1!$B$2:$B$14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268</c:v>
                      </c:pt>
                      <c:pt idx="1">
                        <c:v>244</c:v>
                      </c:pt>
                      <c:pt idx="2">
                        <c:v>319</c:v>
                      </c:pt>
                      <c:pt idx="3">
                        <c:v>246</c:v>
                      </c:pt>
                      <c:pt idx="4">
                        <c:v>306</c:v>
                      </c:pt>
                      <c:pt idx="5">
                        <c:v>352</c:v>
                      </c:pt>
                      <c:pt idx="6">
                        <c:v>262</c:v>
                      </c:pt>
                      <c:pt idx="7">
                        <c:v>263</c:v>
                      </c:pt>
                      <c:pt idx="8">
                        <c:v>247</c:v>
                      </c:pt>
                      <c:pt idx="9">
                        <c:v>271</c:v>
                      </c:pt>
                      <c:pt idx="10">
                        <c:v>291</c:v>
                      </c:pt>
                      <c:pt idx="11">
                        <c:v>251</c:v>
                      </c:pt>
                      <c:pt idx="12">
                        <c:v>316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A4A-44AF-BC0E-2D5B133E755F}"/>
                  </c:ext>
                </c:extLst>
              </c15:ser>
            </c15:filteredBarSeries>
          </c:ext>
        </c:extLst>
      </c:barChart>
      <c:dateAx>
        <c:axId val="20618584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873376"/>
        <c:crosses val="autoZero"/>
        <c:auto val="1"/>
        <c:lblOffset val="100"/>
        <c:baseTimeUnit val="months"/>
      </c:dateAx>
      <c:valAx>
        <c:axId val="2061873376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85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</a:t>
            </a:r>
            <a:r>
              <a:rPr lang="en-US" baseline="0"/>
              <a:t> percentual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83202099737535E-2"/>
          <c:y val="0.18097222222222226"/>
          <c:w val="0.86592913385826775"/>
          <c:h val="0.64662547389909597"/>
        </c:manualLayout>
      </c:layout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dLbls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Plan1!$Q$2:$Q$14</c:f>
              <c:numCache>
                <c:formatCode>mmm\-yy</c:formatCode>
                <c:ptCount val="13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  <c:pt idx="12">
                  <c:v>45748</c:v>
                </c:pt>
              </c:numCache>
            </c:numRef>
          </c:cat>
          <c:val>
            <c:numRef>
              <c:f>Plan1!$R$2:$R$14</c:f>
              <c:numCache>
                <c:formatCode>0.00%</c:formatCode>
                <c:ptCount val="13"/>
                <c:pt idx="0">
                  <c:v>0</c:v>
                </c:pt>
                <c:pt idx="1">
                  <c:v>-8.9552238805970144E-2</c:v>
                </c:pt>
                <c:pt idx="2">
                  <c:v>0.30737704918032788</c:v>
                </c:pt>
                <c:pt idx="3">
                  <c:v>-0.22884012539184956</c:v>
                </c:pt>
                <c:pt idx="4">
                  <c:v>0.24390243902439024</c:v>
                </c:pt>
                <c:pt idx="5">
                  <c:v>0.15032679738562091</c:v>
                </c:pt>
                <c:pt idx="6">
                  <c:v>-0.25568181818181818</c:v>
                </c:pt>
                <c:pt idx="7">
                  <c:v>3.8167938931297708E-3</c:v>
                </c:pt>
                <c:pt idx="8">
                  <c:v>-6.0836501901140677E-2</c:v>
                </c:pt>
                <c:pt idx="9">
                  <c:v>9.7165991902833995E-2</c:v>
                </c:pt>
                <c:pt idx="10">
                  <c:v>7.3800738007380073E-2</c:v>
                </c:pt>
                <c:pt idx="11">
                  <c:v>-0.13745704467353953</c:v>
                </c:pt>
                <c:pt idx="12">
                  <c:v>0.25896414342629481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3-4490-B736-9DB0316055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61913216"/>
        <c:axId val="2061913696"/>
      </c:lineChart>
      <c:dateAx>
        <c:axId val="2061913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913696"/>
        <c:crosses val="autoZero"/>
        <c:auto val="0"/>
        <c:lblOffset val="100"/>
        <c:baseTimeUnit val="months"/>
      </c:dateAx>
      <c:valAx>
        <c:axId val="206191369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0619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DISTRIBUIÇÃO</a:t>
            </a:r>
            <a:r>
              <a:rPr lang="pt-BR" baseline="0"/>
              <a:t> POR TRIMESTRE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invertIfNegative val="0"/>
          <c:cat>
            <c:strRef>
              <c:f>Plan1!$M$2:$M$5</c:f>
              <c:strCache>
                <c:ptCount val="4"/>
                <c:pt idx="0">
                  <c:v>Abr-Jun</c:v>
                </c:pt>
                <c:pt idx="1">
                  <c:v>Jul-Set</c:v>
                </c:pt>
                <c:pt idx="2">
                  <c:v>Out-Dez</c:v>
                </c:pt>
                <c:pt idx="3">
                  <c:v>Jan-Mar</c:v>
                </c:pt>
              </c:strCache>
            </c:strRef>
          </c:cat>
          <c:val>
            <c:numRef>
              <c:f>Plan1!$N$2:$N$5</c:f>
              <c:numCache>
                <c:formatCode>0</c:formatCode>
                <c:ptCount val="4"/>
                <c:pt idx="0" formatCode="General">
                  <c:v>277</c:v>
                </c:pt>
                <c:pt idx="1">
                  <c:v>301.33333333333331</c:v>
                </c:pt>
                <c:pt idx="2">
                  <c:v>257.33333333333331</c:v>
                </c:pt>
                <c:pt idx="3" formatCode="General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F2-4049-B576-FADACBF936AD}"/>
            </c:ext>
          </c:extLst>
        </c:ser>
        <c:ser>
          <c:idx val="1"/>
          <c:order val="1"/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invertIfNegative val="0"/>
          <c:cat>
            <c:strRef>
              <c:f>Plan1!$M$2:$M$5</c:f>
              <c:strCache>
                <c:ptCount val="4"/>
                <c:pt idx="0">
                  <c:v>Abr-Jun</c:v>
                </c:pt>
                <c:pt idx="1">
                  <c:v>Jul-Set</c:v>
                </c:pt>
                <c:pt idx="2">
                  <c:v>Out-Dez</c:v>
                </c:pt>
                <c:pt idx="3">
                  <c:v>Jan-Mar</c:v>
                </c:pt>
              </c:strCache>
            </c:strRef>
          </c:cat>
          <c:val>
            <c:numRef>
              <c:f>Plan1!$O$2:$O$5</c:f>
              <c:numCache>
                <c:formatCode>"R$"\ #,##0.00</c:formatCode>
                <c:ptCount val="4"/>
                <c:pt idx="0">
                  <c:v>275.54000000000002</c:v>
                </c:pt>
                <c:pt idx="1">
                  <c:v>304.30333333333334</c:v>
                </c:pt>
                <c:pt idx="2">
                  <c:v>264.91666666666669</c:v>
                </c:pt>
                <c:pt idx="3">
                  <c:v>275.58666666666664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F2-4049-B576-FADACBF93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444720"/>
        <c:axId val="260443280"/>
      </c:barChart>
      <c:catAx>
        <c:axId val="26044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0443280"/>
        <c:crosses val="autoZero"/>
        <c:auto val="1"/>
        <c:lblAlgn val="ctr"/>
        <c:lblOffset val="100"/>
        <c:noMultiLvlLbl val="0"/>
      </c:catAx>
      <c:valAx>
        <c:axId val="2604432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044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FREQUÊNCIA DE CONSUMO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36-4E44-A149-690F916FDD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36-4E44-A149-690F916FDD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36-4E44-A149-690F916FDD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36-4E44-A149-690F916FDD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36-4E44-A149-690F916FDDB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Plan1!$T$2:$T$6</c:f>
              <c:strCache>
                <c:ptCount val="5"/>
                <c:pt idx="0">
                  <c:v>244 - 266</c:v>
                </c:pt>
                <c:pt idx="1">
                  <c:v>267 - 289</c:v>
                </c:pt>
                <c:pt idx="2">
                  <c:v>290 - 312</c:v>
                </c:pt>
                <c:pt idx="3">
                  <c:v>313 - 335</c:v>
                </c:pt>
                <c:pt idx="4">
                  <c:v>336 - 358</c:v>
                </c:pt>
              </c:strCache>
            </c:strRef>
          </c:cat>
          <c:val>
            <c:numRef>
              <c:f>Plan1!$U$2:$U$6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A-4A4D-8A81-BEFBDADF55A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962025</xdr:colOff>
      <xdr:row>15</xdr:row>
      <xdr:rowOff>157163</xdr:rowOff>
    </xdr:from>
    <xdr:to>
      <xdr:col>10</xdr:col>
      <xdr:colOff>361950</xdr:colOff>
      <xdr:row>31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0FC9BB5-2787-2EC3-84AC-D64756F45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962025</xdr:colOff>
      <xdr:row>31</xdr:row>
      <xdr:rowOff>166688</xdr:rowOff>
    </xdr:from>
    <xdr:to>
      <xdr:col>10</xdr:col>
      <xdr:colOff>361950</xdr:colOff>
      <xdr:row>47</xdr:row>
      <xdr:rowOff>14288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A74947-0891-073B-9096-69CA98830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714374</xdr:colOff>
      <xdr:row>15</xdr:row>
      <xdr:rowOff>166687</xdr:rowOff>
    </xdr:from>
    <xdr:to>
      <xdr:col>15</xdr:col>
      <xdr:colOff>381000</xdr:colOff>
      <xdr:row>31</xdr:row>
      <xdr:rowOff>9524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385F0E-3E42-136C-E2EB-54E216E3C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733425</xdr:colOff>
      <xdr:row>32</xdr:row>
      <xdr:rowOff>4763</xdr:rowOff>
    </xdr:from>
    <xdr:to>
      <xdr:col>15</xdr:col>
      <xdr:colOff>323850</xdr:colOff>
      <xdr:row>47</xdr:row>
      <xdr:rowOff>33338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7E82835-88B2-F939-D7A0-4295FECA1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600075</xdr:colOff>
      <xdr:row>15</xdr:row>
      <xdr:rowOff>157163</xdr:rowOff>
    </xdr:from>
    <xdr:to>
      <xdr:col>20</xdr:col>
      <xdr:colOff>771525</xdr:colOff>
      <xdr:row>31</xdr:row>
      <xdr:rowOff>4763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EB0C797-99CF-103E-D66C-649547640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72B05-0EBB-43F7-B268-AEF9D912DA59}" name="Tabela1" displayName="Tabela1" ref="A1:C14" totalsRowShown="0">
  <tableColumns count="3">
    <tableColumn id="1" xr3:uid="{890B41F5-E34E-4C2B-A6BE-06DA8F83715C}" name="Mês/Ano" dataDxfId="16"/>
    <tableColumn id="2" xr3:uid="{B0B0C350-93A2-4BE9-B8A3-10F53C36C649}" name="KWH"/>
    <tableColumn id="3" xr3:uid="{95BE7742-6C8E-479A-8D71-257198BA2437}" name="Valor" dataDxfId="1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DCFD15-A8F7-4D52-9663-53E87DCF8A5F}" name="Tabela4" displayName="Tabela4" ref="E1:G4" totalsRowShown="0" headerRowDxfId="14" dataDxfId="13">
  <tableColumns count="3">
    <tableColumn id="1" xr3:uid="{DE6C9865-A676-4069-8338-5937973403BD}" name="Estatísticas" dataDxfId="12"/>
    <tableColumn id="2" xr3:uid="{2A4C46E2-A8E2-4D34-BF86-7C7B7447D60D}" name="KWH" dataDxfId="11"/>
    <tableColumn id="3" xr3:uid="{5EE1161C-7D52-4EBC-BFC8-9055FDFDB149}" name="VALOR" dataDxfId="1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09A71-810A-44A4-BFF3-3A125A50CAAE}" name="Tabela3" displayName="Tabela3" ref="A17:D30" totalsRowShown="0">
  <tableColumns count="4">
    <tableColumn id="1" xr3:uid="{20AA3D46-10E4-4A69-A3D8-D9D552D4037D}" name="Kwh" dataDxfId="9"/>
    <tableColumn id="2" xr3:uid="{C0D7482C-39C5-4411-AA00-26305654A8F6}" name="Valor" dataDxfId="8"/>
    <tableColumn id="3" xr3:uid="{06CE29DE-9B0A-4A83-9D11-904DE8E264A4}" name="kwhQuadrado" dataDxfId="7">
      <calculatedColumnFormula>A18^2</calculatedColumnFormula>
    </tableColumn>
    <tableColumn id="4" xr3:uid="{8DB39EA1-F265-499A-A6E5-BBFBC358D243}" name="VlrQuadrado" dataDxfId="6">
      <calculatedColumnFormula>B18^2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1FB14D-5BE0-4859-98E9-95D84160F457}" name="Tabela6" displayName="Tabela6" ref="A32:C35" totalsRowShown="0">
  <tableColumns count="3">
    <tableColumn id="1" xr3:uid="{24DACD00-12E5-4FC5-B79B-57D9227CADE3}" name="Coluna1"/>
    <tableColumn id="2" xr3:uid="{92BC5037-FDC0-4B97-AA3D-B3B0780FFBBA}" name="kwh" dataDxfId="5"/>
    <tableColumn id="3" xr3:uid="{DA729F3B-F878-4BDF-92EA-8E9ABE7FBDEC}" name="va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C171B8-B5E1-4E3A-BC96-5A0E078C8F6D}" name="Tabela7" displayName="Tabela7" ref="E6:F7" totalsRowShown="0">
  <tableColumns count="2">
    <tableColumn id="1" xr3:uid="{93B4425F-ACEA-459C-82C3-45E361B13587}" name="Maior Kwh">
      <calculatedColumnFormula>LARGE(Tabela1[KWH],1)</calculatedColumnFormula>
    </tableColumn>
    <tableColumn id="2" xr3:uid="{3747B759-F4E0-4634-B9B9-D151734D1126}" name="Menor Kwh">
      <calculatedColumnFormula>SMALL(Tabela1[KWH],1)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83E8AE-6ECB-41B1-A50C-84857D354576}" name="Tabela8" displayName="Tabela8" ref="E9:F10" totalsRowShown="0">
  <tableColumns count="2">
    <tableColumn id="1" xr3:uid="{EAD1EE91-67B8-4696-807E-4200567A2C12}" name="Maior Valor">
      <calculatedColumnFormula>LARGE(Tabela1[Valor],1)</calculatedColumnFormula>
    </tableColumn>
    <tableColumn id="2" xr3:uid="{DB728F27-5882-499F-8897-2F5869AA68D6}" name="Menor Valor">
      <calculatedColumnFormula>SMALL(Tabela1[Valor],1)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14C0E1-9B46-4711-85C4-443FA7190437}" name="Tabela9" displayName="Tabela9" ref="I1:K3" totalsRowShown="0" headerRowDxfId="4">
  <tableColumns count="3">
    <tableColumn id="1" xr3:uid="{21C629CA-DB95-4C8C-A16C-2D0EEFB0C010}" name="Estatística" dataDxfId="3"/>
    <tableColumn id="2" xr3:uid="{81137D72-F618-48D2-8886-34C6392A9817}" name="KWH">
      <calculatedColumnFormula array="1">Tabela7[Maior Kwh]-Tabela7[Menor Kwh]</calculatedColumnFormula>
    </tableColumn>
    <tableColumn id="3" xr3:uid="{FB26E5BB-B7AD-49C2-8A43-2F6929F3925B}" name="Valor (R$)">
      <calculatedColumnFormula array="1">Tabela8[Maior Valor]-Tabela8[Menor Valor]</calculatedColumnFormula>
    </tableColumn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580D30-74CC-480F-9364-B8BB8DC723DB}" name="Tabela10" displayName="Tabela10" ref="M1:O5" totalsRowShown="0">
  <tableColumns count="3">
    <tableColumn id="1" xr3:uid="{65921767-0B74-4EF5-B3EE-33D20C9130D9}" name="Trimestre"/>
    <tableColumn id="2" xr3:uid="{1AFC79F0-037C-46D6-A22E-02FB0A6104A4}" name="Média KWH"/>
    <tableColumn id="3" xr3:uid="{D0D91F12-A48F-4C7B-9045-345AA559D872}" name="Média Valor (R$)" dataDxfId="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3C5B07-837A-4043-BE97-1FFACFB2A633}" name="Tabela2" displayName="Tabela2" ref="Q1:R14" totalsRowShown="0">
  <tableColumns count="2">
    <tableColumn id="1" xr3:uid="{49D6A76F-1088-4932-B831-CFCBDE677CB6}" name="Mês/Ano" dataDxfId="1"/>
    <tableColumn id="2" xr3:uid="{CD28B51F-D9FF-4AA2-B020-0756B50A9349}" name="Variação Percentual KWH" dataDxfId="0">
      <calculatedColumnFormula>(((Tabela1[[#This Row],[Valor]]-C1)/C1)*100)/100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9FB8EA-A55A-4C70-ACFC-48556FF9A6CA}" name="Tabela5" displayName="Tabela5" ref="T1:U6" totalsRowShown="0">
  <tableColumns count="2">
    <tableColumn id="1" xr3:uid="{6A620B16-2AFF-41E6-9128-9C59464376E7}" name="Intervalo"/>
    <tableColumn id="2" xr3:uid="{D013104E-CC27-4241-A2F2-C1BF0949543A}" name="Frequê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C8" zoomScale="80" zoomScaleNormal="80" workbookViewId="0">
      <selection activeCell="R43" sqref="R43"/>
    </sheetView>
  </sheetViews>
  <sheetFormatPr defaultRowHeight="14.4" x14ac:dyDescent="0.3"/>
  <cols>
    <col min="1" max="1" width="10.44140625" customWidth="1"/>
    <col min="2" max="2" width="14.6640625" customWidth="1"/>
    <col min="3" max="3" width="11.5546875" style="4" bestFit="1" customWidth="1"/>
    <col min="4" max="4" width="12.44140625" bestFit="1" customWidth="1"/>
    <col min="5" max="5" width="14.44140625" bestFit="1" customWidth="1"/>
    <col min="6" max="6" width="16.6640625" customWidth="1"/>
    <col min="7" max="7" width="13.33203125" customWidth="1"/>
    <col min="9" max="9" width="13.21875" bestFit="1" customWidth="1"/>
    <col min="11" max="11" width="11.21875" customWidth="1"/>
    <col min="13" max="13" width="22" bestFit="1" customWidth="1"/>
    <col min="14" max="14" width="13.5546875" bestFit="1" customWidth="1"/>
    <col min="15" max="15" width="17" customWidth="1"/>
    <col min="17" max="17" width="11" customWidth="1"/>
    <col min="18" max="18" width="24.77734375" customWidth="1"/>
    <col min="20" max="20" width="10.6640625" customWidth="1"/>
    <col min="21" max="21" width="12.5546875" customWidth="1"/>
  </cols>
  <sheetData>
    <row r="1" spans="1:21" x14ac:dyDescent="0.3">
      <c r="A1" t="s">
        <v>0</v>
      </c>
      <c r="B1" t="s">
        <v>4</v>
      </c>
      <c r="C1" s="4" t="s">
        <v>3</v>
      </c>
      <c r="E1" s="7" t="s">
        <v>6</v>
      </c>
      <c r="F1" s="7" t="s">
        <v>4</v>
      </c>
      <c r="G1" s="7" t="s">
        <v>12</v>
      </c>
      <c r="I1" s="5" t="s">
        <v>7</v>
      </c>
      <c r="J1" s="5" t="s">
        <v>4</v>
      </c>
      <c r="K1" s="5" t="s">
        <v>8</v>
      </c>
      <c r="M1" s="1" t="s">
        <v>26</v>
      </c>
      <c r="N1" t="s">
        <v>27</v>
      </c>
      <c r="O1" t="s">
        <v>28</v>
      </c>
      <c r="Q1" t="s">
        <v>0</v>
      </c>
      <c r="R1" t="s">
        <v>34</v>
      </c>
      <c r="T1" t="s">
        <v>35</v>
      </c>
      <c r="U1" t="s">
        <v>41</v>
      </c>
    </row>
    <row r="2" spans="1:21" x14ac:dyDescent="0.3">
      <c r="A2" s="1">
        <v>45383</v>
      </c>
      <c r="B2">
        <v>268</v>
      </c>
      <c r="C2" s="4">
        <v>262.70999999999998</v>
      </c>
      <c r="E2" s="13" t="s">
        <v>5</v>
      </c>
      <c r="F2" s="14">
        <f>AVERAGE(B2:B14)</f>
        <v>279.69230769230768</v>
      </c>
      <c r="G2" s="15">
        <f>AVERAGE(C2:C14)</f>
        <v>283.33153846153846</v>
      </c>
      <c r="I2" s="6" t="s">
        <v>9</v>
      </c>
      <c r="J2" s="9">
        <f>B35</f>
        <v>32.83615412546785</v>
      </c>
      <c r="K2" s="10">
        <f>C35</f>
        <v>37.446153528801382</v>
      </c>
      <c r="M2" t="s">
        <v>30</v>
      </c>
      <c r="N2">
        <f>(SUM(B2:B4))/3</f>
        <v>277</v>
      </c>
      <c r="O2" s="4">
        <f>((SUM(C2:C4))/3)</f>
        <v>275.54000000000002</v>
      </c>
      <c r="Q2" s="1">
        <v>45383</v>
      </c>
      <c r="R2" s="11" t="s">
        <v>33</v>
      </c>
      <c r="T2" t="s">
        <v>36</v>
      </c>
      <c r="U2">
        <f>COUNTIFS(Tabela1[KWH], "&gt;=244", Tabela1[KWH], "&lt;=266")</f>
        <v>6</v>
      </c>
    </row>
    <row r="3" spans="1:21" x14ac:dyDescent="0.3">
      <c r="A3" s="1">
        <v>45413</v>
      </c>
      <c r="B3">
        <v>244</v>
      </c>
      <c r="C3" s="4">
        <v>246.28</v>
      </c>
      <c r="E3" s="13" t="s">
        <v>1</v>
      </c>
      <c r="F3" s="16">
        <f>MEDIAN(B2:B14)</f>
        <v>268</v>
      </c>
      <c r="G3" s="15">
        <f>MEDIAN(C2:C14)</f>
        <v>265.74</v>
      </c>
      <c r="I3" s="6" t="s">
        <v>10</v>
      </c>
      <c r="J3" s="6" cm="1">
        <f t="array" ref="J3">Tabela7[Maior Kwh]-Tabela7[Menor Kwh]</f>
        <v>108</v>
      </c>
      <c r="K3" s="6" cm="1">
        <f t="array" ref="K3">Tabela8[Maior Valor]-Tabela8[Menor Valor]</f>
        <v>128.70000000000002</v>
      </c>
      <c r="M3" t="s">
        <v>31</v>
      </c>
      <c r="N3" s="8">
        <f>((SUM(B5:B7))/3)</f>
        <v>301.33333333333331</v>
      </c>
      <c r="O3" s="4">
        <f>((SUM(C5:C7))/3)</f>
        <v>304.30333333333334</v>
      </c>
      <c r="Q3" s="1">
        <v>45413</v>
      </c>
      <c r="R3" s="12">
        <f>(((Tabela1[[#This Row],[KWH]]-B2)/B2)*100)/100</f>
        <v>-8.9552238805970144E-2</v>
      </c>
      <c r="T3" t="s">
        <v>37</v>
      </c>
      <c r="U3">
        <f>COUNTIFS(Tabela1[KWH], "&gt;=267", Tabela1[KWH], "&lt;=289")</f>
        <v>2</v>
      </c>
    </row>
    <row r="4" spans="1:21" x14ac:dyDescent="0.3">
      <c r="A4" s="1">
        <v>45444</v>
      </c>
      <c r="B4">
        <v>319</v>
      </c>
      <c r="C4" s="4">
        <v>317.63</v>
      </c>
      <c r="E4" s="13" t="s">
        <v>2</v>
      </c>
      <c r="F4" s="17" t="str" cm="1">
        <f t="array" aca="1" ref="F4" ca="1">IF(ISERR(INDEX(MODA.UNICO(A1:A14),1)),"Não há",INDEX(MODA.UNICO(A1:A14),1))</f>
        <v>Não há</v>
      </c>
      <c r="G4" s="17" t="str" cm="1">
        <f t="array" aca="1" ref="G4" ca="1">IF(ISERR(INDEX(MODA.UNICO(B1:B14),1)),"Não há",INDEX(MODA.UNICO(B1:B14),1))</f>
        <v>Não há</v>
      </c>
      <c r="M4" t="s">
        <v>32</v>
      </c>
      <c r="N4" s="8">
        <f>(SUM(B8:B10))/3</f>
        <v>257.33333333333331</v>
      </c>
      <c r="O4" s="4">
        <f>((SUM(C8:C10))/3)</f>
        <v>264.91666666666669</v>
      </c>
      <c r="Q4" s="1">
        <v>45444</v>
      </c>
      <c r="R4" s="12">
        <f>(((Tabela1[[#This Row],[KWH]]-B3)/B3)*100)/100</f>
        <v>0.30737704918032788</v>
      </c>
      <c r="T4" t="s">
        <v>38</v>
      </c>
      <c r="U4">
        <f>COUNTIFS(Tabela1[KWH], "&gt;=290", Tabela1[KWH], "&lt;=312")</f>
        <v>2</v>
      </c>
    </row>
    <row r="5" spans="1:21" x14ac:dyDescent="0.3">
      <c r="A5" s="1">
        <v>45474</v>
      </c>
      <c r="B5">
        <v>246</v>
      </c>
      <c r="C5" s="4">
        <v>247.35</v>
      </c>
      <c r="F5" s="3"/>
      <c r="M5" t="s">
        <v>29</v>
      </c>
      <c r="N5">
        <f>(SUM(B11:B13))/3</f>
        <v>271</v>
      </c>
      <c r="O5" s="4">
        <f>((SUM(C11:C13))/3)</f>
        <v>275.58666666666664</v>
      </c>
      <c r="Q5" s="1">
        <v>45474</v>
      </c>
      <c r="R5" s="12">
        <f>(((Tabela1[[#This Row],[KWH]]-B4)/B4)*100)/100</f>
        <v>-0.22884012539184956</v>
      </c>
      <c r="T5" t="s">
        <v>39</v>
      </c>
      <c r="U5">
        <f>COUNTIFS(Tabela1[KWH], "&gt;=313", Tabela1[KWH], "&lt;=335")</f>
        <v>2</v>
      </c>
    </row>
    <row r="6" spans="1:21" x14ac:dyDescent="0.3">
      <c r="A6" s="1">
        <v>45505</v>
      </c>
      <c r="B6">
        <v>306</v>
      </c>
      <c r="C6" s="4">
        <v>300.38</v>
      </c>
      <c r="E6" t="s">
        <v>22</v>
      </c>
      <c r="F6" t="s">
        <v>23</v>
      </c>
      <c r="Q6" s="1">
        <v>45505</v>
      </c>
      <c r="R6" s="12">
        <f>(((Tabela1[[#This Row],[KWH]]-B5)/B5)*100)/100</f>
        <v>0.24390243902439024</v>
      </c>
      <c r="T6" t="s">
        <v>40</v>
      </c>
      <c r="U6">
        <f>COUNTIFS(Tabela1[KWH], "&gt;=336", Tabela1[KWH], "&lt;=358")</f>
        <v>1</v>
      </c>
    </row>
    <row r="7" spans="1:21" x14ac:dyDescent="0.3">
      <c r="A7" s="1">
        <v>45536</v>
      </c>
      <c r="B7">
        <v>352</v>
      </c>
      <c r="C7" s="4">
        <v>365.18</v>
      </c>
      <c r="E7">
        <f>LARGE(Tabela1[KWH],1)</f>
        <v>352</v>
      </c>
      <c r="F7">
        <f>SMALL(Tabela1[KWH],1)</f>
        <v>244</v>
      </c>
      <c r="Q7" s="1">
        <v>45536</v>
      </c>
      <c r="R7" s="12">
        <f>(((Tabela1[[#This Row],[KWH]]-B6)/B6)*100)/100</f>
        <v>0.15032679738562091</v>
      </c>
    </row>
    <row r="8" spans="1:21" x14ac:dyDescent="0.3">
      <c r="A8" s="1">
        <v>45566</v>
      </c>
      <c r="B8">
        <v>262</v>
      </c>
      <c r="C8" s="4">
        <v>292.52999999999997</v>
      </c>
      <c r="Q8" s="1">
        <v>45566</v>
      </c>
      <c r="R8" s="12">
        <f>(((Tabela1[[#This Row],[KWH]]-B7)/B7)*100)/100</f>
        <v>-0.25568181818181818</v>
      </c>
    </row>
    <row r="9" spans="1:21" x14ac:dyDescent="0.3">
      <c r="A9" s="1">
        <v>45597</v>
      </c>
      <c r="B9">
        <v>263</v>
      </c>
      <c r="C9" s="4">
        <v>265.74</v>
      </c>
      <c r="E9" t="s">
        <v>24</v>
      </c>
      <c r="F9" t="s">
        <v>25</v>
      </c>
      <c r="Q9" s="1">
        <v>45597</v>
      </c>
      <c r="R9" s="12">
        <f>(((Tabela1[[#This Row],[KWH]]-B8)/B8)*100)/100</f>
        <v>3.8167938931297708E-3</v>
      </c>
    </row>
    <row r="10" spans="1:21" x14ac:dyDescent="0.3">
      <c r="A10" s="1">
        <v>45627</v>
      </c>
      <c r="B10">
        <v>247</v>
      </c>
      <c r="C10" s="4">
        <v>236.48</v>
      </c>
      <c r="E10">
        <f>LARGE(Tabela1[Valor],1)</f>
        <v>365.18</v>
      </c>
      <c r="F10">
        <f>SMALL(Tabela1[Valor],1)</f>
        <v>236.48</v>
      </c>
      <c r="M10" t="s">
        <v>30</v>
      </c>
      <c r="N10">
        <v>277</v>
      </c>
      <c r="O10">
        <v>275.54000000000002</v>
      </c>
      <c r="Q10" s="1">
        <v>45627</v>
      </c>
      <c r="R10" s="12">
        <f>(((Tabela1[[#This Row],[KWH]]-B9)/B9)*100)/100</f>
        <v>-6.0836501901140677E-2</v>
      </c>
    </row>
    <row r="11" spans="1:21" x14ac:dyDescent="0.3">
      <c r="A11" s="1">
        <v>45658</v>
      </c>
      <c r="B11">
        <v>271</v>
      </c>
      <c r="C11" s="4">
        <v>257.20999999999998</v>
      </c>
      <c r="M11" t="s">
        <v>31</v>
      </c>
      <c r="N11">
        <v>301.33333333333331</v>
      </c>
      <c r="O11">
        <v>304.30333333333334</v>
      </c>
      <c r="Q11" s="1">
        <v>45658</v>
      </c>
      <c r="R11" s="12">
        <f>(((Tabela1[[#This Row],[KWH]]-B10)/B10)*100)/100</f>
        <v>9.7165991902833995E-2</v>
      </c>
    </row>
    <row r="12" spans="1:21" x14ac:dyDescent="0.3">
      <c r="A12" s="1">
        <v>45689</v>
      </c>
      <c r="B12">
        <v>291</v>
      </c>
      <c r="C12" s="4">
        <v>304.47000000000003</v>
      </c>
      <c r="M12" t="s">
        <v>32</v>
      </c>
      <c r="N12">
        <v>257.33333333333331</v>
      </c>
      <c r="O12">
        <v>264.91666666666669</v>
      </c>
      <c r="Q12" s="1">
        <v>45689</v>
      </c>
      <c r="R12" s="12">
        <f>(((Tabela1[[#This Row],[KWH]]-B11)/B11)*100)/100</f>
        <v>7.3800738007380073E-2</v>
      </c>
    </row>
    <row r="13" spans="1:21" x14ac:dyDescent="0.3">
      <c r="A13" s="1">
        <v>45717</v>
      </c>
      <c r="B13">
        <v>251</v>
      </c>
      <c r="C13" s="4">
        <v>265.08</v>
      </c>
      <c r="M13" t="s">
        <v>29</v>
      </c>
      <c r="N13">
        <v>271</v>
      </c>
      <c r="O13">
        <v>275.58666666666664</v>
      </c>
      <c r="Q13" s="1">
        <v>45717</v>
      </c>
      <c r="R13" s="12">
        <f>(((Tabela1[[#This Row],[KWH]]-B12)/B12)*100)/100</f>
        <v>-0.13745704467353953</v>
      </c>
    </row>
    <row r="14" spans="1:21" x14ac:dyDescent="0.3">
      <c r="A14" s="1">
        <v>45748</v>
      </c>
      <c r="B14">
        <v>316</v>
      </c>
      <c r="C14" s="4">
        <v>322.27</v>
      </c>
      <c r="Q14" s="1">
        <v>45748</v>
      </c>
      <c r="R14" s="12">
        <f>(((Tabela1[[#This Row],[KWH]]-B13)/B13)*100)/100</f>
        <v>0.25896414342629481</v>
      </c>
    </row>
    <row r="15" spans="1:21" x14ac:dyDescent="0.3">
      <c r="A15" s="1"/>
    </row>
    <row r="16" spans="1:21" x14ac:dyDescent="0.3">
      <c r="A16" s="1" t="s">
        <v>11</v>
      </c>
      <c r="K16" s="7"/>
    </row>
    <row r="17" spans="1:4" x14ac:dyDescent="0.3">
      <c r="A17" t="s">
        <v>13</v>
      </c>
      <c r="B17" t="s">
        <v>3</v>
      </c>
      <c r="C17" s="4" t="s">
        <v>18</v>
      </c>
      <c r="D17" t="s">
        <v>19</v>
      </c>
    </row>
    <row r="18" spans="1:4" x14ac:dyDescent="0.3">
      <c r="A18" s="2">
        <f>F2-B2</f>
        <v>11.692307692307679</v>
      </c>
      <c r="B18" s="4">
        <f>G2-C2</f>
        <v>20.621538461538478</v>
      </c>
      <c r="C18" s="2">
        <f>A18^2</f>
        <v>136.71005917159732</v>
      </c>
      <c r="D18" s="4">
        <f>B18^2</f>
        <v>425.2478485207107</v>
      </c>
    </row>
    <row r="19" spans="1:4" x14ac:dyDescent="0.3">
      <c r="A19" s="2">
        <f>F2-B3</f>
        <v>35.692307692307679</v>
      </c>
      <c r="B19" s="4">
        <f>G2-C3</f>
        <v>37.051538461538456</v>
      </c>
      <c r="C19" s="2">
        <f t="shared" ref="C19:C30" si="0">A19^2</f>
        <v>1273.9408284023659</v>
      </c>
      <c r="D19" s="4">
        <f t="shared" ref="D19:D30" si="1">B19^2</f>
        <v>1372.8165023668635</v>
      </c>
    </row>
    <row r="20" spans="1:4" x14ac:dyDescent="0.3">
      <c r="A20" s="2">
        <f>F2-B4</f>
        <v>-39.307692307692321</v>
      </c>
      <c r="B20" s="4">
        <f>G2-C4</f>
        <v>-34.298461538461538</v>
      </c>
      <c r="C20" s="2">
        <f t="shared" si="0"/>
        <v>1545.0946745562142</v>
      </c>
      <c r="D20" s="4">
        <f t="shared" si="1"/>
        <v>1176.3844639053254</v>
      </c>
    </row>
    <row r="21" spans="1:4" x14ac:dyDescent="0.3">
      <c r="A21" s="2">
        <f>F2-B5</f>
        <v>33.692307692307679</v>
      </c>
      <c r="B21" s="4">
        <f>G2-C5</f>
        <v>35.981538461538463</v>
      </c>
      <c r="C21" s="2">
        <f t="shared" si="0"/>
        <v>1135.1715976331352</v>
      </c>
      <c r="D21" s="4">
        <f t="shared" si="1"/>
        <v>1294.6711100591717</v>
      </c>
    </row>
    <row r="22" spans="1:4" x14ac:dyDescent="0.3">
      <c r="A22" s="2">
        <f>F2-B6</f>
        <v>-26.307692307692321</v>
      </c>
      <c r="B22" s="4">
        <f>G2-C6</f>
        <v>-17.048461538461538</v>
      </c>
      <c r="C22" s="2">
        <f t="shared" si="0"/>
        <v>692.0946745562137</v>
      </c>
      <c r="D22" s="4">
        <f t="shared" si="1"/>
        <v>290.65004082840238</v>
      </c>
    </row>
    <row r="23" spans="1:4" x14ac:dyDescent="0.3">
      <c r="A23" s="2">
        <f>F2-B7</f>
        <v>-72.307692307692321</v>
      </c>
      <c r="B23" s="4">
        <f>G2-C7</f>
        <v>-81.848461538461549</v>
      </c>
      <c r="C23" s="2">
        <f t="shared" si="0"/>
        <v>5228.4023668639074</v>
      </c>
      <c r="D23" s="4">
        <f t="shared" si="1"/>
        <v>6699.1706562130194</v>
      </c>
    </row>
    <row r="24" spans="1:4" x14ac:dyDescent="0.3">
      <c r="A24" s="2">
        <f>F2-B8</f>
        <v>17.692307692307679</v>
      </c>
      <c r="B24" s="4">
        <f>G2-C8</f>
        <v>-9.1984615384615154</v>
      </c>
      <c r="C24" s="2">
        <f t="shared" si="0"/>
        <v>313.01775147928947</v>
      </c>
      <c r="D24" s="4">
        <f t="shared" si="1"/>
        <v>84.611694674555793</v>
      </c>
    </row>
    <row r="25" spans="1:4" x14ac:dyDescent="0.3">
      <c r="A25" s="2">
        <f>F2-B9</f>
        <v>16.692307692307679</v>
      </c>
      <c r="B25" s="4">
        <f>G2-C9</f>
        <v>17.591538461538448</v>
      </c>
      <c r="C25" s="2">
        <f t="shared" si="0"/>
        <v>278.63313609467411</v>
      </c>
      <c r="D25" s="4">
        <f t="shared" si="1"/>
        <v>309.46222544378651</v>
      </c>
    </row>
    <row r="26" spans="1:4" x14ac:dyDescent="0.3">
      <c r="A26" s="2">
        <f>F2-B10</f>
        <v>32.692307692307679</v>
      </c>
      <c r="B26" s="4">
        <f>G2-C10</f>
        <v>46.851538461538468</v>
      </c>
      <c r="C26" s="2">
        <f t="shared" si="0"/>
        <v>1068.78698224852</v>
      </c>
      <c r="D26" s="4">
        <f t="shared" si="1"/>
        <v>2195.0666562130182</v>
      </c>
    </row>
    <row r="27" spans="1:4" x14ac:dyDescent="0.3">
      <c r="A27" s="2">
        <f>F2-B11</f>
        <v>8.6923076923076792</v>
      </c>
      <c r="B27" s="4">
        <f>G2-C11</f>
        <v>26.121538461538478</v>
      </c>
      <c r="C27" s="2">
        <f t="shared" si="0"/>
        <v>75.556213017751247</v>
      </c>
      <c r="D27" s="4">
        <f t="shared" si="1"/>
        <v>682.33477159763402</v>
      </c>
    </row>
    <row r="28" spans="1:4" x14ac:dyDescent="0.3">
      <c r="A28" s="2">
        <f>F2-B12</f>
        <v>-11.307692307692321</v>
      </c>
      <c r="B28" s="4">
        <f>G2-C12</f>
        <v>-21.13846153846157</v>
      </c>
      <c r="C28" s="2">
        <f t="shared" si="0"/>
        <v>127.86390532544408</v>
      </c>
      <c r="D28" s="4">
        <f t="shared" si="1"/>
        <v>446.83455621301908</v>
      </c>
    </row>
    <row r="29" spans="1:4" x14ac:dyDescent="0.3">
      <c r="A29" s="2">
        <f>F2-B13</f>
        <v>28.692307692307679</v>
      </c>
      <c r="B29" s="4">
        <f>G2-C13</f>
        <v>18.251538461538473</v>
      </c>
      <c r="C29" s="2">
        <f t="shared" si="0"/>
        <v>823.24852071005841</v>
      </c>
      <c r="D29" s="4">
        <f t="shared" si="1"/>
        <v>333.1186562130182</v>
      </c>
    </row>
    <row r="30" spans="1:4" x14ac:dyDescent="0.3">
      <c r="A30" s="2">
        <f>F2-B14</f>
        <v>-36.307692307692321</v>
      </c>
      <c r="B30" s="4">
        <f>G2-C14</f>
        <v>-38.938461538461524</v>
      </c>
      <c r="C30" s="2">
        <f t="shared" si="0"/>
        <v>1318.2485207100601</v>
      </c>
      <c r="D30" s="4">
        <f t="shared" si="1"/>
        <v>1516.2037869822475</v>
      </c>
    </row>
    <row r="31" spans="1:4" x14ac:dyDescent="0.3">
      <c r="A31" s="2"/>
      <c r="B31" s="4"/>
      <c r="C31" s="2"/>
      <c r="D31" s="4"/>
    </row>
    <row r="32" spans="1:4" x14ac:dyDescent="0.3">
      <c r="A32" t="s">
        <v>17</v>
      </c>
      <c r="B32" s="2" t="s">
        <v>20</v>
      </c>
      <c r="C32" s="4" t="s">
        <v>21</v>
      </c>
    </row>
    <row r="33" spans="1:3" x14ac:dyDescent="0.3">
      <c r="A33" t="s">
        <v>14</v>
      </c>
      <c r="B33" s="2">
        <f>SUM(C18:C30)</f>
        <v>14016.76923076923</v>
      </c>
      <c r="C33" s="4">
        <f>SUM(D18:D30)</f>
        <v>16826.572969230772</v>
      </c>
    </row>
    <row r="34" spans="1:3" x14ac:dyDescent="0.3">
      <c r="A34" t="s">
        <v>15</v>
      </c>
      <c r="B34" s="2">
        <f>B33/13</f>
        <v>1078.2130177514794</v>
      </c>
      <c r="C34" s="4">
        <f>C33/12</f>
        <v>1402.2144141025644</v>
      </c>
    </row>
    <row r="35" spans="1:3" x14ac:dyDescent="0.3">
      <c r="A35" t="s">
        <v>16</v>
      </c>
      <c r="B35" s="2">
        <f>SQRT(B34)</f>
        <v>32.83615412546785</v>
      </c>
      <c r="C35" s="4">
        <f>SQRT(C34)</f>
        <v>37.446153528801382</v>
      </c>
    </row>
  </sheetData>
  <pageMargins left="0.7" right="0.7" top="0.75" bottom="0.75" header="0.3" footer="0.3"/>
  <ignoredErrors>
    <ignoredError sqref="J2:K2 R2:R4 R5:R15" calculatedColumn="1"/>
    <ignoredError sqref="N3:N5 O2:O5" formulaRange="1"/>
  </ignoredErrors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Rodrigues</dc:creator>
  <cp:lastModifiedBy>Vinicius Rodrigues</cp:lastModifiedBy>
  <dcterms:created xsi:type="dcterms:W3CDTF">2015-06-05T18:19:34Z</dcterms:created>
  <dcterms:modified xsi:type="dcterms:W3CDTF">2025-05-02T22:59:37Z</dcterms:modified>
</cp:coreProperties>
</file>