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get_data" sheetId="1" r:id="rId4"/>
    <sheet state="visible" name="fundamental_data" sheetId="2" r:id="rId5"/>
    <sheet state="visible" name="assumption" sheetId="3" r:id="rId6"/>
    <sheet state="visible" name="companies" sheetId="4" r:id="rId7"/>
    <sheet state="visible" name="targets" sheetId="5" r:id="rId8"/>
    <sheet state="visible" name="grouping" sheetId="6" r:id="rId9"/>
    <sheet state="visible" name="financials" sheetId="7" r:id="rId10"/>
    <sheet state="visible" name="GHG19" sheetId="8" r:id="rId11"/>
    <sheet state="visible" name="sources" sheetId="9" r:id="rId12"/>
    <sheet state="visible" name="company" sheetId="10" r:id="rId13"/>
    <sheet state="visible" name="sector" sheetId="11" r:id="rId14"/>
    <sheet state="visible" name="Sheet1" sheetId="12" r:id="rId15"/>
  </sheets>
  <definedNames>
    <definedName name="k_rev_max">assumption!$B$3</definedName>
    <definedName name="k_cost">assumption!$B$2</definedName>
    <definedName hidden="1" localSheetId="4" name="_xlnm._FilterDatabase">targets!$A$1:$U$161</definedName>
    <definedName hidden="1" localSheetId="6" name="_xlnm._FilterDatabase">financials!$A$1:$F$101</definedName>
  </definedNames>
  <calcPr/>
  <extLst>
    <ext uri="GoogleSheetsCustomDataVersion1">
      <go:sheetsCustomData xmlns:go="http://customooxmlschemas.google.com/" r:id="rId16" roundtripDataSignature="AMtx7mhuoZCdUTqtXGv7NpxlL5zMlb//xA=="/>
    </ext>
  </extLst>
</workbook>
</file>

<file path=xl/sharedStrings.xml><?xml version="1.0" encoding="utf-8"?>
<sst xmlns="http://schemas.openxmlformats.org/spreadsheetml/2006/main" count="6608" uniqueCount="1397">
  <si>
    <t>company_name</t>
  </si>
  <si>
    <t>Column1</t>
  </si>
  <si>
    <t>company_id</t>
  </si>
  <si>
    <t>target_type</t>
  </si>
  <si>
    <t>intensity_metric_original</t>
  </si>
  <si>
    <t>intensity_metric</t>
  </si>
  <si>
    <t>scope</t>
  </si>
  <si>
    <t>coverate_original</t>
  </si>
  <si>
    <t>coverage_s1</t>
  </si>
  <si>
    <t>coverage_s2</t>
  </si>
  <si>
    <t>coverage_s3</t>
  </si>
  <si>
    <t>reduction_ambition_original</t>
  </si>
  <si>
    <t>reduction_ambition</t>
  </si>
  <si>
    <t>base_year</t>
  </si>
  <si>
    <t>end_year</t>
  </si>
  <si>
    <t>start_year</t>
  </si>
  <si>
    <t>base_year_emissions_target</t>
  </si>
  <si>
    <t>base_year_ghg_s1</t>
  </si>
  <si>
    <t>base_year_ghg_s2</t>
  </si>
  <si>
    <t>base_year_ghg_s3</t>
  </si>
  <si>
    <t>achieved_reduction_original</t>
  </si>
  <si>
    <t>achieved_reduction</t>
  </si>
  <si>
    <t>3M</t>
  </si>
  <si>
    <t xml:space="preserve"> US88579Y1010</t>
  </si>
  <si>
    <t>Absolute</t>
  </si>
  <si>
    <t>NA</t>
  </si>
  <si>
    <t>S1+S2</t>
  </si>
  <si>
    <t>isic</t>
  </si>
  <si>
    <t>country</t>
  </si>
  <si>
    <t>region</t>
  </si>
  <si>
    <t>industry_level_1</t>
  </si>
  <si>
    <t>industry_level_2</t>
  </si>
  <si>
    <t>industry_level_3</t>
  </si>
  <si>
    <t>industry_level_4</t>
  </si>
  <si>
    <t>sector</t>
  </si>
  <si>
    <t>ghg_s1</t>
  </si>
  <si>
    <t>ghg_s2_loc</t>
  </si>
  <si>
    <t>ghg_s2_mkt</t>
  </si>
  <si>
    <t>ghg_s1s2</t>
  </si>
  <si>
    <t>ghg_s3</t>
  </si>
  <si>
    <t>company_revenue</t>
  </si>
  <si>
    <t>company_market_cap</t>
  </si>
  <si>
    <t>company_enterprise_value</t>
  </si>
  <si>
    <t>company_total_assets</t>
  </si>
  <si>
    <t>company_cash_equivalents</t>
  </si>
  <si>
    <t>US88579Y1010</t>
  </si>
  <si>
    <t>United States</t>
  </si>
  <si>
    <t>North America</t>
  </si>
  <si>
    <t>Materials</t>
  </si>
  <si>
    <t>Chemicals</t>
  </si>
  <si>
    <t>Carbon costs ($/t)</t>
  </si>
  <si>
    <t>Threshold for performance (in % revenue)</t>
  </si>
  <si>
    <t>short_name</t>
  </si>
  <si>
    <t>ISIN</t>
  </si>
  <si>
    <t>Tickers</t>
  </si>
  <si>
    <t>primary_isin</t>
  </si>
  <si>
    <t>primary_ticker</t>
  </si>
  <si>
    <t xml:space="preserve"> MMM US</t>
  </si>
  <si>
    <t>MMM US</t>
  </si>
  <si>
    <t>Abbott Laboratories</t>
  </si>
  <si>
    <t xml:space="preserve"> US0028241000</t>
  </si>
  <si>
    <t xml:space="preserve"> ABT US</t>
  </si>
  <si>
    <t>US0028241000</t>
  </si>
  <si>
    <t>ABT US</t>
  </si>
  <si>
    <t>AbbVie Inc.</t>
  </si>
  <si>
    <t>AbbVie</t>
  </si>
  <si>
    <t xml:space="preserve"> US00287Y1091</t>
  </si>
  <si>
    <t xml:space="preserve"> ABBV US</t>
  </si>
  <si>
    <t>US00287Y1091</t>
  </si>
  <si>
    <t>ABBV US</t>
  </si>
  <si>
    <t>Accenture</t>
  </si>
  <si>
    <t xml:space="preserve"> IE00B4BNMY34</t>
  </si>
  <si>
    <t xml:space="preserve"> ACN US</t>
  </si>
  <si>
    <t>IE00B4BNMY34</t>
  </si>
  <si>
    <t>ACN US</t>
  </si>
  <si>
    <t>Adobe Inc.</t>
  </si>
  <si>
    <t>Adobe</t>
  </si>
  <si>
    <t xml:space="preserve"> US00724F1012</t>
  </si>
  <si>
    <t xml:space="preserve"> ADBE US</t>
  </si>
  <si>
    <t>US00724F1012</t>
  </si>
  <si>
    <t>ADBE US</t>
  </si>
  <si>
    <t>Allstate Corp</t>
  </si>
  <si>
    <t>Allstate</t>
  </si>
  <si>
    <t xml:space="preserve"> US0200021014</t>
  </si>
  <si>
    <t xml:space="preserve"> ALL US</t>
  </si>
  <si>
    <t>US0200021014</t>
  </si>
  <si>
    <t>ALL US</t>
  </si>
  <si>
    <t>Alphabet Inc. / Google</t>
  </si>
  <si>
    <t>Alphabet / Google</t>
  </si>
  <si>
    <t xml:space="preserve"> US02079K1079</t>
  </si>
  <si>
    <t xml:space="preserve"> GOOG US, GOOGL US</t>
  </si>
  <si>
    <t>US02079K3059</t>
  </si>
  <si>
    <t>GOOGL US</t>
  </si>
  <si>
    <t>Altria Group Inc</t>
  </si>
  <si>
    <t>Altria</t>
  </si>
  <si>
    <t xml:space="preserve"> US02209S1033</t>
  </si>
  <si>
    <t xml:space="preserve"> MO US</t>
  </si>
  <si>
    <t>US02209S1033</t>
  </si>
  <si>
    <t>MO US</t>
  </si>
  <si>
    <t>Amazon.com Inc.</t>
  </si>
  <si>
    <t>Amazon</t>
  </si>
  <si>
    <t>US0231351067</t>
  </si>
  <si>
    <t>American Express</t>
  </si>
  <si>
    <t xml:space="preserve"> US0258161092</t>
  </si>
  <si>
    <t xml:space="preserve"> AXP US</t>
  </si>
  <si>
    <t>US0258161092</t>
  </si>
  <si>
    <t>AXP US</t>
  </si>
  <si>
    <t>American International Group (AIG)</t>
  </si>
  <si>
    <t>AIG</t>
  </si>
  <si>
    <t xml:space="preserve"> US0268747849</t>
  </si>
  <si>
    <t xml:space="preserve"> AIG US</t>
  </si>
  <si>
    <t>US0268747849</t>
  </si>
  <si>
    <t>AIG US</t>
  </si>
  <si>
    <t>American Tower</t>
  </si>
  <si>
    <t xml:space="preserve"> US03027X1000</t>
  </si>
  <si>
    <t xml:space="preserve"> AMT US</t>
  </si>
  <si>
    <t>US03027X1000</t>
  </si>
  <si>
    <t>AMT US</t>
  </si>
  <si>
    <t>Amgen Inc.</t>
  </si>
  <si>
    <t>Amgen</t>
  </si>
  <si>
    <t xml:space="preserve"> US0311621009</t>
  </si>
  <si>
    <t xml:space="preserve"> AMGN US</t>
  </si>
  <si>
    <t>US0311621009</t>
  </si>
  <si>
    <t>AMGN US</t>
  </si>
  <si>
    <t>Apple Inc.</t>
  </si>
  <si>
    <t>Apple</t>
  </si>
  <si>
    <t xml:space="preserve"> US0378331005</t>
  </si>
  <si>
    <t xml:space="preserve"> AAPL US</t>
  </si>
  <si>
    <t>US0378331005</t>
  </si>
  <si>
    <t>AAPL US</t>
  </si>
  <si>
    <t>AT&amp;T Inc.</t>
  </si>
  <si>
    <t>AT&amp;T</t>
  </si>
  <si>
    <t xml:space="preserve"> US00206R1023</t>
  </si>
  <si>
    <t xml:space="preserve"> T US</t>
  </si>
  <si>
    <t>US00206R1023</t>
  </si>
  <si>
    <t>T US</t>
  </si>
  <si>
    <t>Bank of America</t>
  </si>
  <si>
    <t xml:space="preserve"> US0605051046</t>
  </si>
  <si>
    <t xml:space="preserve"> BAC US</t>
  </si>
  <si>
    <t>US0605051046</t>
  </si>
  <si>
    <t>BAC US</t>
  </si>
  <si>
    <t>Berkshire Hathaway Inc.</t>
  </si>
  <si>
    <t>Berkshire Hathaway</t>
  </si>
  <si>
    <t>US0846707026</t>
  </si>
  <si>
    <t>Biogen Inc.</t>
  </si>
  <si>
    <t>Biogen</t>
  </si>
  <si>
    <t xml:space="preserve"> US09062X1037</t>
  </si>
  <si>
    <t xml:space="preserve"> BIIB US</t>
  </si>
  <si>
    <t>US09062X1037</t>
  </si>
  <si>
    <t>BIIB US</t>
  </si>
  <si>
    <t>BlackRock Inc.</t>
  </si>
  <si>
    <t>BlackRock</t>
  </si>
  <si>
    <t xml:space="preserve"> US09247X1019</t>
  </si>
  <si>
    <t xml:space="preserve"> BLK US</t>
  </si>
  <si>
    <t>US09247X1019</t>
  </si>
  <si>
    <t>BLK US</t>
  </si>
  <si>
    <t>Boeing</t>
  </si>
  <si>
    <t xml:space="preserve"> US0970231058</t>
  </si>
  <si>
    <t xml:space="preserve"> BA US</t>
  </si>
  <si>
    <t>US0970231058</t>
  </si>
  <si>
    <t>BA US</t>
  </si>
  <si>
    <t>Booking Holdings Inc.</t>
  </si>
  <si>
    <t>Booking Holdings</t>
  </si>
  <si>
    <t>US09857L1089</t>
  </si>
  <si>
    <t>Bristol Myers Squibb</t>
  </si>
  <si>
    <t xml:space="preserve"> US1101221083</t>
  </si>
  <si>
    <t xml:space="preserve"> BMY US</t>
  </si>
  <si>
    <t>US1101221083</t>
  </si>
  <si>
    <t>BMY US</t>
  </si>
  <si>
    <t>Capital One Financial</t>
  </si>
  <si>
    <t>Capital One</t>
  </si>
  <si>
    <t xml:space="preserve"> US14040H1059</t>
  </si>
  <si>
    <t xml:space="preserve"> COF US</t>
  </si>
  <si>
    <t>US14040H1059</t>
  </si>
  <si>
    <t>COF US</t>
  </si>
  <si>
    <t>Caterpillar Inc.</t>
  </si>
  <si>
    <t>Caterpillar</t>
  </si>
  <si>
    <t>US1491231015</t>
  </si>
  <si>
    <t>Charter Communications Inc.</t>
  </si>
  <si>
    <t>Charter Communications</t>
  </si>
  <si>
    <t>US16119P1084</t>
  </si>
  <si>
    <t>Chevron</t>
  </si>
  <si>
    <t>US1667641005</t>
  </si>
  <si>
    <t>Cisco Systems</t>
  </si>
  <si>
    <t>Cisco</t>
  </si>
  <si>
    <t xml:space="preserve"> US17275R1023</t>
  </si>
  <si>
    <t xml:space="preserve"> CSCO US</t>
  </si>
  <si>
    <t>US17275R1023</t>
  </si>
  <si>
    <t>CSCO US</t>
  </si>
  <si>
    <t>Citigroup Inc.</t>
  </si>
  <si>
    <t>Citigroup</t>
  </si>
  <si>
    <t xml:space="preserve"> US1729674242</t>
  </si>
  <si>
    <t xml:space="preserve"> C US</t>
  </si>
  <si>
    <t>US1729674242</t>
  </si>
  <si>
    <t>C US</t>
  </si>
  <si>
    <t>Coca-Cola</t>
  </si>
  <si>
    <t>Coca Cola</t>
  </si>
  <si>
    <t xml:space="preserve"> US1912161007</t>
  </si>
  <si>
    <t xml:space="preserve"> KO US</t>
  </si>
  <si>
    <t>US1912161007</t>
  </si>
  <si>
    <t>KO US</t>
  </si>
  <si>
    <t>Colgate-Palmolive</t>
  </si>
  <si>
    <t xml:space="preserve"> US1941621039</t>
  </si>
  <si>
    <t xml:space="preserve"> CL US</t>
  </si>
  <si>
    <t>US1941621039</t>
  </si>
  <si>
    <t>CL US</t>
  </si>
  <si>
    <t>Comcast</t>
  </si>
  <si>
    <t xml:space="preserve"> US20030N1019</t>
  </si>
  <si>
    <t xml:space="preserve"> CMCSA US</t>
  </si>
  <si>
    <t>US20030N1019</t>
  </si>
  <si>
    <t>CMCSA US</t>
  </si>
  <si>
    <t>ConocoPhillips</t>
  </si>
  <si>
    <t xml:space="preserve"> US20825C1045</t>
  </si>
  <si>
    <t xml:space="preserve"> COP US</t>
  </si>
  <si>
    <t>US20825C1045</t>
  </si>
  <si>
    <t>COP US</t>
  </si>
  <si>
    <t>Costco</t>
  </si>
  <si>
    <t xml:space="preserve"> US22160K1051</t>
  </si>
  <si>
    <t xml:space="preserve"> COST US</t>
  </si>
  <si>
    <t>US22160K1051</t>
  </si>
  <si>
    <t>COST US</t>
  </si>
  <si>
    <t>CVS Health</t>
  </si>
  <si>
    <t>CVS</t>
  </si>
  <si>
    <t xml:space="preserve"> US1266501006</t>
  </si>
  <si>
    <t xml:space="preserve"> CVS US</t>
  </si>
  <si>
    <t>US1266501006</t>
  </si>
  <si>
    <t>CVS US</t>
  </si>
  <si>
    <t>Danaher</t>
  </si>
  <si>
    <t>US2358511028</t>
  </si>
  <si>
    <t>Dow Inc.</t>
  </si>
  <si>
    <t>Dow</t>
  </si>
  <si>
    <t>US2605571031</t>
  </si>
  <si>
    <t>Duke Energy</t>
  </si>
  <si>
    <t xml:space="preserve"> US26441C2044</t>
  </si>
  <si>
    <t xml:space="preserve"> DUK US</t>
  </si>
  <si>
    <t>US26441C2044</t>
  </si>
  <si>
    <t>DUK US</t>
  </si>
  <si>
    <t>DuPont</t>
  </si>
  <si>
    <t xml:space="preserve"> US26078J1007</t>
  </si>
  <si>
    <t xml:space="preserve"> DWDP US</t>
  </si>
  <si>
    <t>US26078J1007</t>
  </si>
  <si>
    <t>DWDP US</t>
  </si>
  <si>
    <t>Eli Lilly</t>
  </si>
  <si>
    <t xml:space="preserve"> US5324571083</t>
  </si>
  <si>
    <t xml:space="preserve"> LLY US</t>
  </si>
  <si>
    <t>US5324571083</t>
  </si>
  <si>
    <t>LLY US</t>
  </si>
  <si>
    <t>Emerson Electric</t>
  </si>
  <si>
    <t>US2910111044</t>
  </si>
  <si>
    <t>Exelon</t>
  </si>
  <si>
    <t xml:space="preserve"> US30161N1019</t>
  </si>
  <si>
    <t xml:space="preserve"> EXC US</t>
  </si>
  <si>
    <t>US30161N1019</t>
  </si>
  <si>
    <t>EXC US</t>
  </si>
  <si>
    <t>Exxon Mobil</t>
  </si>
  <si>
    <t>US30231G1022</t>
  </si>
  <si>
    <t>Facebook, Inc.</t>
  </si>
  <si>
    <t>Facebook</t>
  </si>
  <si>
    <t>US30303M1027</t>
  </si>
  <si>
    <t>FedEx</t>
  </si>
  <si>
    <t xml:space="preserve"> US31428X1063</t>
  </si>
  <si>
    <t xml:space="preserve"> FDX US</t>
  </si>
  <si>
    <t>US31428X1063</t>
  </si>
  <si>
    <t>FDX US</t>
  </si>
  <si>
    <t>Ford Motor Company</t>
  </si>
  <si>
    <t>Ford</t>
  </si>
  <si>
    <t xml:space="preserve"> US3453708600</t>
  </si>
  <si>
    <t xml:space="preserve"> F US</t>
  </si>
  <si>
    <t>US3453708600</t>
  </si>
  <si>
    <t>F US</t>
  </si>
  <si>
    <t>General Dynamics</t>
  </si>
  <si>
    <t xml:space="preserve"> US3695501086</t>
  </si>
  <si>
    <t xml:space="preserve"> GD US</t>
  </si>
  <si>
    <t>US3695501086</t>
  </si>
  <si>
    <t>GD US</t>
  </si>
  <si>
    <t>General Electric</t>
  </si>
  <si>
    <t>GE</t>
  </si>
  <si>
    <t xml:space="preserve"> US3696041033</t>
  </si>
  <si>
    <t xml:space="preserve"> GE US</t>
  </si>
  <si>
    <t>US3696041033</t>
  </si>
  <si>
    <t>GE US</t>
  </si>
  <si>
    <t>General Motors</t>
  </si>
  <si>
    <t>GM</t>
  </si>
  <si>
    <t xml:space="preserve"> US37045V1008</t>
  </si>
  <si>
    <t xml:space="preserve"> GM US</t>
  </si>
  <si>
    <t>US37045V1008</t>
  </si>
  <si>
    <t>GM US</t>
  </si>
  <si>
    <t>Gilead Sciences Inc.</t>
  </si>
  <si>
    <t>Gilead Sciences</t>
  </si>
  <si>
    <t xml:space="preserve"> US3755581036</t>
  </si>
  <si>
    <t xml:space="preserve"> GILD US</t>
  </si>
  <si>
    <t>US3755581036</t>
  </si>
  <si>
    <t>GILD US</t>
  </si>
  <si>
    <t>Goldman Sachs Group</t>
  </si>
  <si>
    <t>Goldman Sachs</t>
  </si>
  <si>
    <t xml:space="preserve"> US38141G1040</t>
  </si>
  <si>
    <t xml:space="preserve"> GS US</t>
  </si>
  <si>
    <t>US38141G1040</t>
  </si>
  <si>
    <t>GS US</t>
  </si>
  <si>
    <t>Home Depot</t>
  </si>
  <si>
    <t xml:space="preserve"> US4370761029</t>
  </si>
  <si>
    <t xml:space="preserve"> HD US</t>
  </si>
  <si>
    <t>US4370761029</t>
  </si>
  <si>
    <t>HD US</t>
  </si>
  <si>
    <t>Honeywell Inc.</t>
  </si>
  <si>
    <t>Honeywell</t>
  </si>
  <si>
    <t xml:space="preserve"> US4385161066</t>
  </si>
  <si>
    <t xml:space="preserve"> HON US</t>
  </si>
  <si>
    <t>US4385161066</t>
  </si>
  <si>
    <t>HON US</t>
  </si>
  <si>
    <t>IBM Corp.</t>
  </si>
  <si>
    <t xml:space="preserve">IBM </t>
  </si>
  <si>
    <t xml:space="preserve"> US4592001014</t>
  </si>
  <si>
    <t xml:space="preserve"> IBM US</t>
  </si>
  <si>
    <t>US4592001014</t>
  </si>
  <si>
    <t>IBM US</t>
  </si>
  <si>
    <t>Intel Corp.</t>
  </si>
  <si>
    <t>Intel</t>
  </si>
  <si>
    <t xml:space="preserve"> US4581401001</t>
  </si>
  <si>
    <t xml:space="preserve"> INTC US</t>
  </si>
  <si>
    <t>US4581401001</t>
  </si>
  <si>
    <t>INTC US</t>
  </si>
  <si>
    <t>Johnson &amp; Johnson</t>
  </si>
  <si>
    <t>J&amp;J</t>
  </si>
  <si>
    <t xml:space="preserve"> US4781601046</t>
  </si>
  <si>
    <t xml:space="preserve"> JNJ US</t>
  </si>
  <si>
    <t>US4781601046</t>
  </si>
  <si>
    <t>JNJ US</t>
  </si>
  <si>
    <t>JPMorgan Chase &amp; Co.</t>
  </si>
  <si>
    <t xml:space="preserve">JPMorgan Chase </t>
  </si>
  <si>
    <t xml:space="preserve"> US46625H1005</t>
  </si>
  <si>
    <t xml:space="preserve"> JPM US</t>
  </si>
  <si>
    <t>US46625H1005</t>
  </si>
  <si>
    <t>JPM US</t>
  </si>
  <si>
    <t>Kinder Morgan Inc.</t>
  </si>
  <si>
    <t>Kinder Morgan</t>
  </si>
  <si>
    <t>Kraft Heinz Co</t>
  </si>
  <si>
    <t>Kraft Heinz</t>
  </si>
  <si>
    <t xml:space="preserve"> US5007541064</t>
  </si>
  <si>
    <t xml:space="preserve"> KHC US</t>
  </si>
  <si>
    <t>US5007541064</t>
  </si>
  <si>
    <t>KHC US</t>
  </si>
  <si>
    <t>Lockheed Martin Corp.</t>
  </si>
  <si>
    <t xml:space="preserve">Lockheed Martin </t>
  </si>
  <si>
    <t xml:space="preserve"> US5398301094</t>
  </si>
  <si>
    <t xml:space="preserve"> LMT US</t>
  </si>
  <si>
    <t>US5398301094</t>
  </si>
  <si>
    <t>LMT US</t>
  </si>
  <si>
    <t>Lowe's Companies, Inc.</t>
  </si>
  <si>
    <t>Lowe's</t>
  </si>
  <si>
    <t xml:space="preserve"> US5486611073</t>
  </si>
  <si>
    <t xml:space="preserve"> LOW US</t>
  </si>
  <si>
    <t>US5486611073</t>
  </si>
  <si>
    <t>LOW US</t>
  </si>
  <si>
    <t>MasterCard Inc.</t>
  </si>
  <si>
    <t>MasterCard</t>
  </si>
  <si>
    <t xml:space="preserve"> US57636Q1040</t>
  </si>
  <si>
    <t xml:space="preserve"> MA US</t>
  </si>
  <si>
    <t>US57636Q1040</t>
  </si>
  <si>
    <t>MA US</t>
  </si>
  <si>
    <t>McDonald's Corp.</t>
  </si>
  <si>
    <t xml:space="preserve">McDonald's </t>
  </si>
  <si>
    <t xml:space="preserve"> US5801351017</t>
  </si>
  <si>
    <t xml:space="preserve"> MCD US</t>
  </si>
  <si>
    <t>US5801351017</t>
  </si>
  <si>
    <t>MCD US</t>
  </si>
  <si>
    <t>Medtronic</t>
  </si>
  <si>
    <t xml:space="preserve"> IE00BTN1Y115</t>
  </si>
  <si>
    <t xml:space="preserve"> MDT UN, MDT US</t>
  </si>
  <si>
    <t>IE00BTN1Y115</t>
  </si>
  <si>
    <t>MDT US</t>
  </si>
  <si>
    <t>Merck &amp; Co.</t>
  </si>
  <si>
    <t xml:space="preserve">Merck </t>
  </si>
  <si>
    <t xml:space="preserve"> US58933Y1055</t>
  </si>
  <si>
    <t xml:space="preserve"> MRK US</t>
  </si>
  <si>
    <t>US58933Y1055</t>
  </si>
  <si>
    <t>MRK US</t>
  </si>
  <si>
    <t>MetLife Inc.</t>
  </si>
  <si>
    <t>MetLife</t>
  </si>
  <si>
    <t xml:space="preserve"> US59156R1086</t>
  </si>
  <si>
    <t xml:space="preserve"> MET US</t>
  </si>
  <si>
    <t>US59156R1086</t>
  </si>
  <si>
    <t>MET US</t>
  </si>
  <si>
    <t>Microsoft Corp.</t>
  </si>
  <si>
    <t xml:space="preserve">Microsoft </t>
  </si>
  <si>
    <t xml:space="preserve"> US5949181045</t>
  </si>
  <si>
    <t xml:space="preserve"> MSFT US</t>
  </si>
  <si>
    <t>US5949181045</t>
  </si>
  <si>
    <t>MSFT US</t>
  </si>
  <si>
    <t>Mondelez International</t>
  </si>
  <si>
    <t>Mondelez</t>
  </si>
  <si>
    <t xml:space="preserve"> US6092071058</t>
  </si>
  <si>
    <t xml:space="preserve"> MDLZ US</t>
  </si>
  <si>
    <t>US6092071058</t>
  </si>
  <si>
    <t>MDLZ US</t>
  </si>
  <si>
    <t>Morgan Stanley</t>
  </si>
  <si>
    <t xml:space="preserve"> US6174464486</t>
  </si>
  <si>
    <t xml:space="preserve"> MS US</t>
  </si>
  <si>
    <t>US6174464486</t>
  </si>
  <si>
    <t>MS US</t>
  </si>
  <si>
    <t>Netflix Inc.</t>
  </si>
  <si>
    <t>Netflix</t>
  </si>
  <si>
    <t>Nextera Energy Inc.</t>
  </si>
  <si>
    <t>Nextera Energy</t>
  </si>
  <si>
    <t>Nike Inc.</t>
  </si>
  <si>
    <t>Nike</t>
  </si>
  <si>
    <t xml:space="preserve"> US6541061031</t>
  </si>
  <si>
    <t xml:space="preserve"> NKE US</t>
  </si>
  <si>
    <t>US6541061031</t>
  </si>
  <si>
    <t>NKE US</t>
  </si>
  <si>
    <t>Nvidia</t>
  </si>
  <si>
    <t xml:space="preserve"> US67066G1040</t>
  </si>
  <si>
    <t xml:space="preserve"> NVDA US</t>
  </si>
  <si>
    <t>US67066G1040</t>
  </si>
  <si>
    <t>NVDA US</t>
  </si>
  <si>
    <t>Occidental Petroleum</t>
  </si>
  <si>
    <t xml:space="preserve"> US6745991058</t>
  </si>
  <si>
    <t xml:space="preserve"> OXY US</t>
  </si>
  <si>
    <t>US6745991058</t>
  </si>
  <si>
    <t>OXY US</t>
  </si>
  <si>
    <t>Oracle</t>
  </si>
  <si>
    <t xml:space="preserve"> US68389X1054</t>
  </si>
  <si>
    <t xml:space="preserve"> ORCL US</t>
  </si>
  <si>
    <t>US68389X1054</t>
  </si>
  <si>
    <t>ORCL US</t>
  </si>
  <si>
    <t>PayPal</t>
  </si>
  <si>
    <t xml:space="preserve"> US70450Y1038</t>
  </si>
  <si>
    <t xml:space="preserve"> PYPL US</t>
  </si>
  <si>
    <t>US70450Y1038</t>
  </si>
  <si>
    <t>PYPL US</t>
  </si>
  <si>
    <t>PepsiCo Inc.</t>
  </si>
  <si>
    <t>PepsiCo</t>
  </si>
  <si>
    <t xml:space="preserve"> US7134481081</t>
  </si>
  <si>
    <t xml:space="preserve"> PEP US</t>
  </si>
  <si>
    <t>US7134481081</t>
  </si>
  <si>
    <t>PEP US</t>
  </si>
  <si>
    <t>Pfizer Inc.</t>
  </si>
  <si>
    <t>Pfizer</t>
  </si>
  <si>
    <t xml:space="preserve"> US7170811035</t>
  </si>
  <si>
    <t xml:space="preserve"> PFE US</t>
  </si>
  <si>
    <t>US7170811035</t>
  </si>
  <si>
    <t>PFE US</t>
  </si>
  <si>
    <t>Philip Morris International</t>
  </si>
  <si>
    <t>Philip Morris</t>
  </si>
  <si>
    <t xml:space="preserve"> US7181721090</t>
  </si>
  <si>
    <t xml:space="preserve"> PM US</t>
  </si>
  <si>
    <t>US7181721090</t>
  </si>
  <si>
    <t>PM US</t>
  </si>
  <si>
    <t>Procter &amp; Gamble</t>
  </si>
  <si>
    <t>P&amp;G</t>
  </si>
  <si>
    <t xml:space="preserve"> US7427181091</t>
  </si>
  <si>
    <t xml:space="preserve"> PG US</t>
  </si>
  <si>
    <t>US7427181091</t>
  </si>
  <si>
    <t>PG US</t>
  </si>
  <si>
    <t>QUALCOMM Inc.</t>
  </si>
  <si>
    <t>QUALCOMM</t>
  </si>
  <si>
    <t xml:space="preserve"> US7475251036</t>
  </si>
  <si>
    <t xml:space="preserve"> QCOM US</t>
  </si>
  <si>
    <t>US7475251036</t>
  </si>
  <si>
    <t>QCOM US</t>
  </si>
  <si>
    <t>Raytheon Technologies</t>
  </si>
  <si>
    <t>Raytheon</t>
  </si>
  <si>
    <t>Salesforce</t>
  </si>
  <si>
    <t xml:space="preserve"> US79466L3024</t>
  </si>
  <si>
    <t xml:space="preserve"> CRM US</t>
  </si>
  <si>
    <t>US79466L3024</t>
  </si>
  <si>
    <t>CRM US</t>
  </si>
  <si>
    <t>Schlumberger Ltd.</t>
  </si>
  <si>
    <t>Schlumberger</t>
  </si>
  <si>
    <t>Simon Property Group Inc.</t>
  </si>
  <si>
    <t>Simon Property Group</t>
  </si>
  <si>
    <t xml:space="preserve"> US8288061091</t>
  </si>
  <si>
    <t xml:space="preserve"> SPG US</t>
  </si>
  <si>
    <t>US8288061091</t>
  </si>
  <si>
    <t>SPG US</t>
  </si>
  <si>
    <t>Southern Company</t>
  </si>
  <si>
    <t xml:space="preserve"> US8425871071</t>
  </si>
  <si>
    <t xml:space="preserve"> SO US</t>
  </si>
  <si>
    <t>US8425871071</t>
  </si>
  <si>
    <t>SO US</t>
  </si>
  <si>
    <t>Starbucks Corp.</t>
  </si>
  <si>
    <t>Starbucks</t>
  </si>
  <si>
    <t xml:space="preserve"> US8552441094</t>
  </si>
  <si>
    <t xml:space="preserve"> SBUX US</t>
  </si>
  <si>
    <t>US8552441094</t>
  </si>
  <si>
    <t>SBUX US</t>
  </si>
  <si>
    <t>Target Corp.</t>
  </si>
  <si>
    <t>Target</t>
  </si>
  <si>
    <t xml:space="preserve"> US87612E1064</t>
  </si>
  <si>
    <t xml:space="preserve"> TGT US</t>
  </si>
  <si>
    <t>US87612E1064</t>
  </si>
  <si>
    <t>TGT US</t>
  </si>
  <si>
    <t>Texas Instruments</t>
  </si>
  <si>
    <t xml:space="preserve"> US8825081040</t>
  </si>
  <si>
    <t xml:space="preserve"> TXN US</t>
  </si>
  <si>
    <t>US8825081040</t>
  </si>
  <si>
    <t>TXN US</t>
  </si>
  <si>
    <t>The Bank of New York Mellon</t>
  </si>
  <si>
    <t>Bank of New York Mellon</t>
  </si>
  <si>
    <t xml:space="preserve"> US0640581007</t>
  </si>
  <si>
    <t xml:space="preserve"> BK US</t>
  </si>
  <si>
    <t>US0640581007</t>
  </si>
  <si>
    <t>BK US</t>
  </si>
  <si>
    <t>The Walt Disney Company</t>
  </si>
  <si>
    <t>Disney</t>
  </si>
  <si>
    <t xml:space="preserve"> US2546871060</t>
  </si>
  <si>
    <t xml:space="preserve"> DIS US</t>
  </si>
  <si>
    <t>US2546871060</t>
  </si>
  <si>
    <t>DIS US</t>
  </si>
  <si>
    <t>Thermo Fisher Scientific</t>
  </si>
  <si>
    <t>Thermo Fisher</t>
  </si>
  <si>
    <t>Union Pacific Corp</t>
  </si>
  <si>
    <t>Union Pacific</t>
  </si>
  <si>
    <t xml:space="preserve"> US9078181081</t>
  </si>
  <si>
    <t xml:space="preserve"> UNP US</t>
  </si>
  <si>
    <t>US9078181081</t>
  </si>
  <si>
    <t>UNP US</t>
  </si>
  <si>
    <t>United Health Group</t>
  </si>
  <si>
    <t xml:space="preserve"> US91324P1021</t>
  </si>
  <si>
    <t xml:space="preserve"> UNH US</t>
  </si>
  <si>
    <t>US91324P1021</t>
  </si>
  <si>
    <t>UNH US</t>
  </si>
  <si>
    <t>United Parcel Service</t>
  </si>
  <si>
    <t>UPS</t>
  </si>
  <si>
    <t xml:space="preserve"> US9113121068</t>
  </si>
  <si>
    <t xml:space="preserve"> UPS US</t>
  </si>
  <si>
    <t>US9113121068</t>
  </si>
  <si>
    <t>UPS US</t>
  </si>
  <si>
    <t>US Bancorp</t>
  </si>
  <si>
    <t xml:space="preserve"> US9029733048</t>
  </si>
  <si>
    <t xml:space="preserve"> USB US</t>
  </si>
  <si>
    <t>US9029733048</t>
  </si>
  <si>
    <t>USB US</t>
  </si>
  <si>
    <t>Verizon Communications</t>
  </si>
  <si>
    <t>Verizon</t>
  </si>
  <si>
    <t xml:space="preserve"> US92343V1044</t>
  </si>
  <si>
    <t xml:space="preserve"> VZ US</t>
  </si>
  <si>
    <t>US92343V1044</t>
  </si>
  <si>
    <t>VZ US</t>
  </si>
  <si>
    <t>Visa Inc.</t>
  </si>
  <si>
    <t>Visa</t>
  </si>
  <si>
    <t xml:space="preserve"> US92826C8394</t>
  </si>
  <si>
    <t xml:space="preserve"> V US</t>
  </si>
  <si>
    <t>US92826C8394</t>
  </si>
  <si>
    <t>V US</t>
  </si>
  <si>
    <t>Walgreens Boots Alliance</t>
  </si>
  <si>
    <t>Walgreens</t>
  </si>
  <si>
    <t xml:space="preserve"> US9314271084</t>
  </si>
  <si>
    <t xml:space="preserve"> WBA US</t>
  </si>
  <si>
    <t>US9314271084</t>
  </si>
  <si>
    <t>WBA US</t>
  </si>
  <si>
    <t>Walmart</t>
  </si>
  <si>
    <t xml:space="preserve"> US9311421039</t>
  </si>
  <si>
    <t xml:space="preserve"> WMT US</t>
  </si>
  <si>
    <t>US9311421039</t>
  </si>
  <si>
    <t>WMT US</t>
  </si>
  <si>
    <t>Wells Fargo</t>
  </si>
  <si>
    <t xml:space="preserve"> US9497461015</t>
  </si>
  <si>
    <t xml:space="preserve"> WFC US</t>
  </si>
  <si>
    <t>US9497461015</t>
  </si>
  <si>
    <t>WFC US</t>
  </si>
  <si>
    <t>scope_cdp</t>
  </si>
  <si>
    <t>year_target_was_set</t>
  </si>
  <si>
    <t>target_coverage</t>
  </si>
  <si>
    <t>intensity_base_year</t>
  </si>
  <si>
    <t>base_year_emissions_covered_by_target</t>
  </si>
  <si>
    <t>base_year_emissions_covered_by_target%</t>
  </si>
  <si>
    <t>target_year</t>
  </si>
  <si>
    <t>targeted_reduction_from_base_year</t>
  </si>
  <si>
    <t>intensity_target_year</t>
  </si>
  <si>
    <t>covered_emissions_in_target_year_auto</t>
  </si>
  <si>
    <t>covered_emissions_in_reporting_year</t>
  </si>
  <si>
    <t>intensity_reporting_year</t>
  </si>
  <si>
    <t>target_achieved%_auto</t>
  </si>
  <si>
    <t>target_status</t>
  </si>
  <si>
    <t>sbti_target</t>
  </si>
  <si>
    <t>Comments</t>
  </si>
  <si>
    <t>Scope 1+2 (location-based)</t>
  </si>
  <si>
    <t>Company-wide</t>
  </si>
  <si>
    <t>Underway</t>
  </si>
  <si>
    <t>No, but we anticipate setting one in the next 2 years</t>
  </si>
  <si>
    <t>As a science-based company, 3M bases our business, goals, and commitments on verified scientific data and projections — including those related to climate.  We  use the World Resources Institute (WRI)/World Business Council for Sustainable Development (WBCSD) GHG Protocol Corporate Accounting and Reporting Standard to set GHG emission reduction targets, we've participated as part of the Intergovernmental Panel on Climate Change (IPCC) in establishing the processes, and we're committed to continuous improvement across our operations, supply chain, and products.  For this reason, we are incorporating the findings of the Special Report on Global Warming of 1.5°C, published by IPCC, in setting our goals and actions. Even though we have seen global emissions decrease temporarily as a result of the unprecedented global COVID-19 pandemic, climate change remains an existential threat. Its impacts are widespread, and its risks are not limited by continent, industry, or even species. Our Strategic Sustainability Framework directs our efforts to areas where we can make the biggest impact. Within the Science for Climate pillar of this framework, we will continue to focus on innovating to decarbonize industry, accelerating global climate solutions, and improving our environmental footprint. We'll continue to drive climate solutions in our operations, in our products, and in communities around the world.3M is in a GHG leadership position due to our early actions to reduce our GHG emissions, which started in 2000. We are committed to continuing that leadership even as we grow the company in order to help our customers address the issue of climate change.  We are committed to ensure GHG emissions at least 50% below our 2002 baseline, while growing our business by 2025.  Since 2002, we have achieved a 68.1% reduction in absolute Scope 1 and 2 location-based GHG emissions.In 2019, we raised the bar as part of our strategic focus on empowering Science for Climate. We increased our interim target from 25% to 50% renewable electricity by 2025, toward our ultimate goal of 100% renewable electricity by 2050.</t>
  </si>
  <si>
    <t>Scope 1+2 (market-based)</t>
  </si>
  <si>
    <t>In 2016 AbbVie decided to take a leadership approach to climate change by setting new aggressive targets to reduce emissions.  Our GHG reduction target is to reduce emissions 25% absolute, by 2025 with a 2015 baseline.  All GHG targets are combined scope 1 and 2 market based.  All quantities reported in this section are in Metric Tons of CO2e.  It should be noted that the CO2e emissions associated with the acquisition of Stemcentrx and Pharmacyclics as well as a new R&amp;D center in Cambridge, MA are not included in the target calculation because they were not included in the 2015 baseline.  The CO2 emissions from these three businesses account for less than 1% of the total AbbVie CO2e emissions. In early 2020 AbbVie initiated the process of setting a science-based carbon target.  We anticipate setting a science-based target within two years.</t>
  </si>
  <si>
    <t>In 2016 AbbVie decided to take a leadership approach to climate change by setting new aggressive targets to reduce emissions.  Our GHG reduction target is to reduce emissions 50% absolute, by 2035 with a 2015 baseline.  All GHG targets are combined scope 1 and 2 market based.  All quantities reported in this section are in Metric Tons of CO2e.  It should be noted that the CO2e emissions associated with the acquisition of Stemcentrx and Pharmacyclics as well as a new R&amp;D center in Cambridge, MA are not included in the target calculation because they were not included in the 2015 baseline.  The CO2 emissions from these three businesses account for less than 1% of the total AbbVie CO2e emissions. In early 2020 AbbVie initiated the process of setting a science-based carbon target.  We anticipate setting a science-based target within two years.</t>
  </si>
  <si>
    <t>Scope 1+2 (market-based) +3 (upstream)</t>
  </si>
  <si>
    <t>Yes, this target has been approved as science-based by the Science-Based Targets initiative</t>
  </si>
  <si>
    <t>By the end of fiscal 2025, we will reduce our absolute greenhouse gas emissions by 11% from our fiscal 2016 base year, which represents a 65% absolute reduction in scope 1 and 2 emissions, and represents a 40% per unit of revenue intensity reduction for scope 1, 2 and 3 GHG emissions over the same time period. This target relates to company-wide scope 1+2 (market-based) + scope 3 (upstream) emissions.</t>
  </si>
  <si>
    <t>Abs1 is the short- to mid-term goal with Abs2, below, being the long term goal.  Both include renewable energy.  It includes Adobe commits to reduce absolute global scope 1 and 2 emissions 25% by 2025 from 2015 levels.  We have to point out that, Adobe has experienced substantial growth in business since 2015: +133% (revenues), FTE +64%; and in 2019 (w/ two multi-billion US$ acquisitions in 2018 (Magento &amp; Marketo) and Allgorithmic SAS in 2019) we DECREASED our absolute emissions approximately -4% (location-based), -11% (market-based) and DECREASED our CO2e/FTE (carbon intensity) by -39% (location) and -48% (market) YoY from FY2018.  Adobe achieved an absolute reduction of -1% (location) and -14% (market) of Scope 1+2 emissions from our 2015 baseline.  This is not by luck or ''happenstance”:  Adobe is committed to operational excellence and a focus on energy efficiency throughout our workspaces as well as throughout our digital supply chain with progress on consolidation (ex. Moving server labs to CoLos that commit to run on RE), virtualization (ex. From many CoLos to clouds the commit to run on RE), and regular technology refreshes (entire supply chain).  Additionally, through directly renewable energy and efficiency policy advocacy, with our NGO partners (ex. Ceres) and our peers, we are collaboratively working to decarbonize the grids we live and work on.  Essentially, we are managing our carbon footprint despite major business growth and we anticipate progress on both short- and long-term SBTs and our ambitious RE100 goals that do not rely on offsets but instead depend on true renewable energy additionality.   And, since we are ONLY using true grid-scale RE as an offset to absolute emissions, projects such as our open-access Bangalore solar PPA launched 2017, our aggregation with Facebook in a virtual PPA for 10MW of a wind farm in Nebraska in 2018, and Community Choice Aggregations (CCAs, "SJ Clean Energy" and "CleanPower SF"), 2019 green tariffs in Lehi, UT and Hillsboro, OR, 2019 on-site solar in Lehi, and other tools to deploy RE are up-and-running and are intended to meet our goals.  It is important to note that in 2019 Adobe began the process of raising the ambition on our SBTs (Scope 1+2 from 25% to 35%) and this will be reported on in 2020.</t>
  </si>
  <si>
    <t>Abs2 is our long-term SBTi goal.  Adobe commits to reduce absolute global scope 1 and 2 emissions by 80% by 2040 from 2015 levels.  As above, in 2019, we DECREASED our absolute emissions approximately -4% (location-based), -11% (market-based) and DECREASED our CO2e/FTE (carbon intensity) by -39% (location) and -48% (market) YoY from FY2018.  Adobe achieved an absolute reduction of -1% (location) and -14% (market) of Scope 1+2 emissions from our 2015 baseline.   Essentially, we are managing our carbon footprint despite major business growth but we anticipate progress on both short- and long-term SBTs in the coming years.   Important note:  in 2019 Adobe raised the ambition on our SBTs from "greater than 2C ambition" to "greater than 1.5C ambition":  Scope 1+2 from 25% to 35% by 2025.  These new, raised ambition targets will be verified, and progress reported against it in CDP,  in 2020.  We will be reviewing this goal (Abs 2) in 2020 to determine if 80% by 2035 is at the right level of ambition given Adobe does not purchase offsets or unbundled RECs and our RE100 goal is set to 2035.</t>
  </si>
  <si>
    <t>S3</t>
  </si>
  <si>
    <t>Scope 3 (downstream)</t>
  </si>
  <si>
    <t>Achieved</t>
  </si>
  <si>
    <t>No, but we are reporting another target that is science-based</t>
  </si>
  <si>
    <t>Abs3 is our target is SBTi goal 1 of 2 for Scope 3 emissions from downstream supply chain operations:  elimination of emissions (and resource consumption) in moving from a physical to 100% digital supply chain.  In 2012 Adobe adopted a cloud strategy for all products which not only made it easier and more efficient for customers to use Adobe products, but it also dematerialized our entire physical supply chain, eliminated all downstream waste and emissions from the businesses, all material waste and emissions from transportation and logistics throughout each product's lifecycle, and decreased the environmental impact of the customers by a minimum of 70% (at that time), with an average greater than 90% reduction, and greater than 95% when customers use Adobe products from a mobile device. The goal has been to achieve 100% digital download of products by 2020 -- this goal was achieved in early 2019 with 100% of all Adobe products delivered digitally and zero emissions from all previous physical supply chains.  An added benefit of putting this upstream purchased goods &amp; services goal in place has been to engage with suppliers throughout the value chain to help them set and meet RE100 and SBT goals.  Because of this, in 2019 Adobe set a brand new Scope 3 emissions SBT of committing that 55% of suppliers (by spend) will set SBTs by 2025 (this is equivalent to 66% of purchased goods &amp; services and capital goods emissions for approximately 52 suppliers).  This SBT was put into place in late 2019 and will be verified by the SBTi in 2020.</t>
  </si>
  <si>
    <t>No, and we do not anticipate setting one in the next 2 years</t>
  </si>
  <si>
    <t>Every year, we have a goal of being carbon neutral. As of December 31, 2019, we reached carbon neutrality for 100% of our FY2019 operational emissions, which represent Scope 1 + Scope 2 (market-based) + Scope 3 (business travel, candidate travel, and employee commuting).Abs1 covers Scope 1 + Scope 2 (market-based) + Scope 3 (business travel, candidate travel, and employee commuting). We committed to being carbon neutral in 2007 and we have achieved this goal each year since then. We maintain our commitment to carbon neutrality of our operational footprint first through energy efficiency, second, by signing long-term contracts for renewable energy directly from our utility providers and from renewable energy facilities in the same grid regions as our data centers, and lastly, by investing in high-quality carbon offset projects.We understand that CDP does not acknowledge carbon offsets as a way to reduce emissions, however, we do recognize offsets as a viable and important approach for mitigating our carbon emissions impact, as well as a critical component of our three-tiered carbon neutrality strategy.</t>
  </si>
  <si>
    <t>Abs2 includes Scope 1 emissions, and is our interim target for Abs3. On July 27, 2015, Google committed to tripling our purchases of renewables (then 1.1GW) by 2025 (see: https://www.whitehouse.gov/the-press-office/2015/07/27/fact-sheet-white-house-launches-american-business-act-climate-pledge). This was expected to result in installed production capacity of 3.4GW of renewable power and an annual GHG emissions reduction of approximately 2.7 million tCO2 by 2025, of which an increase of 1.8 million tCO2 in our annual GHG emissions reduction (from 0.9 million tCO2/year to 2.7 million tCO2/year) will be achieved by 2025.We exceeded this target in 2018, seven years early. From 2010 to 2019, we've signed 52 agreements totaling nearly 5.5 gigawatts of renewable energy. As of the end of 2019, our annual greenhouse gas emissions reductions from our renewable energy projects were 4.3 million metric tons, which puts us 238% of the way towards this goal from an emissions reduction perspective, and 191% of the way towards this goal from a renewable energy perspective. Our calculations assume that the grid emissions factors in the target year remain the same.Our overall energy usage from base year to target year is expected to increase, so this target is expected to result in an equivalent annual reduction of emissions from base year to target year of 124% by 2025, though we have written 100% as that is the maximum value possible for this field. Our % reduction from base year represents annual emissions reductions in our target year due to additional purchases of renewables (1.8 million tCO2), as compared to our annual base year emissions covered by this target (1.5 million tCO2). [(1.8 million tCO2/1.5 million tCO2) x 100 = 124%]. Our market-based Scope 2 emissions represented 92.2% of our combined Scope 1 and market-based Scope 2 emissions in 2019.</t>
  </si>
  <si>
    <t>Abs3 includes Low1, as well as Scope 1 emissions. In 2012, we set a long-term goal to purchase enough renewable energy to match all the electricity we consume globally on an annual basis. For the past three years (2017-2019) we achieved it: Google's total purchase of energy from sources like wind and solar exceeded the amount of electricity used by our operations around the world, including offices, data centers, and networking infrastructure. While we're still drawing power from the grid, some of which is from fossil fuel resources, we're purchasing enough wind and solar energy to match every megawatt-hour (MWh) of electricity our data center and office operations consume annually. In 2019, our annual GHG reductions from our renewable energy projects were 4.3 million metric tons. This puts us 191% of the way towards this goal from an emissions reduction perspective. Google is the largest cumulative corporate purchaser of renewable energy in the world. From 2010 to 2019, we've signed 52 agreements totaling nearly 5.5 gigawatts of renewable energy. Reaching our 100% renewable purchasing goal means that Google buys on an annual basis the same amount of MWh of renewable energy—both the physical energy and its corresponding renewable energy certificates (RECs)—as the amount of MWh of electricity that we consume for our operations around the world. Where possible, we buy this energy directly from our utility providers and from renewable energy facilities in the same grid regions as our data centers.Since we're using Abs2 as our interim target for Abs3 and it would be difficult to predict our emissions in 2040, we used most of the same data here for Abs3 as we did for Abs2. We know we'll increase our annual GHG emissions reduction by at least 1.8 million tCO2 of emissions (our Abs2 target) sometime before 2040. The actual reduction in tCO2 will likely be greater as we believe our Scope 2 emissions will grow between our base year and 2040. Matching 100% renewable energy is just the beginning. We'll continue to buy renewable energy to match our growing electricity load. And in those regions where we can't yet buy renewables, we'll keep working on ways to help open the market. At the same time, we're pursuing a longer-term ambition: to match every hour of our electricity consumption at every data center location with carbon-free electricity on the same grid.</t>
  </si>
  <si>
    <t>This target is company-wide; set at the Altria-level and includes all subsidiaries. The target was achieved in 2019 and replaced with a new 2030 target, which was validated by the Science Based Targets initiative.</t>
  </si>
  <si>
    <t>Scope 3 (upstream &amp; downstream)</t>
  </si>
  <si>
    <t>Revised</t>
  </si>
  <si>
    <t>This target is company-wide and includes all relevant Scope 3 categories. The target was revised in 2019 to include the investments category, changing base year inventories. The revised target was validated by the Science Based Targets initiative.</t>
  </si>
  <si>
    <t>New</t>
  </si>
  <si>
    <t>This target is company-wide; set at the Altria-level and includes all subsidiaries. This target was officially validated by the Science Based Targets initiative as consistent with reductions required to keep warming to 1.5°C.</t>
  </si>
  <si>
    <t>This target is company-wide and includes all relevant Scope 3 categories and was officially validated by the Science Based Targets initiative.</t>
  </si>
  <si>
    <t>S1+S2+S3</t>
  </si>
  <si>
    <t>Other, please specify: Scope 1+2 (market-based)+Scope 3 (business travel)</t>
  </si>
  <si>
    <t>Yes, we consider this a science-based target, but this target has not been approved as science-based by the Science-Based Targets initiative</t>
  </si>
  <si>
    <t>We are committing to achieve carbon neutrality for our operations Scope 1 and 2 (market-based) and 3 (business travel) (employee business travel, including third-party air, rail and rental cars) by 2025. Operations include all our managed facilities, field sites and data centers. To help us achieve this GHG goal, we are implementing energy efficiency projects and procuring renewable energy at our facilities. We also have an operational goal to reduce energy use by 35% across our global managed portfolio from 2011 to 2025. For unavoidable emissions we invest in certified carbon offsets to achieve the carbon neutrality commitment.</t>
  </si>
  <si>
    <t>We are committing to maintaining carbon neutrality for our operations Scope 1 and 2 (market-based) and 3 (business travel) (employee business travel, including third-party air, rail and rental cars) through at least 2040. Operations include all our managed facilities, field sites and data centers. To help us achieve this GHG goal, we are implementing energy efficiency projects and procuring renewable energy at our facilities. We also have an operational goal to reduce energy use by 35% across our global managed portfolio from 2011 to 2025. For unavoidable emissions we invest in certified carbon offsets to achieve the carbon neutrality commitment.</t>
  </si>
  <si>
    <t>Country/region</t>
  </si>
  <si>
    <t>AIG is a supporter of the UK Carbon Reduction Commitment (CRC) in the UK, and has committed to reducing the Carbon emissions associated with its UK business operations by 20% by the year 2020.  AIG's UK operations have exceeded the target commitment, reducing overall Scope 1 and Scope 2 emissions by 69 percent, more than three times the target. The CRC expired on 2020, so there won't be future reporting.</t>
  </si>
  <si>
    <t>S1</t>
  </si>
  <si>
    <t>Scope 1</t>
  </si>
  <si>
    <t>As a result of the significant efforts detailed in our 2019 Corporate Sustainability Report, the Company reduced actual annual diesel consumption by approximately 34 million liters from our 2017 baseline and by approximately 65 million liters after normalizing 2019 consumption for site acquisitions and new builds in 2018 and 2019 (normalization calculations make certain assumptions and estimates for newly acquired or built sites based on applying the average 2017 diesel usage per site). This normalized reduction represents the equivalent of 163,000 avoided metric tons of carbon dioxide equivalent (MTCO2e) and moves us 46% of the way to fulfilling our 10-year goal. The 65 million liter reduction is the equivalent of taking more than 35,000 cars off the road for a year or helping to preserve more than 65,000 acres of forest. Recognizing the significant positive environmental impact, American Tower will build on this early success and continue our methodical approach to decreasing fossil fuel consumption in all areas.  See the Energy section of our report below:https://www.americantower.com/corporate-responsibility/index.htmlORhttps://bit.ly/30BKrE2</t>
  </si>
  <si>
    <t>We set a 2020 target to reduce carbon emissions from our facilities (on-site combustion (scope 1) and purchased energy (scope 2) by 10% of baseline year 2012.  These sources accounted for 94% of our total Scope 1 and Scope 2 emissions in baseline year 2012. We have achieved our 2020 target ahead of schedule and we are currently in the process of setting our next iteration of carbon reduction targets. In the interim, we have set internal reduction targets to continue progress in reducing greenhouse gas emissions from our operations.</t>
  </si>
  <si>
    <t>Using the sectoral decarbonization approach (SDA) methodology, a medium term science-based reduction target would require Apple to reduce its Scope 1 and 2 emissions by 7 percent by 2020, relative to 2012 baseline emissions. We have reduced our Scope 1 and Scope 2 emissions by 68 percent since 2012, well surpassing what science-based targets call for. While we recognize we have already reached these science-based targets, we continue to drive down our emissions.  As of April 2020, we are carbon neutral for scope 1, 2, and scope 3 emissions relating to Apple's operations (employee commute and business travel) beginning in fiscal year 2021. And we also set an ambitious target to be carbon neutral by 2030 and reduce emissions by 75 percent, including our entire product life cycle scope 3 emissions.</t>
  </si>
  <si>
    <t>Using the sectoral decarbonization approach (SDA) methodology, a long-term science-based reduction target would require Apple to reduce its Scope 1 and 2 emissions by 52% by 2036, relative to 2012 baseline emissions. We have reduced our Scope 1 and Scope 2 emissions by 68 percent since 2012, surpassing the science-based target 17 years faster than what the approach dictates. While we recognize we have already reached these science-based targets, we continue to make yearly progress further reducing emissions within relevant boundaries.  As of April 2020, we are carbon neutral for scope 1, 2, and scope 3 emissions relating to Apple's operations (employee commute and business travel) beginning in fiscal year 2021. And we also set an ambitious target to be carbon neutral by 2030 and reduce emissions by 75 percent, including our entire product life cycle scope 3 emissions.</t>
  </si>
  <si>
    <t>S2</t>
  </si>
  <si>
    <t>Scope 2 (market-based)</t>
  </si>
  <si>
    <t>This target of reducing 100 percent of Scope 2 emissions for all of our worldwide facilities (by powering our facilities worldwide with 100 percent renewable energy) applies to all Apple corporate facilities, data centers, and retail stores worldwide. All reductions to be achieved primarily by energy efficiency projects and new Apple-created renewable generation projects and the direct procurement of bundled renewable energy. We achieved our 100 percent Scope 2 emissions reduction target for all of our worldwide facilities in January 2018, and have maintained it through fiscal year 2019.</t>
  </si>
  <si>
    <t>Scope 1+2 (market-based) +3 (upstream &amp; downstream)</t>
  </si>
  <si>
    <t>In 2020, we set a new goal to become carbon neutral for our entire carbon footprint by 2030. We plan to reduce emissions by 75 percent by 2030, compared to 2015 levels, through product design and engineering, energy efficiency and renewable energy, and direct emissions abatement. A science-based target aligned with 1.5 C trajectory calls for a 4.2% annual linear reduction. Since this equates to a 47% reduction over our target period, we consider our target to well-exceed the requirements for a science-based target.</t>
  </si>
  <si>
    <t>We have set an absolute Scope 1 GHG emissions reduction goal to reduce our emissions by 20% by EOY 2020, using an adjusted 2008 Scope 1 baseline of 1,354,054.  The adjusted baseline accounts for DIRECTV historical baseline Scope 1 emissions, and estimates for previously missing refrigerant emissions data.  We surpassed this goal, realizing a 26.8% reduction. AT&amp;T now has an SBTi-approved goal for Scope 1 emissions.  See below.</t>
  </si>
  <si>
    <t>AT&amp;T originally set a target to increase its Alternative Fuel Vehicle fleet. As time passed our traditional vehicle fleet became more efficient making our AFV goal less relevant in regards to emissions. AT&amp;T has set a new goal that is technology agnostic but focused on the end goal of reduced emissions. AT&amp;T has established a goal of a 30% emissions reduction for Domestic Fleet by the end of 2020. We surpassed this goal, realizing a 31% reduction.</t>
  </si>
  <si>
    <t>Approved by SBTi in 2020</t>
  </si>
  <si>
    <t>In 2019, we reached our goal of becoming carbon neutral for Scope 1 and 2 emissions, one year ahead of our plan. To reach this goal, we started by reducing our location-based emissions by 56% since 2010. Second, we have focused on purchasing renewable electricity in a way that supports new solar and wind. This is being done through installing onsite solar and long-term agreements for tax equity investments and small projects in underserved communities as well as signing power purchase agreements. Finally, for unavoidable emissions we purchased superior carbon offsets in each region in which we operate.</t>
  </si>
  <si>
    <t>We are committing to maintain carbon neutrality through at least 2040.</t>
  </si>
  <si>
    <t>In tandem with the carbon neutrality goal, we are committing to reduce our location-based emissions by 50%.</t>
  </si>
  <si>
    <t>For more information, see our target on sciencebasedtargets.org.  Full wording of our target is as follows: ''Biogen commits to a 35% reduction of absolute emissions across its entire value chain (scopes 1, 2 and 3) by 2030 from a 2013 base-year.Biogen adjusted its approach to engaging suppliers in 2017 to align with standard best practices. Scope 3 emissions are noticeably higher as they are no longer 100% matched with renewable energy certificates. Consequently, Biogen is evaluating its strategy towards achieving its 35% Absolute Reduction by 2030 target.</t>
  </si>
  <si>
    <t>BlackRock committed to reducing facility location-based GHG emissions by 30% by 2020. Due to the growth and acquisition of several companies since 2014, our base year, while we have continuously reduced our emissions YOY, and our square footage footprint has increased by 15% and headcount by 40.1%, we achieved 73% of our target with a 22% emissions reduction in 2019 compared with the base year.</t>
  </si>
  <si>
    <t>Historically, BNY Mellon had a Scope 1 and 2 target of 40% for globally owned or controlled locations excluding data centers by 2020 relative to 2008. On track to meet and exceed that goal, in 2018 emissions had been reduced by 55%. In 2019 BNY Mellon undertook the initiative of setting a new SBTi-based target that aligns with a well-below 2C scenario. The new target is inclusive of all global Scope 1 and 2 emissions, as well as those at data centers.Regarding the Target status as of 2019, it is both new since last year, and also underway in the sense that 2019 is the first year of data toward the new goal.</t>
  </si>
  <si>
    <t>As part of the company's carbon neutral commitment, BNY Mellon has plans to procure renewable energy for all Scope 2 electricity use through until 2020. In 2014, emissions from electricity made up 96% of BNY Mellon's total Scope 2 market-based emissions; therefore, procuring renewable electricity for all of the company's electricity needs would represent a 96% reduction in emissions compared to 2014 when no renewable electricity was purchased.In 2015 and 2016, BNY Mellon purchased 290,000,000 MkWh of Green-e Certified Renewable Energy Credits (RECs), 31,000,000 kMWh of Guarantees of Origin (GO) and 45,000,000 MkWh of PowerPlus Green Power to match the company's entire Scope 2 electricity use. In 2017, the company purchased 257,000 MWh of RECs, 34,000 MWh of GOs, 5,899 MWh of International Renewable Electricity Credits (I-RECs) and 35,919 MWh of PowerPlus Instruments to match BNY Mellon's entire Scope 2 electricity use. In 2018, BNY Mellon purchased 264,000 MWh of RECs, 28,500 MWh of Renewable Energy Guarantees of Origin (REGOs), 3,779 MWh of I-RECs, and 39,863 MWh of PowerPlus Instruments to match the company's entire Scope 2 electricity use. In 2019, BNY Mellon purchased 268,000 MWh of RECs, 28,185 MWh of Renewable Energy Guarantees of Origin (REGOs), 5,593 MWh of I-RECs, and 36,972 MWh of PowerPlus Instruments to match the company's entire Scope 2 electricity use.Rebaselined 2014 emissions include a change in methodology for emissions from steam.</t>
  </si>
  <si>
    <t>As part of the company's carbon neutral commitment, BNY Mellon has plans to procure renewable energy for all Scope 2 electricity use until 2020. BNY Mellon will consider continuing this program into 2040 and beyond. In 2014, emissions from electricity made up 92% of the company's total Scope 1 and 2 market-based emissions; therefore procuring renewable electricity for all of BNY Mellon's electricity needs would represent a 92% reduction in emissions compared to 2014 when no renewable electricity was purchased.In 2015 and 2016, BNY Mellon purchased 290,000 MWh of Green-e Certified Renewable Energy Credits (RECs), 31,000 MWh of Guarantees of Origin (GO) and 45,000 MWh of PowerPlus Green Power to match the company's entire Scope 2 electricity use. In 2017, the company purchased 257,000 MWh of RECs, 34,000 MWh of GOs, 5,899 MWh of International Renewable Electricity Credits (I-RECs) and 35,919 MWh of PowerPlus Instruments to match BNY Mellon's entire Scope 2 electricity use. In 2018, BNY Mellon purchased 264,000 MWh of RECs, 28,500 MWh of Renewable Energy Guarantees of Origin (REGOs), 3,779 MWh of I-RECs, and 39,863 MWh of PowerPlus Instruments to match the company's entire Scope 2 electricity use. In 2019, BNY Mellon purchased 268,000 MWh of RECs, 28,185 MWh of Renewable Energy Guarantees of Origin (REGOs), 5,593 MWh of I-RECs, and 36,972 MWh of PowerPlus Instruments to match the company's entire Scope 2 electricity use.Rebaselined 2014 emissions include a change in methodology for emissions from steam.</t>
  </si>
  <si>
    <t>The 25 percent GHG target is set for the large majority of Boeing's manufacturing facility operations, accounting for roughly 70 percent of Boeing's global Scope 1 and 2 GHG emissions inventory.  This target was developed using SBTi Sector-based approach.</t>
  </si>
  <si>
    <t>We have a 2020 Target to reduce our absolute scope 1 and 2 greenhouse gas emissions by 5% from a 2015 baseline. In 2019, BMS increased the reduction compared to the baseline for a total 21% reduction.</t>
  </si>
  <si>
    <t>Capital One has a year over year goal to be carbon neutral for Scope 1, 2 (market based) emissions. 11,719 MT of base year 2017 Scope 1 emissions where 0 due to purchased carbon offsets. The majority of 2017 Base year Scope 2 (market based) emissions were neutralized through REC purchases  as part of our 100 % renewable energy goal. The remaining 150 MT was from steam which equaled 1% of  the total Scope 1 and Scope 2 (market based)  emissions for 2017. In 2019 all Scope 1 was neutralized through carbon offsets. Scope 2 market based electricity was 0 due to REC purchases. Scope 2 steam was 0 due to carbon offsets</t>
  </si>
  <si>
    <t>Scope 3: Business travel</t>
  </si>
  <si>
    <t>Capital One has a year over year goal to be carbon neutral for Scope 3 business travel emissions.  Base year 2017 business travel emissions were 62,340 MT of CO2e and were neutralized through purchased carbon offsets. 34,539 MT of 2018 Business travel emissions were neutralized through carbon offsets</t>
  </si>
  <si>
    <t>These goals were set at the end of FY2017 following on the completion of our previous 5 year goals. These 5-year goals cover 100% of our Scope 1 and 2 emissions and exceeds the recommended 2.1% year-on-year emissions reduction. By 2019 we had reduced our Scope 1 and Scope 2 emissions by 49% absolute compared to our 2007 baseline. Our organization submitted this target to SBTi in April 2018 and it was successfully approved.</t>
  </si>
  <si>
    <t>Scope 3: Use of sold products</t>
  </si>
  <si>
    <t>Product-level</t>
  </si>
  <si>
    <t>Our Scope 3 product energy use goal is: Improve system power efficiency—as measured from the input from the facility to the board-mounted ASICs, memory and other chip devices—from 77 to 87% by FY2022 for large, rack-mounted equipment. This efficiency target will result in 13% absolute reductions in GHG emissions from network and facilities equipment operations by FY2022 from a FY2016 base-year.See question C6.5 for new methodology on calculation for Use of Sold products. Although our GHG emissions have decreased from 2016 to the most recent submission, we believe that may be have more to do with the new methodology and estimates that we're made going back further into the past.</t>
  </si>
  <si>
    <t>As part of our Operations goals, we have emission goals for Citi's global footprint. Our 2020 goal is to reduce carbon emissions by 35% and energy consumption by 30%, with an annual carbon reduction rate of 2.33%. As of 2019, we have surpassed this goal and achieved a 43.5% reduction. This is a science-based interim goal proportioned out so that the firm is on track to meet its long term science-based goal in 2050 of an 80% absolute reduction in emissions. Our 2020 goal is a medium term goal of 15 years and our long term goal is 45 years, both with a base year of 2005 and start year of 2006. Since Citi is part of the global initiative RE100 and committed to source 100% renewable electricity by 2020, the carbon reduction rate increases significantly, surpassing 2.1%.</t>
  </si>
  <si>
    <t>As part of our Operations goals, we have long term emission goals for Citi's global footprint. Our 2050 science-based goal is based upon our portfolio mix and is created to maintain reductions needed to cap global temperature increase at 2 degrees Celsius, taking into account the latest IPCC assessment. Though our long term science-based goal of an 80% reduction by the year 2050 gave an annual carbon reduction of 1.78%,  as Citi is part of the global initiative RE100 and committed to source 100% renewable electricity by 2020, the carbon reduction rate increases significantly, surpassing 2.1%.</t>
  </si>
  <si>
    <t>Through 2018, we achieved a 29.7% reduction in our Scope 1 (without fugitive emissions) + Scope 2 (Market Based) emissions versus our 2020 goal of 25% reduction. By 2019 we reached a 31% reduction from the 2002 baseline, continuing to surpass our target.Fugitive emissions are not included in our 2020 goal as they are a small fraction of our Scope 1 + Scope 2 market-based emissions (1.4%) and are not included in the approved Science-Based targets. However, fugitive emissions are measured, third party reviewed and reported.It is noted that approximately 95% of our Scope 1 + Scope 2 (Market Based) emissions are included in this target. The emission sources that are not covered by this target include fugitive emissions, a number of Colgate owned offices, warehouses and mobile sources (cars and trucks). In an effort to improve our reporting methodologies this year we reviewed those emission sources during our third-party verifications and will be included in our new commitment with the Science Based Targets and future reports.Our climate strategy is anchored in setting and achieving science-based goals to reduce greenhouse gases. As part of our 2015 to 2020 Sustainability Strategy, Colgate developed the 2020 and 2050 science-based goals to reduce absolute greenhouse gas emissions by 25% and 50%, respectively, compared to 2002. Colgate collaborated with CDP to develop these goals. Early on, CDP reviewed these goals and indicated that the 2020 and 2050 targets exceeded the requirements of the ''Linear Approach” to a science-based goal, which is based on the Intergovernmental Panel on Climate Change's ''RCP 2.6 Carbon Pathway,” one of the climate trajectories used for modeling and research. Our 2020 target also exceeds the requirements of the ''Sectoral Decarbonization Approach” to a science-based goal, which is based on the 2°C change in global average temperature scenario developed by the International Energy Agency (IEA). This target was officially approved by SBTi in 2017.  Now, Colgate is joining the Science Based Targets initiative, UN Global Compact and the We Mean Business Coalition's Business Ambition for 1.5°C campaign and has received approval for a new SBTs including Scope 1, 2 and 3 targets for 2025 and 2030, using 2018 as baseline that are aligned with limiting global temperature rise to 1.5°C above pre-industrial levels.</t>
  </si>
  <si>
    <t>Our climate strategy is anchored in setting and achieving science-based goals to reduce greenhouse gases. As part of our 2015 to 2020 Sustainability Strategy, Colgate developed 2020 and 2050 science-based goals to reduce absolute greenhouse gas emissions by 25% and 50%, respectively, compared to 2002. Colgate collaborated with CDP to develop these goals. Early on, CDP reviewed these goals and indicated that the 2020 and 2050 targets exceeded the requirements of the ''Linear Approach” to a science-based goal, which is based on the Intergovernmental Panel on Climate Change's ''RCP 2.6 Carbon Pathway,” one of the climate trajectories used for modeling and research. Our 2020 target also exceeds the requirements of the ''Sectoral Decarbonization Approach” to a science-based goal, which is based on the 2°C change in global average temperature scenario developed by the International Energy Agency (IEA).  This target was officially approved by SBTi in 2017.To meet the 50% reduction goal of Scope 1 + Scope 2 emissions by 2050 with 2002 base year, we should have achieved the percent reduction of Scope1 + Scope 2 emissions that we attained through 2019 by 2028 indicating that we are ahead of schedule to accomplish that goal.Now, Colgate is joining the Science Based Targets initiative, UN Global Compact and the We Mean Business Coalition's Business Ambition for 1.5°C campaign and has received approval for a new SBTs including Scope 1, 2 and 3 targets for 2025 and 2030, using 2018 as baseline that are aligned with limiting global temperature rise to 1.5°C above pre-industrial levels.</t>
  </si>
  <si>
    <t>In 2017, the SBTi approved Colgate's science based target which included a Scope 3 aspect related to consumer use of our products: ''Colgate-Palmolive Company commits to reduce absolute Scope 1 and 2 greenhouse gas emissions from manufacturing by 25% from 2002 to 2020, with a longer term goal of a 50% reduction by 2050. Colgate also commits, as a way to reduce our most significant Scope 3 greenhouse gas emissions, to promote water conservation awareness to 100% of our global consumers and reduce emissions associated with consumer behaviour by up to 5% from 2016 to 2022, and increase the recycled content of our packaging to 50% by 2020.”We achieved a median value of 5% reduction in emissions associated with consumer behaviour, relative to a 2016 baseline and based on consumer survey results from 2019. Reduction estimates range from 3-7% due to inherent variability in consumer behaviours.</t>
  </si>
  <si>
    <t>Scope 1+2 (location-based) +3 (upstream &amp; downstream)</t>
  </si>
  <si>
    <t>Business division</t>
  </si>
  <si>
    <t>SkyZero is a 2030 Zero Carbon goal that applies only to the Sky business unit.  This target covers Sky's Scope 1, 2, and 3 emissions and is in line with a 1.5 degree C trajectory.</t>
  </si>
  <si>
    <t>Comcast has established an aspirational goal to have zero emissions. This goal is not time-bound, nor is it measured to a static base year; rather, this goal is evaluated at a point in time. For this response, we have assessed our progress for calendar year 2019. 388,377 metric tons CO2e represents the Comcast Cable fleet (not including Sky or NBCUniversal) at the close of 2017 and will serve as the base for this evaluation.</t>
  </si>
  <si>
    <t>Comcast has established an aspirational goal to source 100% renewable energy. This goal is not time-bound, nor is it measured to a static base year; rather, this goal is evaluated at a point in time. For this response, we have assessed our progress for calendar year 2019. 1,925,233 metric tons CO2e represents only Comcast Cable and NBCUniversal at the close of 2017 and will serve as the base for this evaluation.</t>
  </si>
  <si>
    <t>During 2019, we continued our aggressive emissions reduction measures in order to meet the science-based target we set forth in 2017 to reduce our combined Scope 1 and 2 market-based emissions 36 percent by 2030 over the 2010 baseline and we achieved it. This target has been approved by the Science-Based Targets initiative (SBTi). Through 2019 we achieved a 37 percent absolute reduction in market-based Scope 1 and 2 emissions over the 2010 baseline.</t>
  </si>
  <si>
    <t>During 2019, we continued our aggressive emissions reduction measures in order to meet the science-based target we set forth in 2017 to reduce our combined Scope 1 and 2 market-based emissions 56 percent by 2050 over the 2010 baseline. This target has been approved by the SBTi. Through 2019 we achieved a 37 percent absolute reduction in market-based Scope 1 and 2 emissions over the 2010 baseline.</t>
  </si>
  <si>
    <t>Duke Energy's current plan to achieve a 50% reduction in our Scope 1 CO2 emissions from electricity generation by 2030 is consistent with a pathway to achieve a science-based two-degree target.  See our 2020 Climate Report for more details.This target equates to a reduction from 138 million metric tons of CO2 in 2005 to 69 million metric tons of CO2 in 2030.  As of 2019, our generation fleet emitted 84.4 million metric tons of CO2. This reduction (138 - 84.4 = 53.6) is 78.4% of our target reduction of 69 million metric tons.</t>
  </si>
  <si>
    <t>In 2019, Duke Energy established this target of net-zero Scope 1 CO2 emissions from the company's electricity generation by 2050.  As of 2019, our generation fleet emitted 84.4 million metric tons of CO2. This reduction (138 - 84 = 53.5) is approximately 39% of our target reduction of 138.8 million metric tons. Duke Energy's current plan to achieve net-zero Scope 1 CO2 emissions from electricity generation by 2050 is consistent with a pathway to achieve a science-based two-degree target.  See our 2020 Climate Report for more details.</t>
  </si>
  <si>
    <t>Scope 1+2 (location-based) +3 (upstream)</t>
  </si>
  <si>
    <t>We have committed to reduce our greenhouse Gas (GHGs) emissions 30% including sourcing 60% of electricity from renewable energy. Our emissions target covers all Scope 1 and Scope 2 greenhouse gas emissions as well as mobile fuels (Scope 3, Category 3). In the future we may consider market-based Scope 2 emissions in addition to/instead of location-based Scope 2 emissions covered in this target.The impact of climate change is widespread across both human populations and natural ecosystems. Addressing climate change, and the greenhouse gas (GHG) emissions that contribute to it, requires urgent action and long-term commitments by every segment of society. With this commitment, we will act to drive down our GHG emissions at a pace that is aligned with climate science. We will procure our electricity from more renewable sources, ramp up our work on energy efficiency projects that deliver the most value and advocate for consistent, predictable policy and regulatory environments that foster innovation, investment and economic growth.</t>
  </si>
  <si>
    <t>We have committed to delivering carbon neutral operations by 2050. Our emissions target covers all Scope 1 and Scope 2 greenhouse gas emissions as well as mobile fuels (Scope 3, Category 3). In the future we may consider market-based Scope 2 emissions in addition to/instead of location-based Scope 2 emissions covered in this target.The impact of climate change is widespread across both human populations and natural ecosystems. Addressing climate change, and the greenhouse gas (GHG) emissions that contribute to it, requires urgent action and long-term commitments by every segment of society. With this commitment, we will act to drive down our GHG emissions at a pace that is aligned with climate science. We will procure our electricity from more renewable sources, ramp up our work on energy efficiency projects that deliver the most value and advocate for consistent, predictable policy and regulatory environments that foster innovation, investment and economic growth.</t>
  </si>
  <si>
    <t>Other, please specify: Scope 1 &amp; 2 Controllable Operations</t>
  </si>
  <si>
    <t>Exelon established this third generation GHG goal in 2017 to reduce 100% of its emissions from internal operations (emissions controllable by our employees and processes) 15% from a 2015 baseline by 2022 (2.2% reduction per year).   At the time, a 2.2% reduction was recommended by the EPA to be in line with the Paris Accord. Our goal was intended to be achieved be despite new equipment coming online due to business growth expected in 2018.  The actual public facing goal is on Market-driven emissions, allowing for use of clean energy purchases to be part of performance, but per CDP requirements, the goal is being reported here based on absolute location-based emissions.  Emissions sources covered by this goal include all building and support equipment electricity uses, emergency and auxiliary stationary combustion sources, fleet vehicles, natural gas distribution systems, SF6 electrical insulated equipment, and refrigerant sources.  Emissions not included under this goal are those we own but do not have direct control over and which are measured and managed under different GHG emissions programs.  These emission sources include our Scope 1 emissions from electric generation since the level of operation for these units is determined by grid demand for electricity and resulting plant dispatch as determined by the grid balancing authority (outside of our full operational control since we have a commitment to the grid to be available as needed to meet demand); and Scope 2 emissions associated with transmission and distribution line losses since these emissions are primarily driven by the volume of electricity required to be delivered to utility customers (similarly outside of our full day-to-day operational control since we have a commitment to the public utility commissions to deliver power as needed). It should be noted, that for these other sources, Exelon does maintain performance management indicators such as lbs/MWh generated and % loss of MWh delivered are used to ensure a continued focus on GHG emission reduction efforts being implemented.  Looking across these three performance programs ensures ongoing management of emissions across 100% of our corporate-wide GHG inventory.</t>
  </si>
  <si>
    <t>An original goal was set in 2010, aiming to reduce the company's global carbon dioxide emissions from manufacturing operations by 30 percent per vehicle produced by 2025. Ford achieved that goal in 2017, eight years ahead of schedule. A new goal has been developed using science-based methodology and 2DS.  With 2017 as the baseline year, an absolute target has been set for an absolute tCO2e reduction of 16.2% by 2023.  (SBTi). We plan on submitting targets for Scope 1, 2, and 3 (use of sold products) for SBTi approval within 2 years.Progress: ABSOLUTE TARGET 1 is a 16.2% reduction in Scope 1+Scope 2(location-based) between 2017 and 2023.  The 2017 base year emissions are 4168442 t CO2e. 16.2% of 4168442 is 675287.6 tCO2e reduction required by 2023.In 2019 our S1+S2(loc) emissions are 3636301 t CO2e, which is 4,168,442-3,636,301=532,141 t CO2e lower than 2017.  We have reduced 532,141 t out of the 675,287.6 t needed to meet the reduction target.  532,141 /675,287.6=0.788=78.8% of the reduction target has been achieved.</t>
  </si>
  <si>
    <t>An original goal was set in 2010, aiming to reduce the company's global carbon dioxide emissions from manufacturing operations by 30 percent per vehicle produced by 2025. Ford achieved that goal in 2017, eight years ahead of schedule. A new goal has been developed using science-based methodology and 2DS.  With 2017 as the baseline year, our goal of 100% renewable scope 2 energy at manufacturing locations gives us 75% reduction in scope 1+scope 2 absolute tCO2e by 2035.  We plan on submitting targets for Scope 1, 2, and 3 (use of sold products) for SBTi approval within 2 years.  Ford intends to establish targets and metrics for select suppliers starting in early 2021. Progress: ABSOLUTE TARGET 2 is a 75% reduction in Scope 1+Scope 2(location-based) between 2017 and 2035.  The 2017 base year emissions are 4,168,442 t CO2e. 75% of 4,168,442 is 3,126,332 tCO2e reduction required by 2035.In 2019 our S1+S2(loc) emissions are 3,636,301 t CO2e, which is 4,168,442-3,636,301=532,141 t CO2e lower than 2017.  We have reduced 532,141 t out of the 3,126,332  t needed to meet the reduction target.  532,141/3,126,332 = 0.17=17% of the reduction target has been achieved.</t>
  </si>
  <si>
    <t>GE's goal for GHG reductions is a 20% absolute reduction from a 2011 baseline of operational GHG emissions by 2020 and was developed in concert with ''The 3% Solution,” a science-based methodology from the World Wildlife Fund (WWF) and CDP.</t>
  </si>
  <si>
    <t>GM met our Scope 1 and 2 GHG 2020 goal in 2017 and developed an absolute goal to 2010-2030, based on science, to limit global temperature rise to below 2 degrees Celsius above pre-industrial levels. Energy efficiency in our operations and RE100 provide the methods to meet our goal in the future.  The model used is from Ecofys and is consistent with Science Based Initiative ("SBTi") 2DS for general industry for Scope 1 and 2 and is based on market-based emissions.  As we are working on scope 3 SBTi, along with other OEMs, we will apply for SBTi when scope 3 goals are finalized and update this goal using a well below 2-degree model.  In 2019, GM's Scope 1 and 2 emissions are 5.3 Million tons and pathway of 6.2 Million tons, so we are ahead of pathway.</t>
  </si>
  <si>
    <t>GM is implementing a short-term goal to reduce vehicle emissions with advanced technologies: Stop-Start, Downsized Turbo, and Advanced Transmissions for GM vehicles in use by our customers.  The goal will be met with aggressive penetration into vehicle markets by 2021.  It is based on reducing GHG emissions during the use phase of sold vehicles starting at annual US GHG emissions in 2016 and reducing an absolute amount of 390,290 metric tons on GHG by 2021.   With 259,493 metric tons GHG reduced by 2019 with advanced technologies, we are at 81% or our goal.</t>
  </si>
  <si>
    <t>This Scope 1+2 absolute reduction target aligns with/exceeds SBTi's April 2019 criteria for the well below 2 degrees Celsius pathway of ~2.5% linear reduction per year.</t>
  </si>
  <si>
    <t>We have a commitment to remain carbon neutral (i.e. net zero carbon emissions) from 2015 onward. This carbon neutrality commitment includes all global facilities within our operational control (i.e. offices, data centers) and business travel emissions within our supply chain.  To achieve this commitment, we follow our Carbon Reduction Framework, which includes ambitious targets to implement energy efficiency and procure renewable energy at our facilities.  The energy efficiency (10% absolute energy reduction from 2013 to 2020) and renewable energy (100% renewable electricity by 2020) targets are further detailed in C4.2 of this CDP response.  Recognizing that these activities alone will not achieve net zero carbon emissions, we invest in certified carbon offsets to achieve the carbon neutrality commitment.  It is instructive to note that the 2019 base year emissions provided for Abs1 are the gross market-based emissions (before offsets) within the defined target boundary and consequently the certified offsets purchased are equivalent to these gross emissions. To maximize our transparency to CDP stakeholders, we have reported Abs1 with the understanding that CDP guidance requests that carbon offsets are not reported in C4.1. We have taken this approach as we believe it is an important component of disclosing our progress.  Furthermore, we are confident that our reporting of Abs2, Abs3, and energy and renewable energy targets in C4.2 provides CDP with targets that satisfy the reporting guidance as they do not include carbon offsets.We have achieved our carbon neutrality commitment in 2019 through a combination of energy efficient operations and the purchase of renewable electricity and the purchase of carbon offsets.</t>
  </si>
  <si>
    <t>Abs2 is the result of two operational commitments, detailed in C4.2 in this CDP response, and includes 100 percent of our Scope 1 and Scope 2 (market-based) emissions.  To achieve this commitment, we follow our Carbon Reduction Framework, which includes ambitious targets to implement energy efficiency and renewable energy at our facilities. The reduction during this target period will be achieved through the combination of our energy efficiency (10% absolute energy reduction from 2013 to 2020) and renewable energy (100% renewable electricity by 2020) targets which are further detailed in C4.2 of this CDP response.  Achievement of these commitments will far outpace the CDP leadership requirement of 2.1% year-on-year emissions reductions between base year (2013) and target year (2020).We have achieved an 91% reduction in 2019 compared to 2013. This performance is significantly ahead of the 2.1% year-to-year reduction requirement and already exceeds the 15% reduction target by 2020.  We are committed to maintaining and exceeding this level of performance in the years to come.</t>
  </si>
  <si>
    <t>Abs3 is the result of two operational commitments, detailed in C4.2 in this CDP response, and includes 100 percent of our Scope 1 and Scope 2 (market-based) emissions. To achieve this commitment, we follow our Carbon Reduction Framework, which includes ambitious targets to implement energy efficiency and renewable energy at our facilities. The reduction during this target period will be achieved through the combination of our energy efficiency (10% absolute energy reduction from 2013 to 2020) and renewable energy (100% renewable electricity by 2036) targets which are further detailed in C4.2 of this CDP response.  Achievement of these commitments will far outpace the CDP leadership requirement of 2.1% year-on-year emissions reductions between base year (2013) and target year (2036).We have achieved an 91% reduction in 2019 compared to 2013. This performance is significantly ahead of the 2.1% year-to-year reduction requirement and already exceeds the 50% reduction target by 2036.  We are committed to maintaining and exceeding this level of performance in the years to come.</t>
  </si>
  <si>
    <t>Other, please specify: Target includes Scope 1 (stationary fuel combustion) emissions, Scope 2 emissions (market-based) and Scope 3 (co-location data centers) emissions.</t>
  </si>
  <si>
    <t>IBM's target is developed based on science and in-line with IPCC assessments and recommendations. However, we did not pursue, nor do we believe necessary to seeking "approval" by the Science-Basted Targets initiative.IBM's fourth-generation GHG emissions reduction goal is to reduce emissions associated with IBM's energy consumption 40% by 2025 against the 2005 baseline, adjusted for divestitures and acquisitions. The target covers IBM's Scope 1 and Scope 2 emissions (market-based) associated with IBM's operational use of energy, and emissions associated with the electricity IBM consumes at its data centers located in third party managed facilities, categorized as Scope 3 emissions of "Purchased goods and services".Achieving the IBM goal requires a 2 % per year absolute reduction in GHG emissions over the period of the goal. This is in line with the generally referenced target of an annualized reduction rate of 2% or higher to meet the goal of maintaining global temperature increases to 2 degrees Celsius or less.</t>
  </si>
  <si>
    <t>2010</t>
  </si>
  <si>
    <t>This target was set in 2010 as a long-term goal.  In 2015 it was evaluated to determine if it was in alignment with science-based targets.  The evaluation concluded that our original goal was consistent with a 2-degree pathway and also provided us with additional information for setting a long-term 2050 goal.  Additionally, our next generation goal (scopes 1, 2 and 3) has been pre-approved by the Science-based Targets Initiative and will be launched in the next year.  While we do not currently have a quantitative CO2 reduction goal for Scope 3 emissions, we continue to drive improvement across our supply base through our Sustainable Procurement Program.  Our Health for Humanity 2020 Goal is to enroll suppliers covering 80% of spend in our Sustainable Procurement Program by 2020. To achieve this, we set incremental annual targets for percentage of spend with suppliers enrolled in our Sustainable Procurement Program.  In 2019 the top 71% of suppliers within the annual percentage spend target participated. Participating suppliers must conform to our Responsibility Standards for Suppliers and fulfil one or more of four requirements listed below, determined for each supplier category by category leadership: 1) Transparency: publicly reporting two or more sustainability goals and tracking progress over time;  2) Disclosure to Action: annual participation in CDP Supply Chain disclosure;  3) Sustainability Excellence: achieving a high performers assessment score (using industry standard methods); 4) Leadership: implementing category-specific goals that support relevant industry trends, practices or innovative ideas to which suppliers and others may contribute.  We then use this data to identify opportunities to collaborate with our suppliers on emission reduction activities.</t>
  </si>
  <si>
    <t>In addition to our 2020 Goal, we have a goal to reduce absolute carbon emissions 80% by 2050.  This target was evaluated in 2015 and found to be in alignment with the 2-degree pathway science-based targets using the Sectoral Decarbonization Approach (SDA) model.</t>
  </si>
  <si>
    <t>Replaced</t>
  </si>
  <si>
    <t>This target was achieved/exceeded in 2017 and replaced with a 100% renewable energy consumption target. Net emissions reductions (using market-based Scope 2) over the 2005 baseline totalled 54% through 2019. [(637,798-1,392,704) / 1,392,704 = 54% This reduction represents a 108% completion of our goal to reduce emissions 50% by 2020 over the 2005 baseline. (54% / 50%=108%).</t>
  </si>
  <si>
    <t>Lockheed Martin's absolute target includes Scope 1 and 2 emissions of CO2, CH4, N2O, and HFC from the following sources: electricity generation, natural gas, chilled water, jet fuel, gasoline, diesel, propane, #2 fuel oil, and refrigerants.  We define our Go Green year as a twelve-month period from November 1 through October 30 to align with our internal reporting requirements while taking into account time for utility company invoicing. Lockheed Martin takes a comprehensive approach to energy reduction and GHG management. When establishing our reduction targets, we consider past performance, the goals of our primary customers, projected business growth and the material issues of our key stakeholders. We have also evaluated our performance through tools for science-based goal setting approaches including: 1) ''Science-Based GHG Performance Model” developed by the Center for Sustainable Organizations (CSO); 2) ''Sectoral Decarbonization Approach (SDA) published by the Science Based Targets Initiative (SBTI), Ecofys, CDP, World Wildlife Fund (WWF) and World Resources Institute (WRI); and 3) ''The 3% Solution Calculator” developed by CDP, WWF and McKinsey &amp; Company. The outcomes projected by these tools reflect that our targets and performance to date produce stronger results and are more aggressive than the science-based method.</t>
  </si>
  <si>
    <t>This target encompasses all Scope 1 and Scope 2 emissions produced by Lowe's and our subsidiaries. Emissions reduced can be attributed to significant improvements in energy efficiency from the LED retrofitting.  The scope of work of these projects has increased since the first installations. Also, EPA grid factors within the US has helped reduce our Scope 2 emissions as well. Additional efforts with our supply chain route optimization and investments in additional bulk distribution centers have reduced our emission impact around delivering products to stores/consumers.</t>
  </si>
  <si>
    <t>Even before the formal approval of our Science Based Targets, Mastercard implemented a cohesive strategy to achieve our 2025 emission reduction goals.  In 2019, Mastercard expanded their sustainability department by creating a Sustainability Analyst role who is responsible for data tracking, greenhouse reduction project tracking and support for various scope 3 activities. This individual will be fully integrated into our Real Estate Services division.  For example, we are currently exploring monitoring-based commissioning and advanced energy analytics, low-carbon technology and onsite renewable generation projects at our larger campuses. Please note that the base year was updated in accordance with Mastercard's Inventory Management Plan.</t>
  </si>
  <si>
    <t>In preparation for our commitment to Science Based Targets, Mastercard implemented a cohesive strategy to achieve our 2025 emission reduction goals.  This included the creation of a Global Sustainability Supply Chain Specialist position, who is responsible for quantifying, targeting, and reducing carbon emissions throughout our supply chain.  Starting by identifying our top emitters by spend, we are now working directly with these suppliers to calculate actual emissions resulting from our purchase of goods and services.  We increased our CDP Supply Chain requested participation from 12 suppliers in 2016, to a service provider base that constituted 60% of our global spend in 2017.  Our goal for 2019 is 75% of global spend.  This specialist is working hand in hand with first time CDP reporters to help guide them through the process and create more accurate emission calculation methodologies. Please note that the base year was updated in accordance with Mastercard's Inventory Management Plan.</t>
  </si>
  <si>
    <t>Other, please specify: Other, please specify: Scope 1+2 (market-based) +3 (waste generated in operations)</t>
  </si>
  <si>
    <t>The Company will partner with Franchisees to reduce greenhouse gas emissions related to McDonald's restaurants and offices by 36% by 2030 from a 2015 base year.The target includes all Company-wide Scope 1 &amp; 2 emissions, as well as operational waste (upstream Scope 3) for all restaurants (Company-owned and franchised) and Scope 1&amp;2 emissions for Franchisee restaurants (downstream Scope 3).We continue to be on track to meet the restaurant and offices portion of our Science-Based Target. Absolute emissions related to restaurants and offices have reduced from our 2015 base year despite an increase in total restaurants worldwide through 2019. Beyond the progress reported here, once online, the US VPPA deals referenced in section C4.3b are expected to contribute an additional 16% reduction from the 2015 baseline (or 43% of the restaurants and offices portion of our global Science-Based Target).These figures reflect the latest enhancements to our 2015 base year emissions and 2018 emissions estimates, which have been updated based on best practice guidance on leveraging the latest methodology and data available. Having recalculated the 2018 emissions data with updated methodology, we have seen a lower reduction than previously reported and have adjusted our progress reporting accordingly.As we continue to enhance our methodology and data quality in future years, we can expect the baseline and annual progress figures to further adjust in future reporting cycles.</t>
  </si>
  <si>
    <t>Our goal is a 40% absolute reduction in GHG emissions from 2015 to 2025. We used the "Sectoral Decarbonization Approach" to calculate and set this goal as allowed by the SBTi.  The base year emissions have been adjusted in accordance with the Greenhouse Gas Protocol: A Corporate Accounting and Reporting Standard (Revised Edition) to include changes in our operating boundary and any new information that allows us to quantify emissions more accurately.  The most significant contributors to decreasing our GHG emissions were demand reduction and conservation, energy-efficiency projects, consolidation of our office, lab and manufacturing spaces; and the shift of some of our power supply from purchased electricity to on-site-generated electricity through combined heat and power systems, as well as a large increase in utilization of renewable energy.</t>
  </si>
  <si>
    <t>In late 2015, MetLife established a 10% location-based GHG reduction target by 2020 (2012 baseline year). This reduction target applies to MetLife's global owned and leased offices, the Auto &amp; Home business automobile fleet, and business travel.  This target was reported for the past few years through the CDP. This reduction target is part of a broader carbon neutrality commitment (also announced in 2015) to achieve and maintain carbon neutrality for all Scope 1 and 2 GHG emissions from MetLife's owned and leased office facilities around the world, from the Auto and Home Vehicle Fleet, and from Scope 3 business travel by the end of 2016. In conjunction with this goal, MetLife set a 10% global energy reduction target by 2020 (2012 baseline) and a goal to require 100 of our suppliers to disclose their GHG emissions data and emission-reduction activities.  Currently the 2019 emissions indicate that MetLife has achieved and exceed the 10% emission reduction goal.  The 2019 emissions are 129,852 metric tons CO2e.  As a financial services company, the methodology for setting science-based targets is still evolving. A commitment to carbon neutrality aligns with forward-looking scenarios to limit average global temperature increases to 2°C and demonstrates MetLife's immediate and long-term concern for providing a healthy environment for our customers. Our additional 10% energy reduction target, 10% location-based GHG reduction target, and supply chain engagement goal by 2020 further show our commitment to making actual reductions in the short-term and are aligned with climate science. MetLife looks forward to seeing how the Science-Based Target (SBT) initiative for financial service companies will evolve in coming years, so that we can set science-based targets in alignment with approved methodology. Emissions reductions reflected to date have been achieved through various emissions reduction strategies, including energy efficiency capital projects, integration of sustainability practices into new workspaces, office space consolidation in metropolitan markets to reduce bottom line expenses and maximize operational and environmental performance, and increased use of collaboration tools, such as telepresence, videoconferencing, web-ex, and more, to offset employee travel.</t>
  </si>
  <si>
    <t>In late 2015, MetLife set a goal to achieve and maintain carbon neutrality for all Scope 1 and 2 GHG emissions from MetLife's owned and leased office facilities around the world, the Auto and Home Vehicle Fleet, and Scope 3 business travel by the end of 2016.  In conjunction with this goal, MetLife set a 10% global energy reduction target by 2020 (2012 baseline) and a goal to require 100 of our suppliers to disclose their GHG emissions data and emission-reduction activities. MetLife first achieved this carbon neutrality goal in December of 2016, achieved again in 2017, 2018, 2019 and intends to maintain this status moving forward. For the purpose of this report, we are reporting carbon neutrality as a year over year 100% reduction in Scope 1 +2 market-based emissions and Scope 3 business travel. The base year emissions are MetLife's 2019 location-based emission figures, which as a result of purchasing renewable energy credits and third-party certified carbon credits in MetLife's markets of operation become neutralized. As a financial services company, the methodology for setting SBTs is still evolving. A commitment to carbon neutrality by 2016 aligns with forward-looking scenarios to limit average global temperature increases to 2°C and demonstrates MetLife's immediate and long-term concern for providing a healthy environment for our customers. Our additional 10% energy reduction target, 10% location-based GHG reduction target, and supply chain engagement goal by 2020 further show our commitment to making actual reductions in the short-term and are aligned with climate science. MetLife looks forward to seeing how the SBT initiative will evolve in coming years, so that we can set science-based targets in alignment with approved methodology. Emissions reductions reflected to date have been achieved through various emissions reduction strategies, including energy efficiency capital projects, integration of sustainability best practices into new workspaces, office space consolidation in metropolitan markets to reduce bottom line expenses and maximize operational and environmental performance, and increased use of collaboration tools, such as telepresence, videoconferencing, web-ex, and more, to offset employee travel. MetLife continues to evaluate the progress of our 2020 target by collaborating with business partners to collect and aggregate data.</t>
  </si>
  <si>
    <t>Other, please specify: Scope 1 + Scope 2 (market-based) + Scope 3 (upstream business air travel only)</t>
  </si>
  <si>
    <t>Starting in July 2012, Microsoft had a target to be carbon neutral every year from fiscal year (FY) 2013 onward. We achieved carbon neutrality in FY19 (the reporting period) through a combination of onsite renewable electricity generation, internal energy efficiency projects, and purchases of renewable electricity and carbon offsets. We understand that CDP guidance requests that companies not consider carbon offsets when reporting targets in C4.1. However, we have elected to report offsets in order to communicate these GHG emissions management activities; we have also reported additional targets that do not use offsets (see Abs2 and Abs3). Note that the start, base, and target years reported are based on the Microsoft fiscal year. Our start year for this commitment is FY13—the first year in which we achieved carbon neutrality—and we committed to achieving carbon neutrality in all subsequent years. Because our commitment is ongoing and achieved annually, the base year (FY18) is the year prior to the target year (FY19, the reporting year). The FY18 base year emissions reported here are zero because we achieved our carbon neutral target in FY18. In FY20, Microsoft committed to shift our carbon-offsetting activity to accredited carbon removals, consistent with an emerging non-governmental organization (NGO) definition of net-zero emissions. Additionally, in January 2020, Microsoft announced that, by 2030, we will become carbon negative, annually removing more emissions from the atmosphere than our total scope 1, 2, and 3 emissions combined, and by 2050, we will remove all the carbon the company has emitted either directly or by electrical consumption since it was founded in 1975. This will be achieved through both reductions in our scope 1, 2 and 3 emissions and a portfolio of negative emission technologies (NET), potentially including afforestation and reforestation, soil carbon sequestration, bioenergy with carbon capture and storage (BECCs), and direct air capture (DAC).</t>
  </si>
  <si>
    <t>In 2017, Microsoft committed to reducing absolute scope 1 + scope 2 (market-based) emissions by 75 percent by 2030, against a 2013 baseline. This would help avoid more than 10 million metrics tons of carbon emissions by 2030. This puts Microsoft on a path, as a company, to meet the goals set in the Paris climate agreement, which is a level of decarbonization that many scientists believe is necessary to keep global temperature increase below 2 degrees Celsius. Additionally, in September 2019, the Science Based Targets Initiative (SBTI) certified Microsoft's target to reduce scope 3 GHG emissions intensity per unit of revenue 30 percent by 2030 from a 2017 base year and to avoid growth in absolute scope 3 emissions. And in January 2020, we announced a bolder goal of reducing our scope 1 and 2 emissions to near zero by 2025, which we will achieve through energy efficiency, energy decarbonization (100 percent renewable energy by 2025), and fleet electrification. We also announced that we will take our scope 3 ambitions a step even further, reducing our total scope 3 emissions by 55 percent by 2030.</t>
  </si>
  <si>
    <t>Abs3 is not a standalone target but rather the outcome of our carbon neutral (now net-zero) (Abs1) and renewable electricity commitments; it is an extension of Abs2. As a result of our indefinite commitment to renewable electricity and our new commitment to reduce our scope 1 and 2 emissions to near zero by 2025, we will maintain or exceed a 75 percent scope 1 and scope 2 (market-based) decrease from our FY13 base year beyond the 2030 target year in Abs2.</t>
  </si>
  <si>
    <t>In 2015, we established new 2020 sustainability goals that placed us at the forefront of the fight against climate change and support our 2020 ambition to be the leader in well-being snacks while driving down costs and creating efficiencies to accelerate our growth. We used the science-based targets methodology to set absolute CO2 from energy emissions reduction goals from manufacturing by 15% from base year 2013 as part of our ambitious end-to-end approach. We consulted with the science-based target setting organisations at the time and supported the We Mean Business coalition in 2015. However, this goal is not validated by the current SBT Initiative and does not cover Scope 3 emissions.  In our Snaking Made Right 2019 Progress Report, we report our 2020 CO2 reduction goal as 'achieved' on the basis that the reduction reported above is 15% when rounded to the nearest percentage point.</t>
  </si>
  <si>
    <t>Our Science-Based Target is to reduce absolute Full Scope GHG emissions 10 % by 2025 from a 2018 base year, with a scope 3 focus on the main source of impacts, purchased goods and services, including emissions from land-use change.The combined scope 3 target(s) cover 79% of total scope 1, 2 and 3 emissions, corresponding to the following categories: Purchased Goods and Services and Waste Generated in Operations. Purchased goods and services represent on their own 78% of our scope 3 emissions, together with waste generation in operations, our scope 3 targets cover 79% of scope 3 emissions, significantly above the 2/3 threshold required by the SBTi criteria. We defined a focused scope 3 strategy aiming at significantly reducing  food impact, through actions to reduce emissions from agricultural production and deforestation in key raw material supply chains, as well as food waste. Since integrating the impacts of land-use change into our GHG reporting in our 2019 CDP Climate submission, we also include land-use change in the scope of our Science-Based Target. We do not report performance for 2019 in this question. Changes in 2019 scope 3 emissions from the prior year are mainly driven by data improvements and methodological changes.  A better year-over-year comparison will be available next year following our baseline re-evaluation.</t>
  </si>
  <si>
    <t>Other, please specify: S1+2 (market-based)+3 (Business Travel)</t>
  </si>
  <si>
    <t>In September 2017, Morgan Stanley announced a new goal of carbon neutrality for global operations by 2022. The goal (Abs1) covers 100 percent of global Scope 1, Scope 2 market-based, and Scope 3 business travel emissions. Morgan Stanley recognizes this target is not eligible for CDP consideration because it will involve the purchase of carbon offsets, but we are reporting it here to communicate the goal publicly and to our investors. Our additional absolute targets (Abs2 and Abs3) reported below do not involve carbon offsets and will help us achieve our broader goal of carbon neutrality.</t>
  </si>
  <si>
    <t>Abs2 results from two public targets associated with our commitment to achieve carbon neutrality for global operations by 2022. These public targets are (1) our commitment to source 100 percent of global electricity needs from renewable electricity by 2022 (See "Renewable Energy Consumption" in C4.2) and (2) our aim to achieve 20 percent reduction in energy usage by 2022 from a 2012 baseline, on an absolute basis (See "Energy Usage" in C4.2). Translated into carbon terms, these commitments cover 100 percent of our Scope 1 + 2 (market-based) emissions, and they will result in an absolute reduction of more than 90% from our base year 2012 emissions. We consider this a science-based target because it exceeds the 2.1% year-on-year emissions reductions required by CDP as well as the high-end projection of 72% absolute emissions reduction by 2050 from 2010 levels required to stay under 2 degrees Celsius outlined in IPCC Fifth Assessment Report RCP2.6.</t>
  </si>
  <si>
    <t>Abs3 results from two public targets associated with our commitment to achieve carbon neutrality for global operations by 2022. These public targets are (1) our commitment to source 100 percent of global electricity needs from renewable electricity by 2022 (See "Renewable Energy Consumption" in C4.2) and (2) our aim to achieve 20 percent reduction in energy usage by 2022 from a 2012 baseline, on an absolute basis (See "Energy Usage" in C4.2). Translated into carbon terms, these commitments cover 100 percent of our Scope 1 + 2 (market-based) emissions, and they will result in an absolute reduction of more than 90% from our base year 2012 emissions. We consider this a science-based target because it exceeds the 2.1% year-on-year emissions reductions required by CDP as well as the high-end projection of 72% absolute emissions reduction by 2050 from 2010 levels required to stay under 2 degrees Celsius outlined in IPCC Fifth Assessment Report RCP2.6. We are committed to this target over the medium-term (Abs2) and long-term (Abs3).</t>
  </si>
  <si>
    <t>This target covers facilities and vehicles in our scope 1 and 2 footprint. In our owned or operated facilities, we aim to use 100% renewable electricity by the end of FY25 as part of our effort to control absolute emissions. These goals are aligned with the level of mitigation needed to limit average global temperature to a rise of no more than 2°C above the pre-Industrial Revolution average. Linear progress is not expected on this target. Nike committed to SBTs in 2017 and set the scope 1 and 2 SBT in 2019.</t>
  </si>
  <si>
    <t>The target was based off historic chemicals production-related performance over six years to establish a baseline. The target was determined by using a percentage of OxyChem's best performance, using a weighted average.</t>
  </si>
  <si>
    <t>Oracle self-assessed this target to be a mid-term science-based target.</t>
  </si>
  <si>
    <t>Oracle self-assessed this target to be a long-term science-based target. Oracle would achieve a 2.95% average reduction year-over-year in our absolute scope 1 and 2 emissions.</t>
  </si>
  <si>
    <t>Oracle has a goal in place to achieve a 20% reduction in absolute Scope 1 + Scope 2 emissions by 2020 for its real estate and facilities operations, which accounted for 81% of total emissions in the base year (2015). As of 2018, we had achieved this goal.</t>
  </si>
  <si>
    <t>Oracle self-assessed this target to be a medium-term target, the coverage includes Oracle's Scope 3 business travel emissions.</t>
  </si>
  <si>
    <t>PepsiCo announced in 2016 our goal to reduce our absolute emissions across our entire value chain by 20% by 2030 (against a 2015 baseline). This goal has been approved by the Science Based Targets Initiative (SBTi) and is aligned to a 2C pathway. In April 2020, we signed the Business Ambition for 1.5C pledge committing to raise our ambition towards a long-term net zero goal. We are currently actively working on our new target.</t>
  </si>
  <si>
    <t>We have achieved a &gt;20% reduction, however since energy use and GHG emissions were projected to increase slightly in 2020 as a result of production increases, we have decided not to claim goal achievement until the end of the goal period.  Driving operational improvements through capital projects, operational efficiency improvements and transformative efforts (e.g., new manufacturing technology) remains the cornerstone of our focus.</t>
  </si>
  <si>
    <t>Pfizer has an aspirational goal of reducing our GHG footprint 60-80% by 2050 from a 2000 base year.  To achieve this Pfizer sets shorter term goals and has previously achieved two GHG reduction goals (2000-2007 and 2007-2012).  It is our intention to continue this process of setting interim goals that help drive towards this larger goal that aligns with the level of ambition needed to limit global temperature rise.</t>
  </si>
  <si>
    <t>This target covers scope 1 and 2 emissions from owned and operated buildings, factories and fleet. In 2016 we submitted this target and it was approved by the Science Based Target initiative (SBTi) in 2017.In 2019 we achieved 39% reduction versus our 2010 baseline and thus 98% achieved (39%/40%*100=98%). This achievement has been possible thanks to increased energy efficiency in our factories, on-site renewable investments, sourcing power from renewable resources and a program to reduce emissions in our vehicles fleet.</t>
  </si>
  <si>
    <t>This target covers scope 1 and 2 emissions from owned and operated buildings, factories and fleet. In 2016 we submitted this target and it was approved by the Science Based Target initiative (SBTi) in 2017.In 2019 we achieved a 39% reduction versus our 2010 baseline and thus 60% achieved (39%/60%*100=65%). This achievement has been possible thanks to increased energy efficiency in our factories, on-site renewable investments, sourcing power from renewable resources and a program to reduce emissions in our vehicles fleet.</t>
  </si>
  <si>
    <t>This target covers scope 1, 2 and 3 emissions from all operations and our entire value chain. In 2016 we submitted the target that was approved by the Science Based Target initiative in 2017 (SBTi).In 2019 we achieved a 42% reduction versus our 2010 baseline and thus 105% achieved (42%/40%*100=105%). This achievement has been possible thanks to progress in reducing our environmental impact across our value chain: in our factories and fleet where our carbon footprint is relatively small compared to other industries, as well as beyond the factory gates. That includes looking at both our upstream supply chain activities (currently focusing on tobacco farming and direct materials) and downstream, following our product and packaging environmental impacts to end-of-use.</t>
  </si>
  <si>
    <t>The data reflects what was reported in 2019 Sustainability report which reflects fiscal year ended June 30, 2019.    Starting July 1, 2019 we began using 100% renewable electricity in all facilities in the U.S., Canada and Europe.   This allow us to achieve the goal in calendar year 2019.</t>
  </si>
  <si>
    <t>This new goal was announced as part of the company's Ambition 2030 sustainability goals.</t>
  </si>
  <si>
    <t>Qualcomm's base year inventory was calculated prior to The Climate Registry's guidance on market- vs location-based Scope 2 reporting. During the base year Qualcomm did not haveany electricity purchases that would have been considered low carbon but did use supplier specific emission factors where available. Therefore, we consider our 2014 inventory reflective of a Scope 1+2 (market-based) base year.</t>
  </si>
  <si>
    <t>In early FY18, we achieved our target of net-zero Scope 1+2 (market-based) emissions through a combination of internal energy efficiency projects and purchases of renewable energy and carbon offsets. We took this further to deliver our customers a carbon neutral cloud by including indirect emissions (Scope 3) within our data center supply chain, such as the manufacture of servers, production and distribution of energy use at our data centers, and the impact of our customers using Salesforce on their personal devices. We aim to maintain this goal and commitment every year moving forward. Although CDP guidance indicates that this question requests gross emissions which excludes carbon offsets, we have chosen to include offsets as we have met our net-zero target. Although our total Scope 1 + 2 (market based) emissions totaled 140,062 in the reporting year, after reconciliation with our high quality carbon offset purchases the total is 0 emissions.  Therefore we consider this target to be 100% achieved, as reflected in our verification statements (note due to the auto calculate cells, the 100% will not be reflected).Targets Abs2 and Abs3 below are targets that exclude offsets. All years listed are our fiscal years (e.g. FY20 was Feb 1, 2019 – Jan 31, 2020). We feel strongly that carbon credits are a viable way to mitigate our impacts on the climate as we prioritize emissions reductions and avoidance. In FY20 we also set an SBTi-approved science-based target that aligns with 1.5 degree emission reduction trajectory for Scope 1+2 (market-based emissions), reported in Abs 4. We will, however, continue to purchase high quality carbon credits to continually achieve our net-zero goal.</t>
  </si>
  <si>
    <t>Retired</t>
  </si>
  <si>
    <t>This target is a result of our net-zero Scope 1 + 2 target and public commitment to 100% renewable energy, which is to procure electricity from renewable energy resources equivalent to 100% of what we use globally. Although we met our net-zero target in FY19, the growth of our business resulted in an increase in gross emissions and we did not achieve a reduction for this 52% Scope 1 + 2 absolute target when calculated in line with CDP guidance of not factoring in offsets. (To note, the 52% reduction target aligns with the average 2.1% annual reduction requirement by CDP to align with climate science.) All years listed are our fiscal years (e.g. FY19 was Feb 1, 2018 – Jan 31, 2019). In FY20 we set an SBTi-approved science-based target for Scope 1+2 (market-based emissions), which replaced Abs 2, and have therefore retired this goal.</t>
  </si>
  <si>
    <t>This target is a result of our net-zero Scope 1 + 2 target and public commitment to RE100 (100% renewable electricity). Although we met our net-zero target in FY19, the growth of our business resulted in an increase in gross emissions and we did not achieve a reduction for this 27% Scope 1 + 2 absolute target when calculated in line with CDP guidance of not factoring in offsets. (To note, the 27% reduction target aligns with the average 2.1% annual reduction requirement by CDP to align with climate science.) All years listed are our fiscal years (e.g. FY19 was Feb 1, 2018 – Jan 31, 2019). In FY20 we set an SBTi-approved science-based target for Scope 1+2 (market-based emissions), which replaced Abs 3, and have therefore retired this goal.</t>
  </si>
  <si>
    <t>In FY20, we committed to set 1.5°C science-based emissions reduction targets aligned with a zero carbon future.  This is the first year we are reporting our progress against this target. All years listed are our fiscal years (e.g. FY20 was Feb 1, 2019 – Jan 31, 2020). We have retired the CDP-aligned targets Abs2 and Abs3 as they are now addressed by this new and more ambitious SBTi-approved target.</t>
  </si>
  <si>
    <t>Scope 3: Fuel and energy-related activities (not included in Scopes 1 or 2)</t>
  </si>
  <si>
    <t>This is a new target, FY21 will be the first year where we report progress towards this goal.  We are reporting on location-based fuel and energy related activities (FERA) for this year's target reporting. However, moving forward, we may change our approach to reflect market-based results to track progress against our target (similar to using Scope 2 MB to track against targets). This year, we start reporting market based FERA emissions in Section C6.5 to reflect the emission reduction impact of our procured renewable energy.</t>
  </si>
  <si>
    <t>Simon Property Group commits to reduce absolute Scope 1 &amp; 2 GHG emissions 68% by 2035 from a 2019 base year.</t>
  </si>
  <si>
    <t>Simon has reached the target that was established and is currently working on setting a new target.</t>
  </si>
  <si>
    <t>By 2030, Target will reduce its absolute Scope 1 and 2 greenhouse gas emissions by 30% percent below 2017 levels.  In 2017, Target's Scope 1 and 2 GHG emissions were 2,567,880 mt CO2e (market-based).  Target restated the 2017 baseline Scope 1 and 2 inventory in 2020 due to a corrected chilled water and steam billing error. Target received approval of our Scope 1, 2, and 3 Climate goals by SBTi in January of 2019.</t>
  </si>
  <si>
    <t>Other, please specify: Scope 3: Retail Purchased goods &amp; services</t>
  </si>
  <si>
    <t>By 2030, Target will reduce its absolute Scope 3 Retail Purchased goods &amp; services greenhouse gas emissions by 30% percent below 2017 levels.   Target also commits that 80% of its suppliers by spend covering all purchased goods and services will set science-based scope 1 and scope 2 targets by 2023. Target received approval of our Scope 1, 2, and 3 Climate goals by SBTi in January of 2019.</t>
  </si>
  <si>
    <t>TI has implemented several planned projects throughout the last 5 years, designed to achieve the absolute target by the end of 2020. Most of these projects are capital expenditure intensive and require some time to implement, and therefore it has taken some time to see the effects of the planned GHG reductions. The impact of these projects has become more evident as the project implementations have come to a close. Due to the capital expenditure involved, equipment was installed on a planned implementation schedule per quarter over the last 4 years. In 2019, we realized a significant decrease in absolute emissions due to our emissions reduction strategies. When normalizing our emissions on a per chip basis we were able to achieve close to 5.8% GHG emission reductions in 2019, which is indicative of  the effectiveness our GHG management and energy efficiency programs.</t>
  </si>
  <si>
    <t>Reduce energy use at owned facilities 20% by 2020. Percentages are calculated based on changes in energy consumption (btu) over time and therefore differ from changes in emissions over time. Note, base year emissions have been adjusted to reflect structural changes. This target was achieved in 2014 and is maintained each year. We anticipate a continued reduction in our real estate footprint as our remote workforce increases.As we explore setting new targets for our Scope 1 and 2 emissions, we are considering options for developing targets based on climate science, with guidance from the Science-Based Targets Initiative (SBTi). This process is underway and is expected to continue through the remainder of 2020.</t>
  </si>
  <si>
    <t>We continue to evaluate and make changes in our operations and throughout the Coca-Cola system value chain to reduce our climate impact. This target is a Coca-Cola System level target, including The Coca-Cola Company and its bottling partners. The target brings our diverse sustainability initiatives under one goal to reduce the carbon footprint across the Coca-Cola system's full value chain by 25% by 2030, in absolute terms. Progress toward reducing the greenhouse gas emissions across our manufacturing processes, packaging formats, delivery fleet, refrigeration equipment and ingredient sourcing has been measured under an intensity target (target Int 1) from 2010 to 2020. This target, recently made public in 2019, is a Science-Based Target, and an absolute reduction target in line with a well-below 2C global average temperature rise scenario. Due to the nature of our franchise bottling system, in this CDP response, our manufacturing emissions are normally split between Scopes 1 and 2 for company-owned facilities and Scope 3 for bottling partner facilities. However, in our ''drink in your hand” (intensity target) calculations, as well as this absolute reduction target, we consider the full Coca-Cola system (including franchise bottling partners) in the calculation of our manufacturing, distribution and refrigeration emissions.</t>
  </si>
  <si>
    <t>The current absolute target is to maintain emissions of all GHGs below 2006 level through 2025. Dow has remained below this target. Though we will grow globally over the next 10 years, Dow's absolute greenhouse gas emissions will not exceed our 2006 baseline.  Dow's greenhouse gas intensity (lbs of CO2 per lb of product) has reduced by 17% since 2006.Though not set in the reporting year, Dow recently announced a new set of carbon reduction targets that will be included in next year's report:o	By 2030, Dow will reduce our net annual carbon emissions by 5 million metric tons versus our 2020 baseline (15% reduction).  By 2050, Dow intends to be carbon neutral (Scopes 1 + 2 + 3 plus product benefits).With respect to the question as to whether or not our existing target is science-based, we have selected ‘No, but we anticipate setting one in the next two years', as the reduction of 5 million metric tons by 2030 meets the absolute reduction target for a 2°C pathway.</t>
  </si>
  <si>
    <t>This reflects a store total energy use reduction of 20% by 2020.  The Home Depot has reduced our absolute Scope 1 + Scope 2 (location-based) emissions by 37%, exceeding our goal of a 20% reduction from 2010 to 2020.</t>
  </si>
  <si>
    <t>This reflects an annual 2.1% emissions reduction from our base year, with a medium-term timeframe for the target of 12 years (from our start year) in accordance with CDP criteria. The Home Depot has reduced our absolute Scope 1 + Scope 2 (location-based) emissions by 36% between 2011 and 2019 (4.4% annual reduction), exceeding the necessary 2.1% annual reduction. We consider this to be a science-based target as when the target was set, SBTi's guidance notes that per IPCC AR5 RCP 2.6, the minimum reduction required is 49% absolute emissions reduction from 2010 to 2050. This translates to a linear 1.23% reduction per year on average, which The Home Depot target exceeds.  We will continue to explore targets that are in alignment with SBTi's new criteria that the minimum reduction required for targets in line with well-below 2°C scenarios is 2.5% in annual linear terms.</t>
  </si>
  <si>
    <t>This reflects an annual 2.1% emissions reduction from our base year, with a long-term timeframe for the target of 17 years (from the start year) in accordance with CDP criteria. The Home Depot has reduced our absolute Scope 1 + Scope 2 (location-based) emissions by 36% between 2011 and 2019 (4.4% annual reduction), exceeding the necessary 2.1% annual reduction. We consider this to be a science-based target as when the target was set, SBTi's guidance notes that per IPCC AR5 RCP 2.6, the minimum reduction required is 49% absolute emissions reduction from 2010 to 2050. This translates to a linear 1.23% reduction per year on average, which The Home Depot target exceeds.  We will continue to explore targets that are in alignment with SBTi's new criteria that the minimum reduction required for targets in line with well-below 2°C scenarios is 2.5% in annual linear terms.</t>
  </si>
  <si>
    <t>Business activity</t>
  </si>
  <si>
    <t>In 2018, we set emission reduction goals that were aligned with strategies designed to address the long-term reduction of carbon emissions and our commitment to a leadership role in developing solutions that make technological and economic sense. The goals established in 2018 were to reduce GHG emissions by 50% (from 2007 levels) by 2030 and to achieve low-to-no GHG emissions by 2050. These are enterprise-wide goals that encompass the Scope 1 emissions from our electric and natural gas operations. In 2020, we revised our long-term goal to achieve  net zero GHG emissions by 2050.The goals are informed by the results of our integrated resource plans, which are designed to plan for an appropriate mix of generation resources to meet energy and capacity needs at a reasonable cost for our customers.  These goals are also consistent with actions needed to potentially limit the global average temperature rise to less than 1.5 degrees Celsius above pre-industrial times--see EPRI's ''Grounding Decisions: A scientific foundation for companies considering global climate scenarios and greenhouse gas goals” and ''Review of 1.5°C and Other Newer Global Emissions Scenarios: Insights for Company and Financial Climate Low-Carbon Transition Risk Assessment and Greenhouse Goal Setting” reports. Southern Company will continue to use a portfolio approach as we seek to decarbonize.  We expect our path to net zero to be comprised of several key elements: continued coal transition, utilization of natural gas to enable the fleet transition, further growth in our portfolio of zero-carbon resources, negative carbon solutions, enhanced energy efficiency initiatives and continued investment in R&amp;D focused on clean energy technologies. Our approach is driven by thoughtful scenario planning, long-term integrated resources plans, and constructive regulatory decisions-making.  We are also engaging with policymakers, customers and other stakeholders to support outcomes that lead to a net zero future.</t>
  </si>
  <si>
    <t>We followed CDP recommendations to set two targets, one pre-2035 and one post-2035.  We also followed the CDP guidance for targets to align with the science-based target framework since our industry does not qualify for science-based target certification.</t>
  </si>
  <si>
    <t>Other, please specify: U.S. Administrative Portfolio, U.S. Large Pharmaceutical Sites and directly managed international sites</t>
  </si>
  <si>
    <t>In 2019, a new multi-year goal to reduce 2017 Scope 1 and Scope 2 (Market-Based) GHG emission by 3% by the end of 2023 (for our U.S. Administrative Portfolio, U.S. Large Pharmaceutical Sites and directly managed international sites) has been established.</t>
  </si>
  <si>
    <t>We have established a goal to reduce absolute GHG emissions 12 percent by 2025 throughout our global ground operations. This goal builds on our ongoing efforts to achieve a 20 percent reduction in GHG intensity by 2020, which we will continue to measure and report. The use of renewable energy will be critical to reaching this absolute emissions reduction target. We engaged with leading environmental organizations and other stakeholders to establish a meaningful target using the science-based methodology most appropriate for our business. This  goal will advance our commitment to alternative fuels and technologies. This goal currently does not include our airline fuel usage because of the economic and commercial availability limitations of aviation bio-fuel.</t>
  </si>
  <si>
    <t>Verizon has committed to going carbon neutral for our scope 1 and 2 operational emissions by 2035.</t>
  </si>
  <si>
    <t>Scope 2 (location-based)</t>
  </si>
  <si>
    <t>By 2025, Verizon will source or generate renewable energy equivalent to 50% of our total electricity usage.</t>
  </si>
  <si>
    <t>Approved by the Science Based Targets initiative in October and announced publicly in November 2016. Approved goal language is as follows: Walmart commits to reduce its absolute scope 1 and 2 emissions 18% by 2025, from 2015 levels. Walmart will also work to reduce CO2e emissions from upstream and downstream scope 3 sources by one billion metric tons between 2015 and 2030. On an adjusted basis, between 2015 calendar year baseline and 2019, Walmart reduced its absolute Scope 1 and 2 emissions by 10.15%, equivalent to 1.98 million metric tons of CO2e.  Several factors contributed to this reduction. These include, but are not limited to, reductions in electricity and transport fuel related emissions as a result of investments in energy efficiency projects, renewable energy sourcing and fleet efficiency strategies.</t>
  </si>
  <si>
    <t>Approved by the Science Based Targets initiative in October and announced publicly in November 2016. Approved goal language is as follows: Walmart commits to reduce its absolute scope 1 and 2 emissions 18% by 2025, from 2015 levels. Walmart will also work to reduce CO2e emissions from upstream and downstream scope 3 sources by one billion metric tons between 2015 and 2030. This target is often referred to our Walmart's Gigaton Goal. Walmart launched Project Gigaton in April of 2017 to engage suppliers to commit to emissions reductions across pillars including energy, waste, packaging, deforestation and product use. Collectively, these actions can help us to achieve our science-based emissions target and to reduce or avoid emissions throughout our value chain by 1 billion metric tons by 2030. Since its launch three years ago, over 2,300 Walmart suppliers from 40 countries have signed up to participate in Project Gigaton.  Suppliers reported cumulative avoided emissions of over 230 million metric tons of GHG emissions (calculated in accordance with Walmart's Project Gigaton Methodology.</t>
  </si>
  <si>
    <t>Our greenhouse gas target is by 2020, reduce net emissions by 50% compared to total gross emissions in 2012. In 2019, Disney reduced its GHG emissions by 47% below 2012 gross emissions levels. Covered emissions in base year are gross emissions (business as usual). Covered emissions in reporting year are net emissions inclusive of all investments in emissions reductions, including third party carbon credits.  Emissions are measured and reported based on the company's fiscal year.</t>
  </si>
  <si>
    <t>Note that the Scope 3 component of our goal only includes air travel from Scope 3: Business travel. We surpassed our 2020 goal in 2019 by reducing our emissions 51.8% compared to the base year.</t>
  </si>
  <si>
    <t>Intensity</t>
  </si>
  <si>
    <t>Metric tons CO2e per USD($) value-added</t>
  </si>
  <si>
    <t>Energy efficiency improvements help address rising energy use, costs, and climate impacts.  3M reviews its Strategic Energy Management Plan annually to prioritize programs and meet global goals. The plan uses input from stakeholders, including manufacturing directors, plant managers, operations employees, and executive management. Goals of the plan include: continuously improve results, leverage engineering expertise and advances, drive facility-level efficiency improvements, maintain top management support and protect 3M's reputation.3M has taken a broad approach to managing our energy footprint, which includes evaluating the impact of our products, manufacturing processes, equipment, and sites as well as reducing the energy footprint of our existing manufacturing and administrative sites. In addition, we actively share information about our energy management program with external stakeholders, such as suppliers, customers, and other interested organizations.Since 2005, 3M has reduced our total energy usage, indexed to net sales, by 31.3%.</t>
  </si>
  <si>
    <t>Metric tons CO2e per unit revenue</t>
  </si>
  <si>
    <t>All environmental data have been adjusted to account for acquisitions and divestitures, in accordance with the methodology prescribed in the World Resources Institute/World Business Council for Sustainable Development (WRI/WBCSD) Greenhouse Gas Protocol (GHGP). We report data from acquisitions as soon as practical. To that end, these data include the acquisitions of Glomed, St. Jude Medical and Alere, Inc. Furthermore, these data reflect the divestiture of Abbott Medical Optics.Our 2020 carbon emission reduction target to reduce our Scope 1 and 2 emissions by 40 percent against 2010 levels, adjusted for sales, is evidence of our commitment to address and reduce emissions. Abbott has tracked progress towards our 2020 carbon goal utilizing the World Resources Institute/World Business Council for Sustainable Development (WRI/WBCSD) Greenhouse Gas Protocol (GHGP) since the goals implementation in 2012. In 2019, we achieved a 43 percent reduction, adjusted for sales since 2010. Scope 1 and 2 emissions were calculated using the World Resources Council (WRI) Greenhouse Gas Protocol (GHGP). To calculate our Scope 2 emissions, we use the GHGP market-based methodology. Where market-based information is not available, location-based results have been used as proxy. We have reported the results of the location- and market-based methodologies in both the text and metrics sections of our Global Sustainability Reports since 2015. In our 2019 Global Sustainability Report, these metrics can be found on pages 103 to 124.</t>
  </si>
  <si>
    <t>Metric tons CO2e per unit FTE employee</t>
  </si>
  <si>
    <t>Yes, this target has been approved as science-based by the Science Based Targets initiative</t>
  </si>
  <si>
    <t>Int1 is our verified SBTi goal for reducing Scope 3 emissions business travel.  Adobe will strive to reduce scope 3 business travel emissions per employee by 5% by 2025 from 2015 levels. Regarding our scope 3 business travel to reduce emissions per employee by 5% from 2015 to 2025, Adobe has experienced strong business growth since 2015 (+133% Revenues, +64% FTE) and therefore travel growth. As a result, our emissions per employee intensity goal would allow us to focus on reducing travel per employee while still allowing for business growth. Looking at our growth projection, we determined that a 5% reduction in normalized emissions per passenger was an aggressive target that over the long term would be challenging to achieve.  Although IEA models predict that per-mile air travel emission factors will decrease due to reduced carbon intensity, we are not relying on emission factor reductions to achieve our goal. Rather, the way we worked to achieve this goal is to focus on reducing business travel and the resulting airline miles traveled per employee.   Important to note:  in 2019 we are using new methodologies for calculating our business air travel to account for "Radiative Forcing".  In doing so, we believe we are much more accurately attempting to address true emissions from air travel, report it more transparently, and reduce it more aggressively.  This has, however, raised our 2019 numbers to ~2.5x what they were 2015-2018, and given a "% of target" outcome this is a meaningful comparison.  For 2019, we met and exceeded our Scope 3 Science-Based Target but it is important to note that in 2019 we worked to raise the ambition and in 2020 our new goal will be an absolute 30% reduction in Business Travel emissions by 2025.  Since the existing verified SBT is an intensity goal and the new one will be absolute and verified by the SBTi, this goal will be retired and replaced with the new verified target in 2020.</t>
  </si>
  <si>
    <t>Metric tons CO2e per square foot</t>
  </si>
  <si>
    <t>Int2 is our verified SBTi goal for reducing Scope 3 emissions from FERA sources.  Adobe's science-based target to reduce greenhouse gas emissions includes a goal to reduce our Scope 3 Fuel and Energy-Related Emissions per square foot by 15% by 2025 from our 2015 baseline:  year-to-year change = (0.003026-0.003574)/0.003574 = .15, or 15%. During FY19, Adobe made significant progress against this goal as we have achieved 102% of our 15% targeted reduction.  While this is an SBTi verified Scope 3 emissions goal, we do not believe it is a useful goal in addressing climate change, Adobe's commitment to becoming a zero-carbon business, or in pushing ourselves and others in taking meaningful action -- FERA emissions are approximately 3% of our total Scope 3 emissions. We chose this goal as we were an early adopter in addressing Science-Based Targets. In 2020 this goal will be retired and replaced with a Scope 3 Purchased Goods &amp; Services (PG&amp;S) goal that will better address over 66% of our Scope 3 emissions.</t>
  </si>
  <si>
    <t>As an original participant in the 2013 NYC Carbon Challenge, AIG committed to reduce the carbon emissions associated with its NYC operations by 30 percent from 2011 levels within 10 years, or by 2023. As of December 31, 2019, AIG met and exceeded the target commitment four years early by reducing scope 2 emissions by 40%, ten percentage points above the target.</t>
  </si>
  <si>
    <t>other</t>
  </si>
  <si>
    <t>Other, please specify: Other: Estimated customer-related carbon emissions reductions as a result of AT&amp;T connectivity</t>
  </si>
  <si>
    <t>Other, please specify: Other: Estimated customer-related carbon emissions reductions as a result of AT&amp;T connectivity / total combined AT&amp;T Scope 1 + Scope 2 emissions</t>
  </si>
  <si>
    <t>We have set a goal to enable customer carbon savings 10x the carbon footprint of our operations. This goal demonstrates our commitment to addressing climate change. It combines our efforts to reduce our operational emissions (Scopes 1 and 2) with our efforts to develop  technology solutions that can help our customers reduce their emissions. This goal compares our scope 1 &amp; 2 GHG inventory to the technology-enabled GHG reductions realized by our customers each year. This goal was set in 2015 and we compare these emissions numbers each year as we progress toward the target year of 2025. We reported progress in 2018 and plan to do so again in 2020.</t>
  </si>
  <si>
    <t>Site/facility</t>
  </si>
  <si>
    <t>To date we have exceeded the goal. We achieved this reduction by 2015 by relocating our data centers, however, we have committed to staying in the Mayor's Carbon Challenge through 2023 understanding that our headcount and building needs might change as market positions and business growth strategy evolves. We also continue to find ways to reduce energy, including the implementation of Nantum sensor technology to reduce electricity, re-organization of seating and LED lighting retrofits. We have reduced Scope 2 emissions per employee in NYC by 73% as of 2019.</t>
  </si>
  <si>
    <t>BlackRock has committed to reducing facility location-based GHG emissions (electricity, stationary combustion, and refrigerants) per FTE employee 45% by 2020.</t>
  </si>
  <si>
    <t>BlackRock has committed to reducing air travel GHG emissions per FTE employee 20% by 2020.  We exceeded that target by reducing air travel emissions per FTE by 32%.</t>
  </si>
  <si>
    <t>Other, please specify: kg CO2e per Barrel of Oil Equivalent (BOE)</t>
  </si>
  <si>
    <t>We have a long-term target to reduce our GHG emissions intensity from five to 15% by 2030 from a Jan. 1, 2017 baseline. The target will support innovation on efficiency and emissions reduction, GHG regulatory risk mitigation and climate-related risk management throughout the lifecycles of our assets.The target informs climate goals at the business level. Our performance will be based on gross operated GHG emissions, stated in carbon dioxide-equivalent terms, divided by our gross operated production, stated in barrels of oil equivalent. The target is set in relation to our scope 1 emissions and scope 2 gross operated emissions as these are the emissions over which we have the most control. The target covers all GHGs, but in practice will likely apply to carbon dioxide and methane emissions as our emissions of other greenhouse gases are a small fraction of the total. For comparability purposes we exclude exploration and transportation services (i.e. Polar Tankers and Global Aviation) which are not directly related to oil or gas production, from our emissions totals. This may give rise to small differences between the intensity we report for our GHG target purposes and the intensity we report in our annual Sustainability Report. Our current metrics also do not include the use of carbon offsets. We report our progress against the target on an annual, calendar-year basis.  We intend to review and adjust our performance target at least every five years.Science-Based Targets require us to include Scope 3 emissions. For E&amp;P companies, the emissions from use of sold products is not in the scope of our control and leads tosignificant double-counting.</t>
  </si>
  <si>
    <t>Other, please specify: Facility energy scope 1 + 2 (location-based) emissions</t>
  </si>
  <si>
    <t>Our goal is a 20% reduction of facility energy GHG emissions (Scope 1 onsite fuel combustion and location-based Scope 2) per square foot by the end of 2020, with 2012 as the base year. Our 2019 performance was 34.8 metric tonnes CO2e per 1000 square feet. This is a 16% reduction from base year performance (or 80% progress toward the 20% reduction target).  The base year emissions and area are adjusted to account for acquisitions, divestitures, updated factors, reporting boundary changes, and changes in estimation methodology. Any significant changes to the calculation methods or the factors must be agreed to by the Lilly Corporate Energy Management Team before implementation.</t>
  </si>
  <si>
    <t>Other, please specify: Pounds of CO2 per available-ton-mile</t>
  </si>
  <si>
    <t>We have been working to reduce aircraft emissions since 2005, our baseline year, and announced our first reduction goal of 20% by 2020 in 2008. Three years later, in 2011, we revised this target upwards to 30%.This target was reported to CDP in 2017 and its progress is being reported again against the same target in 2019.Since 2005, our aircraft emissions intensity has decreased by more than 24 percent. However, as we have previously reported, our progress is falling short of the overall improvements needed to meet our revised 30% reduction goal. Continued higher e-commerce and other shipping volumes, and the need to maintain older aircraft marked for retirement while we await production of more efficient replacements, have presented ongoing challenges toward our goal.</t>
  </si>
  <si>
    <t>Grams CO2e per revenue passenger kilometer</t>
  </si>
  <si>
    <t>We previously had an internal 2°C planning target for light-duty vehicles sold in the U.S., EU.  We consider this a science-based target, but it was not approved as science-based by the Science Based Targets initiative.   As part of our regular 5-year review cadence, we are updating to a well-below 2°C target, to align with recent climate science recommendations.  We plan to set targets using the Science Based Targets Initiative guidance and submit for SBTi approval.</t>
  </si>
  <si>
    <t>Overall, Honeywell's sustainability program has reduced greenhouse gas intensity by more than 90%. In 2019, the Company set its fourth goal, a new five-year ''10-10-10” target to reduce global greenhouse gas emissions by an additional 10%, indexed to revenue, from 2018 levels; to deploy on at least 10 renewable energy opportunities; and to achieve certification to ISO's 50001 Energy Management Standard at 10 facilities, all by 2024.</t>
  </si>
  <si>
    <t>Metric tons CO2e per unit of production</t>
  </si>
  <si>
    <t>Our target has been focused on reducing direct GHG emissions by 10% on a per production unit basis by 2020 from 2010 levels. Through the end of 2019, we reduced our direct GHG emissions by 39% on a per unit, or ''intensity” basis from 2010 levels, significantly exceeding our 2020 target. The intensity metric is a normalized production index based on the number of die produced and made available for sale. Although this target is not an approved science-based target, through the achievement of this direct GHG intensity-based target, along with Scope 2 emissions reductions achieved through our renewable energy and energy conservation programs, we have maintained combined Scope 1 and 2 emissions below the science-based 2 degrees Celsius pathway through 2019 based on a year 2000 baseline. We have tracked our Scope 1 and 2 emissions against science-based carbon targets from a baseline year of 2000 for many years, as reported annually in our Corporate Responsibility report.The anticipated change in Scope 1 &amp; 2 emissions is based on comparison of combined Scope 1 &amp; 2 emissions in the reporting year against that in the base year because the target was based fully on an intensity metric, without a specified absolute target, and the reporting year represents the close-out/target year for this goal. While absolute Scope 1 and 2 emissions increased 19% between 2010 and the end of 2019, Intel experienced significant growth over this time (&gt;100% increase in manufacturing output), illustrating that this target facilitated substantial increases in efficiencyWe have set a new 2030 target to drive an additional 10% reduction in our absolute Scope 1 and 2 carbon emissions as we grow. We track our carbon emissions against science-based carbon targets and our new climate goals are informed by climate science. However, due to our (and our industry's) early actions to reduce absolute emissions and the continued growth of demand for semiconductors, it remains challenging to gain formal approval for a target under the existing methodology of the Science-Based Targets Initiative. We see an opportunity to work with our industry and stakeholders to identify innovative approaches to reduce emissions. The ultimate goal is to expand the number of companies in our sector (as well as other manufacturing industries) setting approved science-based targets.</t>
  </si>
  <si>
    <t>Other, please specify: Other, please specify: All emissions from purchased beef, dairy, cheese, chicken and packaging products and transportation/distribution</t>
  </si>
  <si>
    <t>Metric tons CO2e per metric ton of product</t>
  </si>
  <si>
    <t>Through collaboration and partnership with our suppliers and producers, the Company also commits to a 31% reduction in emissions intensity (per metric ton of food and packaging) across our supply chain by 2030 from 2015 levels. Our target includes all emissions from purchased food, beverage and packaging products sold to customers.We have developed a system to take the best available data sources across the range of commodities and markets in which McDonald's operates and sources from worldwide.We are pleased to report our supply chain emissions intensity has reduced between our baseline in 2015 and the 2019 reporting year.We continue to communicate the importance of taking positive action on climate to our suppliers and we are confident that the Company has the right strategy in place in partnership with our suppliers to accelerate progress in the years ahead. We are seeing an increase in the number of our suppliers setting climate targets and implementing strategies to reduce emissions intensity that are tailored to and relevant for their own supply chains. We work with CDP to encourage over 100 of our key global suppliers across our largest categories of emissions to set targets, measure emissions, make reductions, and report progress to CDP.These figures reflect our current 2015 and 2019 emissions estimates, which have been calculated based on best practice guidance on leveraging the latest methodology and data available. As we continue to enhance our methodology and data quality in future years, we can expect the baseline and annual progress figures to further adjust in future reporting cycles.</t>
  </si>
  <si>
    <t>The GHG reduction goal of 15% normalized to revenue is set for 2020. Medtronic is planning it's new set of long term environmental goals and will be communicated externally in the FY20 Medtronic Integrated Performance Report that should be published by November of 2020% change anticipated in  absolute scope 1&amp;2 emissions from FY13 base year to FY2020 is stated above. Although no scope 3 emission targets have been established, the direction and % change anticipated in absolute scope 3 emissions is estimated to be approximately the same as that identified for scope 1&amp;2 emissions.</t>
  </si>
  <si>
    <t>Other, please specify: Key operations represent finished goods manufacturing, inbound and outbound logistics, DCs, HQs, and NIKE-owned retail.</t>
  </si>
  <si>
    <t>This target covers key operations (finished goods manufacturing, inbound and outbound logistics, distribution centers, headquarter locations, and NIKE-owned retail).</t>
  </si>
  <si>
    <t>Scope 3 (upstream)</t>
  </si>
  <si>
    <t>Other, please specify: metric tonnes CO2e/kg in materials dyeing/finishing</t>
  </si>
  <si>
    <t>Other, please specify: Tier 2 focus suppliers only (Textile Dyeing and Finishing)</t>
  </si>
  <si>
    <t>Measure includes focus suppliers only. Focus suppliers represent key suppliers involved in the dyeing and/or finishing of materials which directly support finished product assembly.</t>
  </si>
  <si>
    <t>Other, please specify: Metric tonnes CO2e per Headcount</t>
  </si>
  <si>
    <t>The target was set during our fiscal year 2015. The baseline for our goal is our fiscal year 2014 (Jan 28, 2013 to Jan 26, 2014). Our target year aligns with our fiscal year 2020. Our intensity target is based on headcount, which includes seated contractors rather than just full time employees (FTE), as we feel that it better represents the number of people using our operational sites.</t>
  </si>
  <si>
    <t>Metric tons CO2e per barrel of oil equivalent (BOE)</t>
  </si>
  <si>
    <t>As a member company of the Oil and Gas Climate Initiative (OGCI), Occidental is committed to reducing our upstream oil and gas production related GHG emissions (CO2 + methane). The target represents a reduction of between 36 and 52 million tonnes of CO2e per year by 2025. This carbon intensity target is intended to reduce the collective average carbon intensity of OGCI member companies' aggregated upstream oil and gas operations to between 20 kg and 21 kg CO2e/boe by 2025, from a collective baseline of 23 kg CO2e/boe in 2017. The range is consistent with the reduction needed across the oil and gas industry by 2025 to support the Paris Agreement goals.</t>
  </si>
  <si>
    <t>Other, please specify: Metric ton methane (CH4) per thousand BOE</t>
  </si>
  <si>
    <t>As a member company of the OGCI, Occidental is committed to reducing our methane emissions. This methane intensity target is intended to reduce by 2025 the collective average methane intensity of its aggregated upstream gas and oil operations by one-fifth to below 0.25%, with the ambition to achieve 0.2%. Achieving the intensity target of 0.25% by the end of 2025 would reduce collective emissions by 350,000 tonnes/year of methane, compared with the baseline of 0.32% in 2017. The target aims to be consistent with the reduction needed to support the Paris Agreement goals.</t>
  </si>
  <si>
    <t>This target was established using historical production-related data to set the baseline.  The target was determined by using a percentage of our best performance, using a weighted average.  The data is from emission factors from scientific, peer-reviewed sources. However, we do not follow the Science-based Target Initiative.</t>
  </si>
  <si>
    <t>Metric tons CO2e per megawatt hour (MWh)</t>
  </si>
  <si>
    <t>Oracle has a goal to achieve a 55% reduction in emissions per unit of energy consumed by 2025 (base year 2015).</t>
  </si>
  <si>
    <t>Scope 1+2 (market-based) + 3 (upstream and downstream)</t>
  </si>
  <si>
    <t>Other, please specify: kg CO2e per million cigarette equivalent sold</t>
  </si>
  <si>
    <t>This target covers scope 1, 2 and 3 emissions from all operations and our full value chain per million of cigarette equivalent sold. From 2018 onwards we are reporting energy intensity based on sold units of equivalent cigarettes (versus produced units of cigarettes equivalent previously).In 2019 we achieved a 32% reduction versus our 2010 baseline (8,706 kg CO2 per million of equivalent cigarettes sold) and thus 106% achieved (32%/30%*100=106%). This achievement has been possible due to progress in reducing our environmental impact across our value chain: in our factories and fleet where our carbon footprint is relatively small compared to other industries, as well asbeyond the factory gates. That includes looking at both our upstream supply chain activities (currently focusing on tobacco farming and direct materials) and downstream, following our product and packaging environmental impacts to end-of-use.% change anticipated in absolute scope 1+2 and scope 3 emissions are dependent on 2020 production volumes and ratio between conventional cigarettes vs smoke-free products, that is rapidly changing due to the growth of our smoke-free products. The % anticipated change in emissions in scopes 1, 2 and 3 have been calculated based on achieved reductions in 2019, which exceeds the original 2020 intensity target, and we expect to further improve this reduction by 2020.</t>
  </si>
  <si>
    <t>Other, please specify: Grams CO2e per liter of beverage sold</t>
  </si>
  <si>
    <t>We continue to evaluate and make changes in our operations and throughout the Coca-Cola system value chain to reduce our climate impact. This target is a Coca-Cola System level target, including The Coca-Cola Company and its bottling partners. The target brings our diverse sustainability initiatives under one goal to reduce the carbon footprint of the "drink in your hand” by 25 percent by 2020. Progress toward reducing the greenhouse gas emissions across our manufacturing processes, packaging formats, delivery fleet, refrigeration equipment and ingredient sourcing is now being measured toward the ''drink in your hand” goal.The calculation of progress toward our ''drink in your hand” goal has been internally vetted using accepted and relevant scientific and technical methodologies, which are aligned with GHG Protocol scopes 1, 2 and 3. Due to the nature of our franchise bottling system, in this CDP response, our manufacturing emissions are normally split between Scopes 1 and 2 for company-owned facilities and Scope 3 for bottling partner facilities. However, in our ''drink in your hand” calculations, we consider the full Coca-Cola system (including franchise bottling partners) in the calculation of our manufacturing, distribution and refrigeration emissions.</t>
  </si>
  <si>
    <t>We are currently going through the process of re-evaluating our base year data and that of other years. We will  communicate any changes to our previously reported normalized base year emission values in next year's Climate survey disclosure cycle.</t>
  </si>
  <si>
    <t>Other, please specify: Mass MTCO2e per 1000 gross ton mile</t>
  </si>
  <si>
    <t>Union Pacific is committed to reducing  locomotive fuel consumption by 1.5% between 2018 and 2020, as measured on a gross ton-miles basis, which would result in a greenhouse gas emissions reduction of 0.5% for locomotive emissions annually. In 2019, Union Pacific decreased its fuel consumption rate, measured in gallons of fuel per thousand gross ton miles, by 2% as compared to 2018. While this intensity has decreased since 2018, it has increased slightly over 2017, meaning progress from the base year has not yet been made. In 2019, Union Pacific increased fuel combustion by 3% from 2017 due to heavy congestion across the system for much of the year. Normalized base year target emissions are locomotive emissions per thousand gross ton-miles. These include emissions from Alton &amp; Southern Railway, a wholly owned subsidiary of Union Pacific. The fuel initiatives group will continue to evaluate Union Pacific's fuel consumption goal while adjusting to changing market conditions. Union Pacific has committed to setting science-based targets within the next two years that will help the company determine what further actions are necessary to reduce GHG emissions to support the goals outlined by the Paris Agreement.</t>
  </si>
  <si>
    <t>Other, please specify: Lbs of CO2e per unit of service provided</t>
  </si>
  <si>
    <t>The UPS Transportation Intensity Index (TII) combines three separate carbon intensity ratios from our largest business operations: U.S. Package Operations, UPS Airlines and U.S. Supply Chain &amp; Freight.  We assign each ratio a percentage weight within the Transportation Intensity Index, to make them proportional to the emissions their respective components actually generate.  UPS's goal is a 20% reduction in the TII from the baseline by 2020.</t>
  </si>
  <si>
    <t>Other, please specify: Lbs. of CO2 per Available Ton-mile</t>
  </si>
  <si>
    <t>Base year CO2/ATM = 1.54 (as measured in nautical miles) Target year CO2/ATM = 1.24.   The base year emissions (6,044,000) is calculated in CO2e for the purpose of the CDP.  The  actual metric as measured by UPS is pounds of CO2.</t>
  </si>
  <si>
    <t>Other, please specify: MT CO2e per Terabyte of Data</t>
  </si>
  <si>
    <t>During 2016 we reached our goal by achieving a 54% reduction to our baseline intensity.As demand for data continues to grow, so do the energy demands upon our network, while we are continuing to drive energy and carbon efficiencies throughout our organization, we expect our ability to reduce our absolute carbon emissions to be more challenging year on year.</t>
  </si>
  <si>
    <t>Other, please specify: Metric tonnes CO2e per Terabyte of Data</t>
  </si>
  <si>
    <t>During 2019, we achieved our 2025 carbon intensity goal with a 53% reduction in CO2e per terabyte of data. After 2019, we will be retiring our intensity target in favor of operational carbon neutrality and 50% renewable energy goals.</t>
  </si>
  <si>
    <t>Walgreens is supporting this commitment through improved heating, ventilation, air conditioning and refrigeration efficiency, conversions to LED lighting and using data to pinpoint areas for improvement. The Walgreens Intensity Target 1 has been calibrated to conform to the energy intensity reduction goal, which was disclosed as part of Walgreens commitment to the U.S. Department of Energy Better Buildings Challenge. As of August 31, 2019, Walgreens intensity metric improved by 16 percent, which is equivalent to a 81 percent completion of the emissions metric objective of the goal. Considering the 10-year time frame of the intensity goal in the Better Buildings Challenge commitment, Walgreens anticipates that the net effects of energy management initiatives will drive emissions to decline, or otherwise approximate the magnitude of base year emissions. The goal expresses that normalized emissions will decline relative to the organic growth of Walgreens through construction of new facilities and acquisitions. The target covers less than 100 percent of emissions, as it applies only to Walgreens, the largest business unit of WBA.</t>
  </si>
  <si>
    <t>Sector1</t>
  </si>
  <si>
    <t>Industry</t>
  </si>
  <si>
    <t>Country</t>
  </si>
  <si>
    <t>Activities</t>
  </si>
  <si>
    <t>Sectors</t>
  </si>
  <si>
    <t>Industries</t>
  </si>
  <si>
    <t>Primary activity</t>
  </si>
  <si>
    <t>Primary sector</t>
  </si>
  <si>
    <t>Primary industry</t>
  </si>
  <si>
    <t>benchmark</t>
  </si>
  <si>
    <t>cdp_account</t>
  </si>
  <si>
    <t>Industrials</t>
  </si>
  <si>
    <t>United States of America</t>
  </si>
  <si>
    <t xml:space="preserve"> Electronic components, Fabricated metal components, Health care supplies, Paper products, Specialty chemicals</t>
  </si>
  <si>
    <t xml:space="preserve"> Chemicals, Electrical &amp; electronic equipment, Medical equipment &amp; supplies, Metal products manufacturing, Paper products &amp; packaging</t>
  </si>
  <si>
    <t xml:space="preserve"> Biotech, health care &amp; pharma, Manufacturing, Materials</t>
  </si>
  <si>
    <t>Specialty chemicals</t>
  </si>
  <si>
    <t xml:space="preserve"> Benchmark, CCGR1800, Continuity Climate Change, Environmental, FTSE All-World, Global 500, MSCI ACWI, S&amp;P 500</t>
  </si>
  <si>
    <t>Healthcare</t>
  </si>
  <si>
    <t xml:space="preserve"> Health care facilities, Health care services, Health care supplies, Medical equipment, Other food processing, Pharmaceuticals</t>
  </si>
  <si>
    <t xml:space="preserve"> Biotech &amp; pharma, Food &amp; beverage processing, Health care provision, Medical equipment &amp; supplies, Other services</t>
  </si>
  <si>
    <t>Medical equipment</t>
  </si>
  <si>
    <t>Medical equipment &amp; supplies</t>
  </si>
  <si>
    <t>Biotech, health care &amp; pharma</t>
  </si>
  <si>
    <t xml:space="preserve"> Benchmark, CCGR1800, Continuity Climate Change, FTSE All-World, Global 500, MSCI ACWI, S&amp;P 500</t>
  </si>
  <si>
    <t xml:space="preserve"> Pharmaceuticals</t>
  </si>
  <si>
    <t xml:space="preserve"> Biotech &amp; pharma</t>
  </si>
  <si>
    <t>Pharmaceuticals</t>
  </si>
  <si>
    <t>Biotech &amp; pharma</t>
  </si>
  <si>
    <t>Technology</t>
  </si>
  <si>
    <t>Ireland</t>
  </si>
  <si>
    <t xml:space="preserve"> IT services, Other professional services</t>
  </si>
  <si>
    <t xml:space="preserve"> IT &amp; software development, Specialized professional services</t>
  </si>
  <si>
    <t>IT services</t>
  </si>
  <si>
    <t>IT &amp; software development</t>
  </si>
  <si>
    <t>Services</t>
  </si>
  <si>
    <t xml:space="preserve"> Software</t>
  </si>
  <si>
    <t xml:space="preserve"> IT &amp; software development</t>
  </si>
  <si>
    <t>Software</t>
  </si>
  <si>
    <t>Financial Services</t>
  </si>
  <si>
    <t xml:space="preserve"> Insurance</t>
  </si>
  <si>
    <t xml:space="preserve"> Financial services</t>
  </si>
  <si>
    <t>Insurance</t>
  </si>
  <si>
    <t>Financial services</t>
  </si>
  <si>
    <t>Communication Services</t>
  </si>
  <si>
    <t xml:space="preserve"> Marketing, Software, Web-based services</t>
  </si>
  <si>
    <t xml:space="preserve"> IT &amp; software development, Web &amp; marketing services</t>
  </si>
  <si>
    <t>Web-based services</t>
  </si>
  <si>
    <t>Web &amp; marketing services</t>
  </si>
  <si>
    <t>Consumer Staples</t>
  </si>
  <si>
    <t xml:space="preserve"> Alcoholic beverages, Tobacco products</t>
  </si>
  <si>
    <t xml:space="preserve"> Food &amp; beverage processing, Tobacco</t>
  </si>
  <si>
    <t>Tobacco products</t>
  </si>
  <si>
    <t>Tobacco</t>
  </si>
  <si>
    <t>Food, beverage &amp; agriculture</t>
  </si>
  <si>
    <t xml:space="preserve"> Financial services, Specialized professional services</t>
  </si>
  <si>
    <t xml:space="preserve"> Banks, Other financial</t>
  </si>
  <si>
    <t>Banks</t>
  </si>
  <si>
    <t xml:space="preserve"> Construction, Electrical &amp; electronic equipment</t>
  </si>
  <si>
    <t>Real Estate</t>
  </si>
  <si>
    <t xml:space="preserve"> Communications equipment, Utility line construction</t>
  </si>
  <si>
    <t>Utility line construction</t>
  </si>
  <si>
    <t>Construction</t>
  </si>
  <si>
    <t>Infrastructure</t>
  </si>
  <si>
    <t xml:space="preserve"> Benchmark, CCGR1800, Continuity Climate Change, Fixed Income, FTSE All-World, Global 500, MSCI ACWI, S&amp;P 500</t>
  </si>
  <si>
    <t xml:space="preserve"> Biotechnology</t>
  </si>
  <si>
    <t xml:space="preserve"> Discretionary retail, Electrical &amp; electronic equipment</t>
  </si>
  <si>
    <t>Biotechnology</t>
  </si>
  <si>
    <t xml:space="preserve"> Communications equipment, Computer hardware, Discretionary delivery retail, Electronic equipment</t>
  </si>
  <si>
    <t xml:space="preserve"> Electrical &amp; electronic equipment, Media, telecommunications &amp; data center services, Web &amp; marketing services</t>
  </si>
  <si>
    <t>Communications equipment</t>
  </si>
  <si>
    <t>Electrical &amp; electronic equipment</t>
  </si>
  <si>
    <t>Manufacturing</t>
  </si>
  <si>
    <t xml:space="preserve"> Communications equipment, Marketing, Media, Telecommunications services</t>
  </si>
  <si>
    <t>Telecommunications services</t>
  </si>
  <si>
    <t>Media, telecommunications &amp; data center services</t>
  </si>
  <si>
    <t xml:space="preserve"> Asset managers, Banks, Insurance</t>
  </si>
  <si>
    <t xml:space="preserve"> Benchmark, CCGR1800, Continuity Climate Change, Environmental, Fixed Income, FTSE All-World, Global 500, MSCI ACWI, S&amp;P 500</t>
  </si>
  <si>
    <t xml:space="preserve"> Financial services, Industrial support services, Transportation equipment</t>
  </si>
  <si>
    <t xml:space="preserve"> Asset managers</t>
  </si>
  <si>
    <t>Asset managers</t>
  </si>
  <si>
    <t xml:space="preserve"> Aerospace, Banks, Transportation support services</t>
  </si>
  <si>
    <t>Aerospace</t>
  </si>
  <si>
    <t>Transportation equipment</t>
  </si>
  <si>
    <t xml:space="preserve"> Electrical &amp; electronic equipment, IT &amp; software development, Specialized professional services</t>
  </si>
  <si>
    <t xml:space="preserve"> Banks</t>
  </si>
  <si>
    <t xml:space="preserve"> Food &amp; beverage processing</t>
  </si>
  <si>
    <t xml:space="preserve"> Chemicals, Food &amp; beverage processing</t>
  </si>
  <si>
    <t xml:space="preserve"> Entertainment facilities, Media, telecommunications &amp; data center services, Web &amp; marketing services</t>
  </si>
  <si>
    <t xml:space="preserve"> Oil &amp; gas extraction &amp; production</t>
  </si>
  <si>
    <t xml:space="preserve"> Communications equipment, IT services, Other professional services, Software</t>
  </si>
  <si>
    <t xml:space="preserve"> Convenience retail</t>
  </si>
  <si>
    <t xml:space="preserve"> Convenience retail, Financial services, Medical equipment &amp; supplies, Other services</t>
  </si>
  <si>
    <t xml:space="preserve"> Non-alcoholic beverages</t>
  </si>
  <si>
    <t xml:space="preserve"> Biotech &amp; pharma, Chemicals</t>
  </si>
  <si>
    <t>Non-alcoholic beverages</t>
  </si>
  <si>
    <t>Food &amp; beverage processing</t>
  </si>
  <si>
    <t xml:space="preserve"> Animal processing, Personal care &amp; household products</t>
  </si>
  <si>
    <t xml:space="preserve"> Renewable power generation, Thermal power generation</t>
  </si>
  <si>
    <t>Personal care &amp; household products</t>
  </si>
  <si>
    <t xml:space="preserve"> Marketing, Media, Recreation &amp; entertainment facilities</t>
  </si>
  <si>
    <t xml:space="preserve"> Chemicals, Oil &amp; gas extraction &amp; production, Thermal power generation</t>
  </si>
  <si>
    <t>Media</t>
  </si>
  <si>
    <t>Energy</t>
  </si>
  <si>
    <t xml:space="preserve"> Natural gas extraction, Oil &amp; gas extraction</t>
  </si>
  <si>
    <t>Oil &amp; gas extraction</t>
  </si>
  <si>
    <t>Oil &amp; gas extraction &amp; production</t>
  </si>
  <si>
    <t>Fossil Fuels</t>
  </si>
  <si>
    <t xml:space="preserve"> Hypermarkets &amp; superstores, Supermarkets, food &amp; drugstores</t>
  </si>
  <si>
    <t xml:space="preserve"> Energy utility networks, Nuclear power generation, Thermal power generation</t>
  </si>
  <si>
    <t>Hypermarkets &amp; superstores</t>
  </si>
  <si>
    <t>Convenience retail</t>
  </si>
  <si>
    <t>Retail</t>
  </si>
  <si>
    <t xml:space="preserve"> Benchmark, CCGR1800, Continuity Climate Change, Environmental, FAIRR, FTSE All-World, Global 500, MSCI ACWI, S&amp;P 500</t>
  </si>
  <si>
    <t xml:space="preserve"> Health care services, Health care supplies, Insurance, Supermarkets, food &amp; drugstores</t>
  </si>
  <si>
    <t xml:space="preserve"> Air transport, Industrial support services, Intermodal transport &amp; logistics, Road transport</t>
  </si>
  <si>
    <t>Health care supplies</t>
  </si>
  <si>
    <t xml:space="preserve"> Financial services, Transportation equipment</t>
  </si>
  <si>
    <t xml:space="preserve"> Biotechnology, Other base chemicals, Specialty chemicals</t>
  </si>
  <si>
    <t xml:space="preserve"> Electrical &amp; electronic equipment, Industrial support services, Light manufacturing, Specialized professional services, Transportation equipment</t>
  </si>
  <si>
    <t>Other base chemicals</t>
  </si>
  <si>
    <t>Utilities</t>
  </si>
  <si>
    <t xml:space="preserve"> CCGT generation, Coal generation, Hydro generation</t>
  </si>
  <si>
    <t xml:space="preserve"> Electrical &amp; electronic equipment, Financial services, Industrial support services, Medical equipment &amp; supplies, Powered machinery, Renewable energy equipment, Transportation equipment</t>
  </si>
  <si>
    <t>CCGT generation</t>
  </si>
  <si>
    <t>Thermal power generation</t>
  </si>
  <si>
    <t>Power generation</t>
  </si>
  <si>
    <t xml:space="preserve"> Coal generation, Oil &amp; gas extraction, Other base chemicals, Specialty chemicals</t>
  </si>
  <si>
    <t xml:space="preserve"> CCGT generation, Electricity networks, Gas utilities, Nuclear generation</t>
  </si>
  <si>
    <t xml:space="preserve"> Discretionary retail</t>
  </si>
  <si>
    <t>Nuclear generation</t>
  </si>
  <si>
    <t>Nuclear power generation</t>
  </si>
  <si>
    <t xml:space="preserve"> Chemicals, Electrical &amp; electronic equipment, Powered machinery, Trading, wholesale, distribution, rental &amp; leasing</t>
  </si>
  <si>
    <t xml:space="preserve"> Electrical &amp; electronic equipment, Financial services, IT &amp; software development, Specialized professional services</t>
  </si>
  <si>
    <t xml:space="preserve"> Air freight, Logistics - 3rd party, Logistics - transport, Road freight, Transportation support services</t>
  </si>
  <si>
    <t xml:space="preserve"> Electrical &amp; electronic equipment, IT &amp; software development</t>
  </si>
  <si>
    <t>Logistics - transport</t>
  </si>
  <si>
    <t>Intermodal transport &amp; logistics</t>
  </si>
  <si>
    <t>Transportation services</t>
  </si>
  <si>
    <t>Consumer Discretionary</t>
  </si>
  <si>
    <t xml:space="preserve"> Automobiles, Banks</t>
  </si>
  <si>
    <t xml:space="preserve"> Biotech &amp; pharma, Chemicals, Medical equipment &amp; supplies, Other services</t>
  </si>
  <si>
    <t>Automobiles</t>
  </si>
  <si>
    <t xml:space="preserve"> Aerospace, Electrical equipment, Heavy vehicles, Munitions, Other professional services, Shipbuilding, Transportation support services</t>
  </si>
  <si>
    <t>Electrical equipment</t>
  </si>
  <si>
    <t xml:space="preserve"> Banks, Electrical equipment, Energy services &amp; equipment, Engines &amp; motors, Industrial machinery, Medical equipment, Other renewable energy equipment, Railroad rolling stock</t>
  </si>
  <si>
    <t>Engines &amp; motors</t>
  </si>
  <si>
    <t>Powered machinery</t>
  </si>
  <si>
    <t xml:space="preserve"> Electrical &amp; electronic equipment, Light manufacturing, Transportation equipment</t>
  </si>
  <si>
    <t xml:space="preserve"> Specialized professional services</t>
  </si>
  <si>
    <t xml:space="preserve"> Specialist retail</t>
  </si>
  <si>
    <t xml:space="preserve"> Bars, hotels &amp; restaurants</t>
  </si>
  <si>
    <t>Specialist retail</t>
  </si>
  <si>
    <t>Discretionary retail</t>
  </si>
  <si>
    <t xml:space="preserve"> Dealers, wholesalers &amp; distributors, Electrical equipment, Engines &amp; motors, Other vehicle equipment &amp; systems, Specialty chemicals</t>
  </si>
  <si>
    <t xml:space="preserve"> Medical equipment &amp; supplies, Other services</t>
  </si>
  <si>
    <t xml:space="preserve"> Banks, Computer hardware, IT services, Other professional services, Software</t>
  </si>
  <si>
    <t xml:space="preserve"> Electronic components, Software</t>
  </si>
  <si>
    <t>Electronic components</t>
  </si>
  <si>
    <t xml:space="preserve"> Health care services, Health care supplies, Medical equipment, Personal care &amp; household products, Pharmaceuticals</t>
  </si>
  <si>
    <t xml:space="preserve"> Other food processing</t>
  </si>
  <si>
    <t xml:space="preserve"> Accessories, Textiles &amp; fabric goods</t>
  </si>
  <si>
    <t>Other food processing</t>
  </si>
  <si>
    <t xml:space="preserve"> Aerospace, Electrical equipment, Munitions</t>
  </si>
  <si>
    <t xml:space="preserve"> Electrical &amp; electronic equipment</t>
  </si>
  <si>
    <t>10820</t>
  </si>
  <si>
    <t xml:space="preserve"> Chemicals, Oil &amp; gas extraction &amp; production, Oil &amp; gas storage &amp; transportation</t>
  </si>
  <si>
    <t xml:space="preserve"> Other financial, Other professional services</t>
  </si>
  <si>
    <t xml:space="preserve"> IT &amp; software development, Media, telecommunications &amp; data center services, Specialized professional services</t>
  </si>
  <si>
    <t>Other financial</t>
  </si>
  <si>
    <t>Specialized professional services</t>
  </si>
  <si>
    <t xml:space="preserve"> Fast food</t>
  </si>
  <si>
    <t>Fast food</t>
  </si>
  <si>
    <t>Bars, hotels &amp; restaurants</t>
  </si>
  <si>
    <t>Hospitality</t>
  </si>
  <si>
    <t xml:space="preserve"> Health care services, Health care supplies, Medical equipment</t>
  </si>
  <si>
    <t xml:space="preserve"> Tobacco</t>
  </si>
  <si>
    <t xml:space="preserve"> Chemicals, Metal products manufacturing, Paper products &amp; packaging</t>
  </si>
  <si>
    <t xml:space="preserve"> Chocolate confection, Coffee, Dairy &amp; egg products, Non-chocolate confection, Other food processing</t>
  </si>
  <si>
    <t xml:space="preserve"> Electrical &amp; electronic equipment, Specialized professional services</t>
  </si>
  <si>
    <t xml:space="preserve"> Benchmark, CCGR1800, Continuity Climate Change, FAIRR, FTSE All-World, Global 500, MSCI ACWI, S&amp;P 500</t>
  </si>
  <si>
    <t xml:space="preserve"> Energy utility networks, Thermal power generation</t>
  </si>
  <si>
    <t xml:space="preserve"> Accessories manufacture, Apparel &amp; footwear, Clothing manufacture</t>
  </si>
  <si>
    <t xml:space="preserve"> Bars, hotels &amp; restaurants, Trading, wholesale, distribution, rental &amp; leasing</t>
  </si>
  <si>
    <t>Apparel &amp; footwear</t>
  </si>
  <si>
    <t>Textiles &amp; fabric goods</t>
  </si>
  <si>
    <t>Apparel</t>
  </si>
  <si>
    <t xml:space="preserve"> Electronic components</t>
  </si>
  <si>
    <t xml:space="preserve"> Natural gas extraction, Oil &amp; gas extraction, Oil &amp; gas pipelines &amp; storage, Other base chemicals</t>
  </si>
  <si>
    <t xml:space="preserve"> IT services, Other professional services, Servers &amp; data centers, Software</t>
  </si>
  <si>
    <t xml:space="preserve"> Baked goods &amp; cereals, Non-alcoholic beverages, Other food processing</t>
  </si>
  <si>
    <t xml:space="preserve"> Industrial support services, Rail transport</t>
  </si>
  <si>
    <t xml:space="preserve"> Financial services, Other services</t>
  </si>
  <si>
    <t xml:space="preserve"> Tobacco products</t>
  </si>
  <si>
    <t xml:space="preserve"> Fabricated metal components, Paper products, Personal care &amp; household products</t>
  </si>
  <si>
    <t xml:space="preserve"> Electronic components, Other professional services</t>
  </si>
  <si>
    <t xml:space="preserve"> Electrical &amp; electronic equipment, Media, telecommunications &amp; data center services</t>
  </si>
  <si>
    <t xml:space="preserve"> Other professional services, Software</t>
  </si>
  <si>
    <t xml:space="preserve"> Convenience retail, Trading, wholesale, distribution, rental &amp; leasing</t>
  </si>
  <si>
    <t xml:space="preserve"> REIT</t>
  </si>
  <si>
    <t>REIT</t>
  </si>
  <si>
    <t xml:space="preserve"> CCGT generation, Coal generation, Gas utilities</t>
  </si>
  <si>
    <t xml:space="preserve"> Food &amp; beverage amenities, Food &amp; beverage wholesale</t>
  </si>
  <si>
    <t>Food &amp; beverage amenities</t>
  </si>
  <si>
    <t xml:space="preserve"> Asset managers, Banks</t>
  </si>
  <si>
    <t xml:space="preserve"> Rail freight, Transportation support services</t>
  </si>
  <si>
    <t>Rail freight</t>
  </si>
  <si>
    <t>Rail transport</t>
  </si>
  <si>
    <t xml:space="preserve"> Health care services, Insurance</t>
  </si>
  <si>
    <t>Health care services</t>
  </si>
  <si>
    <t>Other services</t>
  </si>
  <si>
    <t xml:space="preserve"> Communications equipment, Telecommunications services</t>
  </si>
  <si>
    <t xml:space="preserve"> Dealers, wholesalers &amp; distributors, Supermarkets, food &amp; drugstores</t>
  </si>
  <si>
    <t>Supermarkets, food &amp; drugstores</t>
  </si>
  <si>
    <t>Period</t>
  </si>
  <si>
    <t>Revenue</t>
  </si>
  <si>
    <t>Net earnings</t>
  </si>
  <si>
    <t>gross_total_scope1</t>
  </si>
  <si>
    <t>gross_loc_scope2</t>
  </si>
  <si>
    <t>gross_mkt_scope2</t>
  </si>
  <si>
    <t>gross_purchgs_scope3</t>
  </si>
  <si>
    <t>gross_capgoods_scope3</t>
  </si>
  <si>
    <t>gross_fuelener_scope3</t>
  </si>
  <si>
    <t>gross_uptransdis_scope3</t>
  </si>
  <si>
    <t>gross_waste_scope3</t>
  </si>
  <si>
    <t>gross_bustravel_scope3</t>
  </si>
  <si>
    <t>gross_empcommut_scope3</t>
  </si>
  <si>
    <t>gross_upleasedassets_scope3</t>
  </si>
  <si>
    <t>gross_downtransdis_scope3</t>
  </si>
  <si>
    <t>gross_procsoldprod_scope3</t>
  </si>
  <si>
    <t>gross_usesoldprod_scope3</t>
  </si>
  <si>
    <t>gross_eoltreat_scope3</t>
  </si>
  <si>
    <t>gross_downleasedassets_scope3</t>
  </si>
  <si>
    <t>gross_franch_scope3</t>
  </si>
  <si>
    <t>gross_inv_scope3</t>
  </si>
  <si>
    <t>gross_upother_scope3</t>
  </si>
  <si>
    <t>gross_downother_scope3</t>
  </si>
  <si>
    <t>gross_total_scope_3</t>
  </si>
  <si>
    <t>scope1_start_date</t>
  </si>
  <si>
    <t>scope_1_end_date</t>
  </si>
  <si>
    <t>gross_scope_1_yale</t>
  </si>
  <si>
    <t>difference_cdp_yale_scope_1</t>
  </si>
  <si>
    <t>difference_cdp_yale_scope_1%</t>
  </si>
  <si>
    <t>start_date</t>
  </si>
  <si>
    <t>end_date</t>
  </si>
  <si>
    <t>gross_scope_2_yale</t>
  </si>
  <si>
    <t>difference_cdp_yale</t>
  </si>
  <si>
    <t>difference_cdp_yale%</t>
  </si>
  <si>
    <t>gross_scope_3_yale</t>
  </si>
  <si>
    <t>Reporting year</t>
  </si>
  <si>
    <t>2019-01-01</t>
  </si>
  <si>
    <t>2019-12-31</t>
  </si>
  <si>
    <t>2018-12-01</t>
  </si>
  <si>
    <t>2019-11-30</t>
  </si>
  <si>
    <t>NF</t>
  </si>
  <si>
    <t>2018-06-01</t>
  </si>
  <si>
    <t>2019-05-31</t>
  </si>
  <si>
    <t>GHG2019</t>
  </si>
  <si>
    <t>https://www.bms.com/about-us/sustainability/goals-and-key-indicators/key-performance-indicators.html</t>
  </si>
  <si>
    <t>PNG</t>
  </si>
  <si>
    <t>Company Name</t>
  </si>
  <si>
    <t>Shorthand Company Name</t>
  </si>
  <si>
    <t>Sector</t>
  </si>
  <si>
    <t>Size (2019 Revenue)</t>
  </si>
  <si>
    <t>Net earnings post carbon price @85/t</t>
  </si>
  <si>
    <t>Carbon costs in % revenue</t>
  </si>
  <si>
    <t>Under_Performance</t>
  </si>
  <si>
    <t>Net Earnings/Income (2019)</t>
  </si>
  <si>
    <t>IPO Year</t>
  </si>
  <si>
    <t>S&amp;P 100? (Y/N)</t>
  </si>
  <si>
    <t>Carbon Neutral Goal? (Y/N)</t>
  </si>
  <si>
    <t>Science-Based Target? (Y/N)</t>
  </si>
  <si>
    <t>Carbon Neutral by.... (year)</t>
  </si>
  <si>
    <t>Carbon Neutral Announcement (year)</t>
  </si>
  <si>
    <t>Carbon Goal (if non-zero)</t>
  </si>
  <si>
    <t>Reliance on Offsets? (Y/N)</t>
  </si>
  <si>
    <t>RE100 Commitment? (Y/N)</t>
  </si>
  <si>
    <t>100% Renewable Energy by... (year)</t>
  </si>
  <si>
    <t>Evolution vs. LY</t>
  </si>
  <si>
    <t>2019 Scope 1 (MeT Co2)</t>
  </si>
  <si>
    <t xml:space="preserve">2019 Scope 2 </t>
  </si>
  <si>
    <t>2019 Offsets Purchased</t>
  </si>
  <si>
    <t>2019 Net Scope 1 + 2 Emissions</t>
  </si>
  <si>
    <t xml:space="preserve">2019 Scope 3 </t>
  </si>
  <si>
    <t>2019 Total Scope 1, 2 + 3</t>
  </si>
  <si>
    <t>2018 Scope 1</t>
  </si>
  <si>
    <t>2018 Scope 2</t>
  </si>
  <si>
    <t>2018 Offsets Purchased</t>
  </si>
  <si>
    <t>2018 Net Scope 1 + 2 Emissions</t>
  </si>
  <si>
    <t>2018 Scope 3</t>
  </si>
  <si>
    <t>2018 Total Scope 1, 2 + Scope 3</t>
  </si>
  <si>
    <t>2017 Scope 1</t>
  </si>
  <si>
    <t>2017 Scope 2</t>
  </si>
  <si>
    <t>2017 Offsets Purchased</t>
  </si>
  <si>
    <t>2017 Net Scope 1 + 2 Emissions</t>
  </si>
  <si>
    <t>2017 Scope 3</t>
  </si>
  <si>
    <t>2017 Total Scope 1, 2 + 3</t>
  </si>
  <si>
    <t>2016 Scope 1</t>
  </si>
  <si>
    <t>2016 Scope 2</t>
  </si>
  <si>
    <t>2016 Offsets Purchased</t>
  </si>
  <si>
    <t>2016 Net Scope 1 + 2 Emissions</t>
  </si>
  <si>
    <t>2016 Scope 3</t>
  </si>
  <si>
    <t>2016 Total Scope 1, 2 + 3</t>
  </si>
  <si>
    <t>2015 Scope 1</t>
  </si>
  <si>
    <t>2015 Scope 2</t>
  </si>
  <si>
    <t>2015 Offsets Purchased</t>
  </si>
  <si>
    <t>2015 Net Scope 1 + 2 Emissions</t>
  </si>
  <si>
    <t>2015 Scope 3</t>
  </si>
  <si>
    <t>2015 Total Scope 1, 2 + 3</t>
  </si>
  <si>
    <t>Policy Arm?</t>
  </si>
  <si>
    <t>Initiatives for Carbon Neutrality</t>
  </si>
  <si>
    <t>Notes</t>
  </si>
  <si>
    <t>Sources</t>
  </si>
  <si>
    <t>Modifications</t>
  </si>
  <si>
    <t>Specialty Industrials</t>
  </si>
  <si>
    <t>Y</t>
  </si>
  <si>
    <t>N</t>
  </si>
  <si>
    <t>-Policy engagement through lobbying and employee PAC specific to climate change and energy conservation</t>
  </si>
  <si>
    <t>Medical Devices</t>
  </si>
  <si>
    <t>NR</t>
  </si>
  <si>
    <t>- 40% reduction from base year (2010- 1237)</t>
  </si>
  <si>
    <t>Drug Manufacturers</t>
  </si>
  <si>
    <t>- 50% RE in 2025
'- 50% GHG reduction by 2035 from 2015 baseline</t>
  </si>
  <si>
    <t>Information Technology Services</t>
  </si>
  <si>
    <t>-reduce scope 1 and 2 emissions 65% by 2025 from our 2016 baseline (20% of total emissions 1257636). To date, we have cut these emissions by more than 19%.
- Currently at 26% RE</t>
  </si>
  <si>
    <t>- Scope 3 only includes business travel for 2016 and 2015</t>
  </si>
  <si>
    <t>Added Adbobe scope 3 - 574034 in 2018</t>
  </si>
  <si>
    <t>-location based scope 2 only
-In 2010, Allstate set a goal to achieve a 20% absolute
energy-use reduction within our owned portfolio (approximately
39% of all locations at the time) against our 2007 baseline by
2020. Thanks to efforts across the enterprise, we surpassed that
2020 goal in 2014.</t>
  </si>
  <si>
    <t>Internet Content</t>
  </si>
  <si>
    <t>- All GHG emissions neutralized by carbon offset projects (40 carbon offset projects since 2007)
- In 2018, matched 100% of the electricity consumption of global operations with renewable energy for the second consecutive year (Since 2011, reduced cumulative Scope 1 and 2 GHG emissions by 52% by procuring renewable energy)
- Since 2011, carbon intensity per unit of revenue has decreased by 86%</t>
  </si>
  <si>
    <t>Reduce absolute Scope 1 &amp;2 greenhouse gas emissions by 55% by 2030 vs. 2017
Reduce absolute Scope 3 greenhouse gas emissions by 18% by 2030 vs. 2017 
Achieve 100% renewable electricity by 2030 (currently at 2.3%)
Reduce waste sent to landfill by 25% by 2030 vs. 2017
 Achieve 100% water neutrality annually</t>
  </si>
  <si>
    <t>- $2 Billion Climate Pledge Fund to Invest in Companies Building Products, Services, and Technologies to Decarbonize the Economy and Protect the Planet
- $100 million Right Now Climate Fund that is investing in nature-based solutions and reforestation projects around the world, including a reforestation project in the Appalachians in the U.S. and an urban greening initiative in Berlin, Germany
-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
- Since 2015, has lowered the weight of outbound packaging by 33% and eliminated more than 880,000 tons of packaging material, the equivalent of 1.5 billion shipping boxes
- Making all Amazon shipments net zero carbon through Shipment Zero, with 50% of all shipments net zero carbon by 2030
- Deploying 100,000 electric delivery vehicles starting in 2021</t>
  </si>
  <si>
    <t>- https://news.theceomagazine.com/environment/amazon-pollution/
- https://press.aboutamazon.com/news-releases/news-release-details/amazon-announces-2-billion-climate-pledge-fund-invest-companies
- https://sustainability.aboutamazon.com/
- https://sustainability.aboutamazon.com/environment/sustainable-operations/carbon-footprint
- https://d39w7f4ix9f5s9.cloudfront.net/26/7f/e1693ffc45db88d839a4734b46e7/amazon-2018-carbon-footprint.pdf</t>
  </si>
  <si>
    <t>Credit Services</t>
  </si>
  <si>
    <t>- No initiatives worth mentioning- just nonspecific "investments" and "frameworks" for clients</t>
  </si>
  <si>
    <t>- Scope 1 is omitted for 2015-2018 because the figures were reported for UK operations only</t>
  </si>
  <si>
    <t>- Science based targets IN DEVELOPMENT
- Carbon neutral only for US, not global
- Investing over $100 million in energy-efficient technologies at the site level (e.g., transitioning to new lithium-ion batteries [LIBs] and LED lighting) and site-based green energy solutions (e.g., solar photovoltaic power generation)</t>
  </si>
  <si>
    <t>No Net 0 goal found</t>
  </si>
  <si>
    <t>-10% reduction in scope 1 emissions from base year (2012) by 2020- 119968
-20% reduction in scope 2 emissions form base year - 286679</t>
  </si>
  <si>
    <t>Electronics</t>
  </si>
  <si>
    <t>https://www.apple.com/environment/pdf/Apple_Environmental_Responsibility_Report_2019.pdf</t>
  </si>
  <si>
    <t>Telecom Services</t>
  </si>
  <si>
    <t>-Reducing absolute Scope 1 and Scope 2 greenhouse gas (GHG) emissions 26% by 2030, from a 2015 base year
- Virtualization of many network functions
- Transitioning to a low-emissions fleet
- Accelerating energy efficiency and network optimization efforts
- Expanding sustainable feature film and TV production
- Supporting the renewable energy marketplace through PPAs with renewable energy providers
- Investing in carbon offsets</t>
  </si>
  <si>
    <t>- https://about.att.com/csr/home/reporting/issue-brief/greenhouse-gas-emissions.html
-https://about.att.com/story/2020/att_carbon_neutral.html#:~:text=AT%26T%20has%20committed%20to%20be,30%20years%20into%20the%20future.</t>
  </si>
  <si>
    <t>- Reduced market-based emissions by 89% from 2010 to 2020, primarily by consolidating space, implementing energy-efficient projects, and puchasing renewable energy
- Purchased 1.8 million mWh of renewable electricity in 2018, which amounts to 91% of global energy use
- Installed on-site solar on offices, financial centers, and ATMs
- Reduced energy use by 40% from 2010 to 2020
- Reduced location-based emissions by 52% from 2010 to 2020, primarily as a result of the energy reductions achieved
- Maintain LEED certification for 25% of buildings globally</t>
  </si>
  <si>
    <t>Per third source, BofA does not calculate the Scope 3 emissions of its investments, which is a notable omission of their culpability in bankrolling the fossil fuel industry
"Carbon neutral" refers to their Scope 1 and 2 emissions</t>
  </si>
  <si>
    <t>- https://about.bankofamerica.com/en-us/global-impact/env-operations-detail.html#fbid=4M45J4eZdUh
- https://newsroom.bankofamerica.com/press-releases/environment/bank-america-achieves-carbon-neutrality
- https://about.bankofamerica.com/assets/pdf/Bank-of-America-2018-ESG-Performance-Data-Summary.pdf
- https://www.environmentalleader.com/2020/01/bank-of-america-announces-carbon-neutrality-one-year-ahead-of-schedule/</t>
  </si>
  <si>
    <t>No RE100 commitent</t>
  </si>
  <si>
    <t>Asset Management</t>
  </si>
  <si>
    <t>Target to reduce emissions per employee by 45% by 2020, reduced 33% as of 2018</t>
  </si>
  <si>
    <t>Aerospace </t>
  </si>
  <si>
    <t>-Boeing is working to achieve its environmental goals by 2025, which include reducing greenhouse gas emissions by 25%
- data available for relative decline in emissions, but not actual GHG emissions '
- partnership with suppliers for sustainable manufacture, but no concrete targets for what that means
- Reduce carbon emissions by 50% from 2017 by 2050</t>
  </si>
  <si>
    <t>Scope 3 includes business travel only</t>
  </si>
  <si>
    <t>-5% (absolute) or greater reduction of water and
greenhouse gas (GHG) emissions from
2015 baseline.</t>
  </si>
  <si>
    <t>- Green energy offsets, not emissions offsets</t>
  </si>
  <si>
    <t>Scope 3 emissions are non-exhaustive</t>
  </si>
  <si>
    <t>https://ir-capitalone.gcs-web.com/news-releases/news-release-details/capital-one-reports-fourth-quarter-2019-net-income-12-billion-or</t>
  </si>
  <si>
    <t>Machinery</t>
  </si>
  <si>
    <t>-GHG emissions intensity reduction goal is based on our
combined Scope 1 (direct) and Scope 2 (indirect, marketbased) GHG emissions using a 2006 baseline year. Likewise,
total absolute GHG emissions are a sum of Scope 1 and
Scope 2 (market-based) emissions.
-Targets based on GHG/Energy intensity</t>
  </si>
  <si>
    <t>Entertainment</t>
  </si>
  <si>
    <t>Oil and Gas</t>
  </si>
  <si>
    <t>-Significant player in trade associations that influence policy</t>
  </si>
  <si>
    <t>-Goal: Reduce total Cisco Scope 1 and 2 GHG
emissions worldwide by 60 percent absolute by
FY22 (FY07 baseline)
- Use electricity from renewable sources for 85% of electricity by FY22 (KPI tracked not clear/available)
-Date announced 2017</t>
  </si>
  <si>
    <t>Majority of Scope 3 emissions come from 'use of sold products'</t>
  </si>
  <si>
    <t>-Use policy arm to champion climate-poistive acitivies more broadly</t>
  </si>
  <si>
    <t>Calculates Scope 3 emissions from investments in select years</t>
  </si>
  <si>
    <t>Food &amp; Beverage</t>
  </si>
  <si>
    <t>-And this goal has proven a worthy ambition as we
managed to cut our carbon footprint by 24%
toward our target of a 25% reduction by the
end of 2020, against a 2010 baseline.
-Targets include plastic recycling</t>
  </si>
  <si>
    <t>Household &amp; Personal Products</t>
  </si>
  <si>
    <t>-Purhcase of renewable energy certificates/ offsets
-Currently at 28% renewable energy</t>
  </si>
  <si>
    <t>-Vague infomration about sustainability targets around renewables use and fleet emissions. No scope 1/2/3 information available or SBT</t>
  </si>
  <si>
    <t>- Scope 2 emissions are location-based for 2017 and 2016 because market-based data was not provided</t>
  </si>
  <si>
    <t>-Work with Climate leadership council and API climate working group to develop and implement US carbon tax design
- report includes ESG ratings from Sustainalytics, DJSI, Bloomberg, MSCI, and CDP</t>
  </si>
  <si>
    <t>- Net Zero includes Scopes 1 and 2</t>
  </si>
  <si>
    <t xml:space="preserve">-Vague </t>
  </si>
  <si>
    <t>- All Scope 2 figures are location-based because market-based data was not provided</t>
  </si>
  <si>
    <t>- Reduce aboslute scope 1 and 2 GHG by 36% from 2010 base by 2030</t>
  </si>
  <si>
    <t>Diagnostics</t>
  </si>
  <si>
    <t>- Country specific targets, not global effort for carbon neutrality
- Reports GHG emissions for Scope 1 and 2 but normalized by sales figures. Does not report absolute emissions</t>
  </si>
  <si>
    <t xml:space="preserve">-Incorporate carbon pricing into business planning and prioritizing capital projects
-Maintain scope 1 &amp;2 emissions below 2006 baseline (42.6 Million tonnes)
- Advocating for a circular economy
-Participate in world economic forum low carbon tech   </t>
  </si>
  <si>
    <t>- Scope 2 emissions are location-based</t>
  </si>
  <si>
    <t>- Enables participants of RE100 by providing RE sources
- 50% CO2 emissions by 2030
- Reports include methane and SF6 emissions in CO2 equivalents</t>
  </si>
  <si>
    <t>- Scope 3 emissions are non-exhaustive</t>
  </si>
  <si>
    <t>- The Grindsted, Denmark plant is 100% carbon neutral
- Reduce greenhouse gas (GHGs) emissions 30%,
including sourcing 60% of electricity from renewable energy
by 2030, and deliver carbon neutral operations by 2050
- Positions in various associations (i.e US chamber of commerce climate change task force, World business council for sustainable development, etc)</t>
  </si>
  <si>
    <t>- goals are vague but progress is being measured and communicated</t>
  </si>
  <si>
    <t>- Developed a universal integrated resouce efficiency metric based on thermodynamics to help policymakers measure efficiency raw materials/energy are used in production of product or service</t>
  </si>
  <si>
    <t>-Policy engagement through trade associations like American Gas association, Energy Storage Association</t>
  </si>
  <si>
    <t>-Targets around flaring, but not total GHG reduction targets
- Policy engagement through trade associations, lobbying, and employee political contributions (PAC)
- Large emphasis on development of algae biofuels and carbon capture technology but no measures on emissions offsets as a result of tech development</t>
  </si>
  <si>
    <t>-Policy engagement through coalitions like "We are Still In" and "Greenpeace's Clicking clean Initiative"
-No offset or Scope 3 data available- data difficult to find</t>
  </si>
  <si>
    <t>Logistics</t>
  </si>
  <si>
    <t>-Target reductions focus on intensity, not overall emissions (30% reduction in aircraft emissions intenisity by 2020 from 2005 baseline)
- Participants in renewable energy buyers alliance, electrification coalition, and other alliances to engage in policy</t>
  </si>
  <si>
    <t>Scope 3 is non-exhaustive
Scope 2 is location-based</t>
  </si>
  <si>
    <t>Automotive</t>
  </si>
  <si>
    <t xml:space="preserve">Y </t>
  </si>
  <si>
    <t>-- working with California on Clean Car standards starting in 2019</t>
  </si>
  <si>
    <t xml:space="preserve">- No clear informationon goals or emissions data available </t>
  </si>
  <si>
    <t>- Carbon neutral targets not company wide, only for wind, solar division operations. Now targeting carbon neutrality for all operations
- Engaged in policy, but vague on how or through what channels</t>
  </si>
  <si>
    <t>Scope 3 is non-exhaustive</t>
  </si>
  <si>
    <t>-Practicing green chemistry principles
- No policy arm specific to climate change/ carbon neutrality</t>
  </si>
  <si>
    <t>- founding member of Climate Leadership Council (CLC), advocating for a revenue-neutral carbon fee and dividend plan
- $2 billion in green operational investments to drive energy efficiency
- Aiming to reduce energy intensity by 20% by 2025 (from 2015 baseline)
- Certified 70 percent of offices to a green-building standard
- Committed all new construction to be LEED Gold-certified or equivalent
- Extend the green building certification of ISO 20121 standards to off-site events
-scope 3 just business travel</t>
  </si>
  <si>
    <t>- https://www.goldmansachs.com/what-we-do/sustainable-finance/documents/carbon-emissions-verification.pdf
- https://www.goldmansachs.com/what-we-do/sustainable-finance/documents/reports/2019-sustainability-report.pdf
- https://www.goldmansachs.com/citizenship/sustainability-reporting/esg-content/esg-report-2017.pdf
- https://www.goldmansachs.com/what-we-do/sustainable-finance/our-sustainability-journey/#:~:text=2009%3A%20Committing%20to%20Carbon%20Neutrality,neutral%20starting%20from%202015%20onwards.</t>
  </si>
  <si>
    <t>From 2018 baseline, 40% reduction by 2030 and 50% reduction by 2035</t>
  </si>
  <si>
    <t>- Investing in on-site solar
- Previous projects in energy efficiency (lighting, air conditioning) and supply and demand balancing on the grid</t>
  </si>
  <si>
    <t>- https://corporate.homedepot.com/responsibility/protecting-the-climate
- https://live-home-depot-corporate.pantheonsite.io/sites/default/files/2019_Responsibility%20Report_FINAL_Master_Update.png_.pdf
- https://corporate.homedepot.com/sites/default/files/pdfs/2018_ResponsibilityReport_FINAL_LRS.PDF
- https://corporate.homedepot.com/sites/default/files/image_gallery/PDFs/THD_Responsibility%20Report%202017.pdf
- https://corporate.homedepot.com/sites/default/files/THD_0039_2015_Sustainability_Report_Online_Nov_10.pdf</t>
  </si>
  <si>
    <t>Reduce emissions by an additional 10% per dollar of revenue from 2018 levels (no target date specified)</t>
  </si>
  <si>
    <t>-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
- Systematically replacing lighting at our sites with LED technologies - over 800 LED lighting projects for an annualized savings of $7.5 million, 37,000 metric tons CO2e and 250 BBTU
- Over 400 projects to systematically address air leaks, optimize compressed air usage, and upgrade equipment, saving an annualized $9.2 million, 45,500 metric tons CO2e and 300 BBTU
-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
- Largest sites are required to identify their significant energy use in line with ISO 50001, obtain an energy audit on an established cycle, train personnel on energy management, and track identified projects via our standard database</t>
  </si>
  <si>
    <t>- https://www.honeywell.com/content/dam/honeywell/files/Corporate_Citizenship_Report.pdf
- https://www.honeywell.com/content/dam/honeywell/files/Honeywell%20Greenhouse%20Gas%20Reporting%20Data-apr19.pdf</t>
  </si>
  <si>
    <t>Reduce emissions 40% from 2005 to 2025</t>
  </si>
  <si>
    <t>55% by 2025</t>
  </si>
  <si>
    <t>- Virtualized and decommissioned over 152,000 servers from 2015 to 2017, saving 245 gigawatthours of electricity and $32.1 million
- Optimizing the use of energy across our operations (implemented approximately 1,900 energy conservation projects at nearly 300 locations in 2018)
- Purchasing renewable electricity where it makes both business and environmental sense
- Designing energy-efficient products
- Providing services and solutions that support our clients’ efforts to improve their operational efficiency
and reduce their climate impacts</t>
  </si>
  <si>
    <t>- https://www.ibm.com/ibm/environment/annual/IBMEnvReport_2018.pdf
- https://www.ibm.com/ibm/environment/climate/ghg.shtml
- https://www.ibm.com/ibm/environment/annual/IBMEnvReport_2017.pdf
- https://www.ibm.com/ibm/environment/annual/IBMEnvReport_2016.pdf</t>
  </si>
  <si>
    <t>~1,400,000 Scope 1 + 2 by 2040 (in line with IPCC Reduction Target)</t>
  </si>
  <si>
    <t>2030 goals:
• Achieve 100% renewable energy use across our global manufacturing operations
• Conserve an additional 4 billion kWh of energy
• Drive an additional 10% reduction in our absolute Scope 1 and 2 carbon
emissions as we grow, informed by climate science
• Increase product energy efficiency 10x for Intel client and server microprocessors
to reduce our Scope 3 emissions
- Invested more than $145 million in energy-conservation projects (saving an estimated 3.19 billion kWh of energy)
- Installed more than 40 on-site projects that use solar, wind, fuel cell, and other alternative energy sources worldwide
- Remained the largest voluntary purchaser of green power in the United States
- Sustainability metrics tied to executive and employee performance since 2008
- Working on creating a carbon neutral PC / carbon neutral computing
- Policy engagement-collaborated with technology industry and EPA to influence  energy consumption targets for notebooks and desktop PCs</t>
  </si>
  <si>
    <t>- https://csrreportbuilder.intel.com/pdfbuilder/pdfs/CSR-2019-20-Full-Report.pdf
- http://csrreportbuilder.intel.com/pdfbuilder/pdfs/CSR-2018-Full-Report.pdf
- https://csrreportbuilder.intel.com/PDFfiles/CSR-2017_Full-Report.pdf
- https://csrreportbuilder.intel.com/PDFfiles/CSR-2016_Full-Report.pdf
- http://csrreportbuilder.intel.com/PDFfiles/CSR-2015_Full-Report.pdf</t>
  </si>
  <si>
    <t>Reduce Scope 1 + 2 emissions by 80% by 2050, from 2010 baseline
2010 Scope 1: 358,000
Scope 2: 898,000</t>
  </si>
  <si>
    <t>- Investing in energy efficiency programs through our CO2 Capital Relief Program
- Reduced Scope 1 and Scope 2 GHG emissions by 32% since 2010 (in 2019), exceeding 2020 target
- 13% of all built space is LEED certified
- Became founding members of the Renewable Energy Buyers Alliance (REBA) to advance a zero-carbon energy and secured four new PPAs totaling over 370,000 megawatt-hours (MWh) per year, and installed a 3.4 MW capacity windmill at Belgium chemical plant
- Aiming for 35% renewable energy by 2020</t>
  </si>
  <si>
    <t>Seems like somewhat of a laggard in terms of carbon reduction (not very ambitious goals or initiatives) but CDP has them on their A list (maybe that's just for their diclosure)
Scope 2 is location-based</t>
  </si>
  <si>
    <t>- https://healthforhumanityreport.jnj.com/environmental-health/climate-resilience
- https://www.jnj.com/_document/2017-health-for-humanity-report-johnson-johnson?id=0000016c-4ece-dd15-a37d-6feeda030000
- https://healthforhumanityreport.jnj.com/_document/health-for-humanity-2020-goals-scorecard?id=00000172-5b7e-d027-a1fa-fb7e9b460000</t>
  </si>
  <si>
    <t>- 100% renewable energy by 2020 through on-site renewable energy, PPAs, and RECs
- Created a dedicated risk team focused on climate
- Integrated climate-related risks into the processes the firm uses to identify, assess and review the most material risks to our business
- Evaluating stress testing approaches to deepen understanding of the relationship between climate change and financial impact to the firm
- Offset 100% of employee air and rail travel emissions in 2019
-joined Climate Leadership Council, which promotes a bipartisan roadmap for a revenue neutral carbon tax-and-dividend in the US
- Scope 3: + (just employee air travel)</t>
  </si>
  <si>
    <t>Scope 3 non-exhaustive</t>
  </si>
  <si>
    <t>- https://institute.jpmorganchase.com/content/dam/jpmc/jpmorgan-chase-and-co/documents/jpmc-cr-climate-report-2019.pdf
- https://www.jpmorganchase.com/corporate/news/pr/jpmorgan-chase-expands-commitment-to-low-carbon-economy-and-clean-energy.htm
- https://impact.jpmorganchase.com/content/dam/jpmc/jpmorgan-chase-and-co/documents/jpmc-cr-esg-report-2016.pdf
- https://about.jpmorganchase.com/content/dam/jpmc/jpmorgan-chase-and-co/documents/jpmc-cr-esg-report-2019.pdf</t>
  </si>
  <si>
    <t>-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t>
  </si>
  <si>
    <t>Planning to start measuring Scope 1 and 2 emissions starting in 2021</t>
  </si>
  <si>
    <t>- https://www.kindermorgan.com/WWWKM/media/Documents/2018_ESG_Report_1.pdf</t>
  </si>
  <si>
    <t>- 15% reduction in GHG emissions by 2020 from 2015 baseline
- Energy reduction initiatives
- Investing in renewable energy technology for our manufacturing plants
- Conducting a mapping of our direct supply chain of palm oil and soy to assess deforestation risks and develop action plans
- Having Kraft Heinz agronomists directly engage growers and farmers of key raw materials to enact best practices for environmental efficiencies, such as increased yields, optimization of fertilizer application, water conservation and an overall increase in crop resilience
- Joining the Science Based Targets Initiative to set science-based greenhouse gas emissions reduction goals in its supply chain
- Aiming to make 100 percent of our packaging globally recyclable, reusable or compostable by 2025</t>
  </si>
  <si>
    <t>2018 Scope 1 + 2 were not measured so 2019 data was used as a proxy</t>
  </si>
  <si>
    <t>-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
- https://www.cdp.net/en/formatted_responses/pages?locale=en&amp;organization_name=The+Kraft+Heinz+Company&amp;organization_number=58857&amp;program=Investor&amp;project_year=2017&amp;redirect=https%3A%2F%2Fwww.cdp.net%2Fsites%2F2017%2F57%2F58857%2FClimate+Change+2017%2FPages%2FDisclosureView.aspx</t>
  </si>
  <si>
    <t>~1995</t>
  </si>
  <si>
    <t>35% Scope 1 + 2 reduction from 2010 to 2020 (2010 Scope 1 + 2 emissions: 1,271,358)
70% reduction in emissions per $ gross profit from 2015 to 2030</t>
  </si>
  <si>
    <t>- Energy efficiency programs (25% reduction from 2010 to 2020), lighting upgrades, and other emissions reduction strategies
-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t>
  </si>
  <si>
    <t>Goals are mostly qualitative without many hard targets set
Goals were difficult to find</t>
  </si>
  <si>
    <t>- https://sustainability.lockheedmartin.com/sustainability/downloads/Lockheed_Martin_Sustainability_Report_Full_2019.pdf
- https://www.lockheedmartin.com/content/dam/lockheed-martin/eo/photo/sustainability/CDP%20CC%202019.pdf
- https://www.lockheedmartin.com/content/dam/lockheed-martin/eo/documents/sustainability/2018%20Lockheed%20Martin%20Sustainability%20Report%20and%20GHG%20Verification%20Assurance_Final_4.18.19.pdf
- https://www.lockheedmartin.com/content/dam/lockheed-martin/eo/documents/sustainability/Lockheed_Martin_Sustainability_Report_Full_2018.pdf
- https://www.lockheedmartin.com/content/dam/lockheed-martin/eo/documents/sustainability/Lockheed_Martin_Sustainability_Report_Full_2017.pdf
- https://www.lockheedmartin.com/content/dam/lockheed-martin/eo/documents/sustainability/sustainability-report-2016-web.pdf
- https://lockheedmartin.com/content/dam/lockheed-martin/eo/documents/sustainability/verification-2019.pdf
- Letters of assurance
- https://app.one-report.com/report/qgri_index.html?categoryid=1475&amp;qid=3861&amp;rid=ODQwMDMyNjU3&amp;arid=NDc0ODgwMTAx&amp;companyid=924&amp;year=2020
- https://www.lockheedmartin.com/content/dam/lockheed-martin/eo/photo/sustainability/CDP%20CC%202019.pdf</t>
  </si>
  <si>
    <t>40% reduction in Scope 1 + 2 from 2016 to 2030</t>
  </si>
  <si>
    <t>- Offered $34 million in discounts to customers who purchased energy efficient products
- Aim for 100% of our strategic suppliers to have sustainability goals by 2025
- By 2030, increase share of energy that is renewable
- Use a building management system (BMS) to maximize the efficiency of assets, such as lighting, HVAC and generators; leverage internal and third-party resources to calculate the performance of assets, inform retrofitting projects and improve energy use (99% of stores have BMS installed)
- LED lighting retrofit program
-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t>
  </si>
  <si>
    <t>- https://corporate.lowes.com/sites/lowes-corp/files/2020-07/Lowes_2019_FINAL_optimized.pdf
- https://corporate.lowes.com/sites/lowes-corp/files/CSR-reports/lowes-2018cr-report.pdf
- https://corporate.lowes.com/sites/lowes-corp/files/CSR-reports/Lowes_2017CRReport_FramingOurFuture.pdf</t>
  </si>
  <si>
    <t>20% reduction in Scope 1, 2 + 3 from 2016 to 2025</t>
  </si>
  <si>
    <t>- 100% renewable energy (currently 2% on-site solar, 11% directly procured renewable energy, and 87% RECs - working on installing on-site renewable energy to reduce reliance on RECs)
- 79% green-certified buildings
- Working directly with suppliers on climate initiatives to reduce Scope 3 emissions
- Launched the Priceless Planet Coalition, which encourage corporates to invest in energy-efficient workplaces and operations, source renewable energy and maintain sustainable supply chains to reduce carbon footprints</t>
  </si>
  <si>
    <t>First payments company to set an approved Science Based Target</t>
  </si>
  <si>
    <t>- https://www.mastercard.us/content/dam/mccom/global/aboutus/Sustainability/mastercard-sustainability-report-2018.pdf
- https://www.smart-energy.com/industry-sectors/policy-regulation/mastercard-unveils-priceless-planet-coalition-to-combat-climate-change/</t>
  </si>
  <si>
    <t>36% reduction from 2015 to 2030</t>
  </si>
  <si>
    <t>-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
- In collaboration with thousands of franchisees, suppliers and producers, McDonald’s will prioritize action on the largest segments of its carbon footprint: beef production, restaurant energy usage and sourcing, packaging and waste
- Goal of 31% reduction in emissions intensity (per metric ton of food and packaging) across our supply chain by 2030 from 2015 levels
- Working with farmers, ranchers, beef suppliers, and industry leaders to identify, magnify and share best practices on farming, grazing, and conservation, in ways that empower more producers to adopt sustainability practices
- Innovations and programs to promote energy efficiency and renewable energy. This includes equipment and building design innovation, energy monitoring, and crew training programs</t>
  </si>
  <si>
    <t>Beef, energy, and packaging are biggest drivers of environmental footprint</t>
  </si>
  <si>
    <t>- https://corporate.mcdonalds.com/corpmcd/scale-for-good/esg-reporting/progress-and-performance.html#3
- https://corporate.mcdonalds.com/corpmcd/scale-for-good/climate-action.html
- https://corporate.mcdonalds.com/content/dam/gwscorp/nfl/scale-for-good/McDonalds_CDP_Climate_Change_2018.pdf
- https://corporate.mcdonalds.com/content/dam/gwscorp/nfl/scale-for-good/CDP%20Climate%20Change_2017_McDonald%27s.pdf</t>
  </si>
  <si>
    <t>15% reduction in Scope 1 + 2 emissions from 2013 to 2020</t>
  </si>
  <si>
    <t>- Manufacturing facilities account for most of our energy consumption, water use, and waste generation. At those siteswe use management systems, based on the ISO 14001 and OHSAS 18001 standards, to track EHS performance
- Program to convert all Medtronic lighting to LED bulbs
- Optimization initiative focused on global building automation, HVAC, and compressed air systems
- Sourcing renewable grid electricity has been part of our energy strategy since 2007. In FY19, we sourced 22,000 MWh of renewable energy</t>
  </si>
  <si>
    <t>- https://www.medtronic.com/content/dam/medtronic-com/global/Corporate/citizenship/documents/2019-integrated-performance-report.pdf
- https://www.medtronic.com/content/dam/medtronic-com/global/Corporate/Documents/2018-integrated-performance-report.pdf
- https://www.medtronic.com/content/dam/medtronic-com/global/Corporate/Documents/integrated-performance-report.pdf
- https://www.medtronic.com/content/dam/medtronic-com/us-en/corporate/documents/17267.MED.Sustainability.Report_4_FINAL%20NOV%208.pdf</t>
  </si>
  <si>
    <t>40% Scope 1 + 2 reduction from 2015 to 2025</t>
  </si>
  <si>
    <t>2040 (not a RE100 signatory)</t>
  </si>
  <si>
    <t>- By 2025, we will reduce global Scope 1 and market-based Scope 2 GHG emissions by at least 40% from 2015 levels
- By 2025, at least 50% of our purchased electricity will come from renewable sources. By 2040, 100% of our purchased electricity will come from renewable sources
- Established an Energy Capital Fund of up to $12 million per year in order to transition to more energy-efficient technology
- Converted US Sales fleet vehicles to more fuel-efficient versions to increase average mpg from 22 to 28 from 2008 to 2018
- All new buildings are designed to be LEED Silver or higher
- Long-standing partnership with the U.S. EPA's ENERGY STAR® program, which provides a broad energy-management strategy</t>
  </si>
  <si>
    <t>- https://www.msdresponsibility.com/environmental-sustainability/
- https://www.msdresponsibility.com/environmental-sustainability/climate-change-energy-use/</t>
  </si>
  <si>
    <t>- Required all 103 suppliers to disclose their GHG emissions and emissions reduction activities publicly in 2019
- Supports third-party certified carbon reduction projects in markets where we operate around the world (reforestation in Mississippi, replacement of coal-fired stoves in China, conservation of Colombia rainforest)
- Capital improvement projects and facility upgrades for building efficiency, including lighting retrofits, chiller and boiler replacements, LED lighting systems, demand metering, and occupancy-sensor installations
- 25% of buildings are LEED certified
- Invested $18.3 billion in green investments such as renewable energy projectsa and RECs in 2019
-Policy- membership in environmental associations but not talking about active policy lobbying
- Scope 3 is business air travel only</t>
  </si>
  <si>
    <t>- first U.S. insurer to achieve carbon neutrality (2016)</t>
  </si>
  <si>
    <t>- https://www.metlife.com/sustainability/MetLife-sustainability/climate/energy-emissions/
- https://sustainabilityreport.metlife.com/content/dam/metlifecom/us/sustainability/pdf/report/2019/2019-sustainability-report.pdf</t>
  </si>
  <si>
    <t>- Implemented an internal carbon fee in 2012 to charge direct emissions and those of suppliers -- helps fund carbon emission reductions ($15/metric ton for Scope 3)
- Launching an initiative to use Microsoft technology to help our suppliers and customers around the world reduce their own carbon footprints
-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
- Will now make carbon reduction an explicit aspect of our procurement processes for supply chain
- Uses voice and advocacy supporting public policy that will accelerate carbon reduction and removal opportunities
- By 2050 Microsoft will remove from the environment all the carbon the company has emitted either directly or by electrical consumption since it was founded in 1975
-support policy for accelerating carbon reduction and removal</t>
  </si>
  <si>
    <t>- https://blogs.microsoft.com/blog/2020/01/16/microsoft-will-be-carbon-negative-by-2030/
- file:///C:/Users/pfedm/Downloads/Microsoft_2017_Environmental_Data_Factsheet.pdf
- https://query.prod.cms.rt.microsoft.com/cms/api/am/binary/RE3455q</t>
  </si>
  <si>
    <t>Reduce Scope 1, 2 + 3 emissions by 10% from 2018 to 2025</t>
  </si>
  <si>
    <t>- Reduced energy consumption by improving energy management systems and investing in energy efficient technologies in our factories
- Using low-carbon renewable energy sources
- In late 2015, our chocolate factory in Upplands Väsby, Sweden converted heavy oil burners to use waste vegetable oil instead, significantly reducing CO2 emissions while saving operating costs</t>
  </si>
  <si>
    <t>Poor reporting -- only links to CDP Disclosures</t>
  </si>
  <si>
    <t>- https://www.mondelezinternational.com/-/media/Mondelez/Snacking-Made-Right/Impact-Reporting/Measuring-Our-Progress/Additional-Resources-2/CDP-ClimateChange2019_Final.pdf
- https://www.mondelezinternational.com/-/media/Mondelez/PDFs/Mdlz-CDP-C_2018submission.pdf
- https://www.mondelezinternational.com/-/media/Mondelez/Snacking-Made-Right/Impact-Reporting/Measuring-Our-Progress/Additional-Resources-2/cdpclimate20162125.pdf
- https://www.mondelezinternational.com/~/media/MondelezCorporate/uploads/downloads/cdpClimate2017.pdf</t>
  </si>
  <si>
    <t>- Appointed a Chief Sustainability Officer for the first time in 2017</t>
  </si>
  <si>
    <t>- https://www.morganstanley.com/pub/content/dam/msdotcom/about-us/giving-back/sustainability-at-morgan-stanley/Morgan_Stanley_2018_CDP_Climate_Change_Response.pdf
- https://www.morganstanley.com/pub/content/dam/msdotcom/about-us/giving-back/sustainability-at-morgan-stanley/Morgan_Stanley_2019_CDP_Climate_Change_Response.pdf</t>
  </si>
  <si>
    <t>~50,000 MT CO2e is best guess for annual emissions. No reporting except to say that emissions were 300g / customer in 2014 and they have182.8 million subscribers today
Claim to use 100% renewable energy through the end of RECs</t>
  </si>
  <si>
    <t>- https://netflixtechblog.com/netflix-streaming-more-energy-efficient-than-breathing-57658d47b9fd
- https://b8f65cb373b1b7b15feb-c70d8ead6ced550b4d987d7c03fcdd1d.ssl.cf3.rackcdn.com/cms/reports/documents/000/002/891/original/CDP-US-Report-2017.pdf?1512668320</t>
  </si>
  <si>
    <t>-NextEra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t>
  </si>
  <si>
    <t>Used CO2e multipliers to convert CO2 and NO2 metrics into total CO2e</t>
  </si>
  <si>
    <t>- http://www.nexteraenergy.com/sustainability/overview/about-this-report/by-the-numbers.html</t>
  </si>
  <si>
    <t>Clothing</t>
  </si>
  <si>
    <t>25% Scope 1 + 2 reduction from 2015 to 2020 in key operations</t>
  </si>
  <si>
    <t>Yes - member of Oregon Business Alliance for Climate, which supports climate policy and a carbon price while investing in Oregon’s clean economy</t>
  </si>
  <si>
    <t>- Innovating and sourcing innovative, lower-impact materials
- Driving more energy efficiency in our operations and within our supply chain
- Increasing renewable energy use throughout our operations and encouraging broader adoption throughout our supply chain
- Collaborating with other organizations (corporate peers, government and NGOs) to scale impact and create better market conditions for clean energy
- Decrease energy use and CO2e emissions 25% per unit in key operations (inbound and outbound logistics, distribution centers, headquarter locations, finished goods manufacturing, and NIKE-owned retail) from FY15 to FY20</t>
  </si>
  <si>
    <t>- https://news.nike.com/news/nike-inc-reports-fiscal-2019-fourth-quarter-and-full-year-results
- https://s3-us-west-2.amazonaws.com/purpose-cms-production01/wp-content/uploads/2019/05/15172335/FY18-Nike-Impact-Report_Final.pdf
- https://purpose.nike.com/carbon-energy
- https://s3-us-west-2.amazonaws.com/purpose-cms-preprod01/wp-content/uploads/2020/04/10225416/FY19-Nike-Inc.-Impact-Report.pdf</t>
  </si>
  <si>
    <t>A 15 percent greenhouse gas reduction—normalized per employee—by FY20 from baseline year FY14</t>
  </si>
  <si>
    <t>65% by end of FY 2025</t>
  </si>
  <si>
    <t>- Planning to implement an energy management system, certified to ISO 50001, in FY21
- LEED Gold certification for our new Silicon Valley headquarters building
- Focus on siting expansions strategically, managing our operations efficiently, and sourcing low-carbon and renewable forms of energy
- Deployed state-of-the-art cooling technology designed for NVIDIA server products
- Data centers have also been deployed with white surfaces to optimize reflective lighting
- Controllable, high-efficiency LED lighting is installed where artificial lighting is needed</t>
  </si>
  <si>
    <t>- https://www.nvidia.com/content/dam/en-zz/Solutions/documents/FY2020-NVIDIA-CSR-Social-Responsibility.pdf
- https://images.nvidia.com/content/crr/2017/sustainability/pdf/2017-NVIDIA-Sustainability-Report-Final.pdf</t>
  </si>
  <si>
    <t>Planning to set 2030 GHG intensity targets later in 2020</t>
  </si>
  <si>
    <t>Y - through their own carbon capture</t>
  </si>
  <si>
    <t>-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
- A sensitivity analysis using a carbon price of $50 per metric ton is done for all projects above $5 million (increased from $40 per metric ton in 2018)
- Added an executive compensation metric related to the advancement of CCUS
- Aiming to end routine gas flaring by 2030</t>
  </si>
  <si>
    <t>- https://www.oxy.com/SocialResponsibility/overview/SiteAssets/Pages/Social-Responsibility-at-Oxy/Assets/Occidental-Climate-Report-2019.pdf
- https://www.oxy.com/SocialResponsibility/overview/SiteAssets/Pages/Social-Responsibility-at-Oxy/Assets/Oxy%202018%20CDP%20survey%20response.pdf
- https://www.oxy.com/SocialResponsibility/overview/SiteAssets/Pages/Social-Responsibility-at-Oxy/Assets/Occidental-CDP_Climate_Change_Questionnaire_2019.pdf
- https://www.oxy.com/SocialResponsibility/overview/SiteAssets/Pages/Social-Responsibility-at-Oxy/HTML/performance%20-%20Copy.html#climateChange1
- https://www.oxy.com/SocialResponsibility/overview/SiteAssets/Pages/Social-Responsibility-at-Oxy/Assets/CDP%202017%20Climate%20Programme%20Report-Occidental.pdf
- https://www.oxy.com/SocialResponsibility/overview/Pages/Performance.aspx#climateChange1</t>
  </si>
  <si>
    <t>26% reduction in Scope 1 + 2 from 2015 to 2025 (from 370,414 to 340,041 MTCO2e)
65% reduction by 2050</t>
  </si>
  <si>
    <t>- Increased renewable energy use and improved energy effciency
- Goal of 55% reduction in emissions per unit of energy consumed by 2025
- Investments in offering a 'Clean Cloud' for customers through energy efficiency and renewable energy</t>
  </si>
  <si>
    <t>- http://www.oracle.com/us/corporate/citizenship/cdp-climate-change-response-5181041.pdf
- https://www.oracle.com/corporate/citizenship/sustainability/operations.html
- http://www.oracle.com/us/corporate/citizenship/cdp-investor-survey-response-2017-3809919.pdf
- https://www.oracle.com/us/assets/oracle-corp-citizenship-report-3941904.pdf
- https://www.oracle.com/a/ocom/docs/sustainability-at-oracle.pdf</t>
  </si>
  <si>
    <t>Sort of -  joined the Renewable Energy Buyers Alliance (REBA) as a founding member to share best practices, build relationships, and gather insights into the latest corporate renewable energy procurement trends</t>
  </si>
  <si>
    <t>- Cross-functional environmental working group is identifying potential cost-effective emissions reductions activities and building an indirect emissions management strategy for our global supply chain
- Continue to transition to LED lighting around the globe, which has reduced energy use and operational costs across many of our offices worldwide
- Joined the United for the Paris Agreement coalition to reinforce our support for meeting the goals set forth in the global Agreement
- Made substantial progress advancing our environmental management system in alignment with global standards, including ISO 14001. We enhanced our data management systems, refined reporting processes, and empowered teams to better manage performance</t>
  </si>
  <si>
    <t>No reporting for 2016 and earlier
2017 and 2018 GHG emissions figures were revied in the 2019 report so the 2019 figures were used</t>
  </si>
  <si>
    <t>- https://www.paypalobjects.com/marketing/web/us/globalimpact/PayPal_2019_Global_Impact_Report_FINAL.pdf</t>
  </si>
  <si>
    <t>Scope 1 &amp; 2: Reduce absolute GHG emissions by at least 20% by 2030 from 2015 baseline</t>
  </si>
  <si>
    <t>- Scope 1 &amp; 2: Reduce absolute greenhouse gas (GHG) emissions by at least 20% by 2030 from 2015 baseline
- Scope 3: Reduce absolute greenhouse gas (GHG) emissions by at least 20% by 2030 from 2015 baseline
- Sustainable from the Start program helps our product development teams project and consider the environmental impact, carbon and water footprint, and packaging recyclability of a product</t>
  </si>
  <si>
    <t>- https://www.pepsico.com/docs/album/esg-topics-policies/cdp_climate_change_2017_information_request_pepsico_final_submission-2.pdf?sfvrsn=d0608346_6
- https://www.pepsico.com/docs/album/esg-topics-policies/2019-cdp-climate-response.pdf?sfvrsn=feb57a1a_4
- https://www.pepsico.com/docs/album/esg-topics-policies/2018-cdp-climate-response.pdf?sfvrsn=3d7c9d36_6
- https://www.pepsico.com/docs/album/sustainability-report/2019-csr/2019_sustainability_report_summary.pdf</t>
  </si>
  <si>
    <t>20% GHG reduction from 2012 to 2020; 60-80% (75%) reduction from 2000 to 2050
2012 Scope 1 + 2: 2,131,885
2000 Scope 1 + 2: 3,597,487</t>
  </si>
  <si>
    <t>- Reduce greenhouse gas (GHG) emissions by 20% by 2020 compared to a 2012 baseline, which keeps us on the trajectory to reduce our GHG footprint by 60%-80% by 2050 from a 2000 base year</t>
  </si>
  <si>
    <t>- https://pfe-pfizercom-prod.s3.amazonaws.com/responsibility/protecting_environment/Pfizer_2019_Climate_Change.pdf
- https://www.pfizer.com/sites/default/files/investors/financial_reports/annual_reports/2019/our-performance/key-performance-indicators/index.html
- https://www.pfizer.com/sites/default/files/investors/financial_reports/annual_reports/2019/assets/pfizer-2019-annual-review.pdf
- https://pfe-pfizercom-d8-prod.s3.amazonaws.com/2018_Pfizer_KPI_Dashboard.pdf
- https://www.cdp.net/en/formatted_responses/responses?campaign_id=66216852&amp;discloser_id=825472&amp;locale=en&amp;organization_name=Pfizer+Inc.&amp;organization_number=14683&amp;program=Investor&amp;project_year=2019&amp;redirect=https%3A%2F%2Fcdp.credit360.com%2Fsurveys%2F9hz110bc%2F50007&amp;survey_id=65670419</t>
  </si>
  <si>
    <t>From 2010 baseline, 30% reduction by 2020, 40% reduction by 2030, and 60% reduction by 2040
2010: Scope 1 - 443,186; Scope 2 - 470,864; Scope 3 - 7,435,000
Carbon neutral by 2030 for Scope 1 + 2 and by 2050 for Scopes 1, 2 + 3</t>
  </si>
  <si>
    <t>- Projects focused on energy-efficient buildings, fuel control in manufacturing, and LED lighting
- Internal carbon price of USD 17 per ton of CO2e in order to allocate capital for the best return in terms of carbon reduction and cost-effectiveness
- Vehicle maintenance, ongoing switch to hybrid and more fuel-effi cient vehicles, and eco-driving behavior
-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 Investments in more efficient curing and curing fuel</t>
  </si>
  <si>
    <t>- https://www.pmi.com/resources/docs/default-source/pmi-sustainability/pmi-sustainability-report-2018-low-res.pdf?sfvrsn=cada91b5_4
- https://www.pmi.com/docs/default-source/pmi-sustainability/pmi-sustainability-report-2017.pdf
- https://www.pmi.com/resources/docs/default-source/sustainability-reports-and-publications/pmi-sustainability-report-2018-highlights.pdf?sfvrsn=d4ef95b5_4</t>
  </si>
  <si>
    <t>30% Scope 1 + 2 reduction from 2010 to 2020
50% Scope 1 + 2 reduction from 2010 to 2030
2010 Scope 1 + 2: 5422275</t>
  </si>
  <si>
    <t>Yes -  joined the Climate Leadership Council (CLC), which advocates for a Carbon Dividends Program in the US</t>
  </si>
  <si>
    <t>- Reducing the intensity of greenhouse gas emissions (GHG) from our own operations through:
Driving energy efficiency measures throughout our facilities
Transitioning energy sources toward lower/zero carbon alternatives
Driving more energy-efficient modes of transporting finished products
- We will help consumers to reduce their own GHG emissions through the use of our products via:
Product and packaging innovations that enable more efficient consumer product use and energy consumption
Consumer education to reduce GHG emissions such as the benefits of using cold water for machine washing
- Work with partners across our value chain to ensure responsible sourcing of agricultural commodities that are known to be associated with deforestation risks (e.g. palm oil, wood pulp).
- Work with our suppliers to identify meaningful opportunities to reduce our Scope 3 emissions
- Internal Climate Council and Sustainability Leadership Council that meet quarterly to review sustainability initiatives
- Aim to reduce energy by 20% per unit of production by 2020</t>
  </si>
  <si>
    <t>- https://us.pg.com/policies-and-practices/environmental-policies-and-practices/
- https://assets.ctfassets.net/oggad6svuzkv/6mGPEJVwbe0cIe8ywg2IcA/986dee6a8445a56cfdd30f40f99afd02/Climate_change_perspective.pdf
- https://assets.ctfassets.net/oggad6svuzkv/4v6eZmhIcES0Ei4YKI0yWy/3f80032b9b6e9307752fa4b217d85e22/FY_17-18_P_G_Assurance_Statement-ASR_authorized.pdf
- https://downloads.ctfassets.net/oggad6svuzkv/5AXke1Str22EYkYkIyO8QE/c876f5bb05e568aa71e7c1819059c37c/citizenship_report_2019.pdf
- https://downloads.ctfassets.net/oggad6svuzkv/5AXke1Str22EYkYkIyO8QE/c876f5bb05e568aa71e7c1819059c37c/citizenship_report_2019.pdf
- https://downloads.ctfassets.net/oggad6svuzkv/325tJmPxGEWQOgc6eGskKy/b69cb86ada52cfe97e468daadf20b741/2017_Full_Citizenship_Report.pdf
- https://downloads.ctfassets.net/oggad6svuzkv/325tJmPxGEWQOgc6eGskKy/b69cb86ada52cfe97e468daadf20b741/2017_Full_Citizenship_Report.pdf
-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t>
  </si>
  <si>
    <t>30% reduction in Scope 1 + 2 from 2014 to 2025
2014 Scope 1 + 2: 230637</t>
  </si>
  <si>
    <t>- To date, we've reduced our GHG emissions by 17.9 percent, of which 5.8 percent is attributed to the purchase of renewable energy certificates (AP81RECs) and carbon offsets (do offsets and RECs through Natural Capital Partners)
- Own and operate several on-site solar generating systems in San Diego and Bangalore
- Promote the use of electric vehicles (EVs) by installing dozens of new EV charging stations at our campuses in San
Diego and Santa Clara, and give employees discounted electric rates at our owned Level 2 EV charging stations and free charging at Level 1 outlets in our garages
- Combined heat and power plants enable us to self-generate electricity to meet our site needs, while efficiently utilizing the waste heat to provide cooling to our headquarters’ buildings
-Scope 3: employee business air travel, business car rental and employee commuting)</t>
  </si>
  <si>
    <t>- https://www.qualcomm.com/media/documents/files/2019-qualcomm-sustainability-report.pdf
- https://www.qualcomm.com/media/documents/files/2017-qualcomm-sustainability-report.pdf
- https://www.cdp.net/en/formatted_responses/responses?campaign_id=66216852&amp;discloser_id=832614&amp;locale=en&amp;organization_name=QUALCOMM+Inc.&amp;organization_number=15419&amp;program=Investor&amp;project_year=2019&amp;redirect=https%3A%2F%2Fcdp.credit360.com%2Fsurveys%2F9hz110bc%2F49086&amp;survey_id=65670419</t>
  </si>
  <si>
    <t>None beyond 2020 goal of reducing Scope 1 + 2 emissions by 12% from 2015 baseline</t>
  </si>
  <si>
    <t>- Upgraded/optimized HVAC systems, installed energy-effi cient measures in our data centers and server rooms, and installed LED lighting while making other changes to building infrastructure and equipment
- We also monitor and track developments in alternative energy technologies, low-carbon energy solutions and other techniques for reducing greenhouse gas emissions</t>
  </si>
  <si>
    <t>Poor reporting, no carbon emissions reduction goals, and minimal initiatives beyond some basic energy efficiency projects</t>
  </si>
  <si>
    <t>- https://investors.rtx.com/static-files/f8a4c491-7745-4e82-be4e-807d6b0e995f
- https://www.raytheon.com/sites/default/files/2019-05/raytheon-crr-2018.pdf
- https://sdd-pdf.s3.amazonaws.com/report-pdfs/2017/60b417e473a9ae1f103146ff1b3954a9.pdf?AWSAccessKeyId=AKIAJZQ4KYD2D35QKCDA&amp;Expires=1594924661&amp;Signature=SguKZk1%2FdQ3x1HRRJy0UTofONhs%3D</t>
  </si>
  <si>
    <t>Reduce absolute Scope 1 and Scope 2 emissions by 50% from 2018 to 2030, and reduce Scope 3 emissions from fuel and energy related activities by 50% from 2018 to 2030</t>
  </si>
  <si>
    <t>- Avoid emissions by siting facilities on clean energy grids.
- Reduce ongoing projects throughout our operations with investments in green office spaces and improvements to data center efficiency.
- Mitigate and offset electricity consumption for years to come by signing virtual power purchase agreements.
- Commits that suppliers representing 60% of its scope 3 emissions, covering all upstream emission categories, will set science-based targets by 2024</t>
  </si>
  <si>
    <t>Net zero as of FY18 through carbon offsets (including Scope 3)
Scope 3 only includes business travel and employee commuting</t>
  </si>
  <si>
    <t>- https://www.salesforce.com/content/dam/web/en_us/www/documents/white-papers/sustainability-FY20-stakeholder-impact-report.pdf
- https://www.salesforce.com/content/dam/web/en_us/www/documents/reports/sustainability-FY19-stakeholder-impact-report.pdf
- https://www.salesforce.com/content/dam/web/en_us/www/documents/reports/sustainability-FY18-stakeholder-impact-report.pdf
- https://www.salesforce.com/content/dam/web/en_us/www/documents/datasheets/sfdc-fy17-stakeholder-impact.pdf</t>
  </si>
  <si>
    <t>- Sells CCUS services to clients</t>
  </si>
  <si>
    <t>- https://investorcenter.slb.com/news-releases/news-release-details/schlumberger-announces-full-year-and-fourth-quarter-2019-results#:~:text=Schlumberger%20CEO%20Olivier%20Le%20Peuch,achievement%20under%20these%20market%20conditions.
- https://www.slb.com/globalstewardship/pdf/Schlumberger_GlobalStewardship_2018.pdf
- https://www.slb.com/globalstewardship/pdf/Schlumberger_GlobalStewardship_2016.pdf
- https://www.slb.com/newsroom/press-release/2019/pr-2019-1219-slb-gs-sbti</t>
  </si>
  <si>
    <t>None stated</t>
  </si>
  <si>
    <t>-  Proprietary sustainability benchmarking tool for enclosed centers that allow us to better compare properties to improve the shopping center’s overall energy use
- Upgraded conventional lighting such as fluorescent and metal halide to energy-efficient LED lighting at over 200 properties over the last few years
- Investing in intelligent energy pilots of sensor-enabled LEDs in partnership with industry-leading companies such as GE and Acuity. Simon will further explore opportunities to install smart networks and sensors to optimize LED lighting both indoors and out
- Continuously assesses our portfolio to upgrade to more efficient equipment, such as Central Plant, Energy Management Systems, and HVAC replacements. Energy audits and retrocommissioning are the foundation of our energy efficiency programs
- Installing 3MW solar photovoltaic arrays at three regional malls and three Premium Outlets; completed roof-top solar and battery storage installations
- Expanding electric vehicle charging stations</t>
  </si>
  <si>
    <t>- https://simon-malls.cld.bz/Simon-Sustainability-Report-2019
- https://simon-malls.cld.bz/Simon-Sustainability-Report-2018
- https://simon-malls.cld.bz/Simon-Sustainability-Report-2016
- https://investors.simon.com/news-releases/news-release-details/simon-launches-bold-new-vision-sustainability</t>
  </si>
  <si>
    <t>50% emissions reduction from 2007 to 2030 (intermediary goal on path to net zero in 2050)
2007 Scopes 1 + 2: 156650362.8</t>
  </si>
  <si>
    <t>-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
- Invests in the research, development and deployment of new technologies, such as carbon capture, utilization and storage
- Policy engagement but focus on environmental policy unclear</t>
  </si>
  <si>
    <t>- https://s2.q4cdn.com/471677839/files/doc_financials/2019/annual/SO_2019_AR_Final.pdf
- https://www.southerncompany.com/content/dam/southern-company/pdf/corpresponsibility/The-Southern-Company-2018-CDP-Climate-Change-response.pdf
- https://www.southerncompany.com/content/dam/southern-company/pdf/corpresponsibility/CDP-Climate-Disclosure-2019.pdf
- https://www.southerncompany.com/corporate-responsibility/environment/air-and-climate.html
- https://www.southerncompany.com/content/dam/southern-company/pdf/corpresponsibility/2017_Corporate_Responsibility_Report.pdf
- https://www.southerncompany.com/content/dam/southern-company/pdf/reports/CarbonDisclosureReport2016.pdf
-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
- https://www.southerncompany.com/content/dam/southern-company/pdf/corpresponsibility/CDP-Climate-Disclosure-2020.pdf</t>
  </si>
  <si>
    <t>50% reduction in Scope 1, 2 + 3 from 2020 to 2030</t>
  </si>
  <si>
    <t>No target date</t>
  </si>
  <si>
    <t>- At the farm level, we have worked with Conservation International to include climate-smart agricultural practices as part of Coffee and Farmer Equity (C.A.F.E.) practices, our ethical Coffee buying guidelines
- Through the purchase of Renewable Energy Credits (RECs) we are able to offset 62% of our store emissions globally
- Expanding plant-based and environmentally friendly menu options (shifting consumers away from dairy to alternative milks)
- Shifting from single-use to reusable packaging
- Investing in innovative agricultural, water conservation and reforestation practices
- Looking for ways to better manage waste (including food waste) in stores and in communities
- Developing more eco-friendly operations, from stores to supply chain to manufacturing</t>
  </si>
  <si>
    <t>- https://www.starbucks.com/responsibility/environment/climate-change
- https://stories.starbucks.com/uploads/2020/01/Starbucks-Environmental-Baseline-Report.pdf
- https://stories.starbucks.com/stories/2020/5-things-to-know-about-starbucks-new-environmental-sustainability-commitment/
- https://fortune.com/2020/01/21/starbucks-carbon-footprint-dairy/</t>
  </si>
  <si>
    <t>30% reduction in Scope 1, 2 + 3 emissions from 2017 to 2030</t>
  </si>
  <si>
    <t>2030
60% by 2025</t>
  </si>
  <si>
    <t>- Committing 80 percent of our suppliers by spend to set science-based reduction targets on their Scope 1 and 2 emissions by 2023
- Partnership with the Apparel Impact Institute’s Clean by Design program, which is reducing the environmental impact of textile mills
- Plan to leverage the Vietnam Improvement Program in partnership with the International Finance Corporation as it increases factories’ energy and water efficiency
- Launching an electric vehicle programs
- Converting to LED lights
- Adopting renewable energy onsite and through PPAs</t>
  </si>
  <si>
    <t>- https://corporate.target.com/annual-reports/2019
- https://corporate.target.com/_media/TargetCorp/csr/pdf/2019_corporate_responsibility_report.pdf
- https://corporate.target.com/_media/targetcorp/csr/pdf/2016-corporate-social-responsibility-report.pdf
- https://corporate.target.com/_media/TargetCorp/csr/pdf/2018_corporate_responsibility_report.pdf
- https://corporate.target.com/_media/TargetCorp/csr/pdf/2015-Corporate-Social-Responsibility-Report.pdf</t>
  </si>
  <si>
    <t>None beyond 15% Scope 1 + 2 reduction from 2015 to 2020</t>
  </si>
  <si>
    <t>- Reducing energy use through improved building energy efficiency
- Reducing PFCs by using alternative gases and reusing chemicals
- Encouraging employees to use alternative forms of transportation to commute to work
- - but to PACs that support their "competitiveness," not environmental causes</t>
  </si>
  <si>
    <t>- https://www.ti.com/lit/ml/sszo049/sszo049.pdf?ts=1594900881760&amp;ref_url=https%253A%252F%252Fwww.google.com%252F
- https://www.ti.com/lit/ml/sszo011/sszo011.pdf?ts=1594900884309&amp;ref_url=https%253A%252F%252Fwww.google.com%252F</t>
  </si>
  <si>
    <t>-Reduce GHG emissions by 20% by 2025 from a 2018 base year
- maintain carbon neutrality commitment through 2025
-Offsets purchased for Scope 3 emissions
-Purchase of Renewable energy certifcates to offset non-renewable energy use</t>
  </si>
  <si>
    <t>By 2020, reduce net emissions by 50% compared to a 2012 baseline
2012 Scope 1 + 2: 1742927</t>
  </si>
  <si>
    <t>-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
- Operate our bus fleet at Walt Disney World using 50% renewable diesel fuel, while our film and TV productions are piloting electric generators on set
- Commuter assistance program for employees
- The Grand Central Creative Campus expansion in Glendale, CA received a Leadership in Energy and Environmental Design (LEED) Platinum certification. The 460-kilowatt solar photovoltaic installation on the parking garage provides 12% of the energy use for the new building</t>
  </si>
  <si>
    <t>- https://thewaltdisneycompany.com/environmental-sustainability/
- https://www.cdp.net/en/responses?page=2&amp;per_page=5&amp;queries%5Bname%5D=disney&amp;sort_by=project_year&amp;sort_dir=desc&amp;utf8=%E2%9C%93
-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t>
  </si>
  <si>
    <t>- Some investments in renewable energy projects like solar
- Some investments to make products that can be reused to reduce single use plastics</t>
  </si>
  <si>
    <t>- https://www.thermofisher.com/content/dam/LifeTech/global/CSR/2018%20CSR%20Report.pdf
- https://www.thermofisher.com/us/en/home/about-us/corporate-social-responsibility/environment/performance.html
- https://www.thermofisher.com/content/dam/LifeTech/Documents/PDFs/2018_Thermo_Fisher_Scientific_CDP_Report_2017reportingperiod.pdf</t>
  </si>
  <si>
    <t>N - partnered with environmnetal NGOs who lobby but not actively engaged in policy work</t>
  </si>
  <si>
    <t>- Committed to investing in technology that helps us identify fuel saving opportunities and increase locomotive productivity. For example, new software helps us predict potential locomotive failures
- Building longer trains, meaning fewer locomotives haul the same amount of freight, thus reducing emissions
- Purchased nearly 14,000 square yards of carbon neutral flooring, resulting in the retirement of 120 metric tons of carbon dioxide
- Scope 3 business travel</t>
  </si>
  <si>
    <t>- https://www.up.com/cs/groups/public/@uprr/@corprel/documents/up_pdf_nativedocs/pdf_up_2019_building_america_r.pdf
- https://www.up.com/cs/groups/public/@uprr/documents/up_pdf_nativedocs/pdf_up_build_america_rep_2017.pdf</t>
  </si>
  <si>
    <t>Healthcare Plans</t>
  </si>
  <si>
    <t>From 2017 baseline, 3% Scope 1 + 2 reduction by 2023</t>
  </si>
  <si>
    <t xml:space="preserve">- Goal is to decrease our environmental impact through energy conservation and renewable energy; incorporate energy efficiency and high-performance design during construction practices; and invest annually in energy efficiency projects to reduce carbon emissions
- Completed 20 funded sustainability projects including interior and exterior lighting upgrades and water reduction projects
- Maintained business operations in LEED-certified facilities (Leadership in Energy &amp; Environmental Design) totaling 2.1 million square feet
</t>
  </si>
  <si>
    <t>- https://www.unitedhealthgroup.com/viewer.html?file=%2Fcontent%2Fdam%2FUHG%2FPDF%2FAbout%2FUNH-Environmental-Impact-Statement.pdf
- https://www.unitedhealthgroup.com/what-we-do/performance-tables.html</t>
  </si>
  <si>
    <t>From 2015 baseline, 12% reduction in Scope 1 + 2 by 2025</t>
  </si>
  <si>
    <t>Y - participate in public policy forums, where we advocate for prudent innovation and investment
in new technologies and infrastructure development</t>
  </si>
  <si>
    <t>-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
- Expanding our fleet of alternative fuel and advanced technology vehicles, known as our rolling laboratory, in order to reduce the proportion of conventional fuels we use;
- Reducing conventional energy use and increasing the use of renewable energy in our facilities and alternative fuel in our fleet;
- Providing customers with services that help them reduce their environmental impact; and
- Helping increase supplier awareness about GHG emissions and how to reduce them</t>
  </si>
  <si>
    <t>- https://sustainability.ups.com/media/2018-gri-index.pdf
- https://sustainability.ups.com/media/GRI-Index-2017.pdf</t>
  </si>
  <si>
    <t>1968?</t>
  </si>
  <si>
    <t>From 2014 baseline, 40% reduction by 2029 and 60% reduction by 2044
2014 Scope 1 + 2: 415211</t>
  </si>
  <si>
    <t>- In 2019 alone, U.S. Bank committed more than $1.2 billion to finance over 2.2 gigawatts of renewable energy projects throughout the U.S.
- To date, we have 26 LEED certified branches and are continuing to follow sustainable principles in the design of our new facilities with plans to maintain this focus in the future
- Partnerships with CERES, GRID Alternatives, and Earthwatch Ignite Program -- environmental NGOs -- to better understand environmental issues and identify solutions
- We will continue to evaluate opportunities to invest in products and practices that reduce our dependence on energy in areas such as facilities, equipment, operations and business travel</t>
  </si>
  <si>
    <t>- https://www.usbank.com/about-us-bank/community/sustainability.html
- https://www.usbank.com/about-us-bank/community/sustainability/environment-initiatives.html
- https://www.usbank.com/dam/documents/pdf/about-us-bank/community/sustainability/USBank-2019-CDP.pdf
- https://www.usbank.com/dam/documents/pdf/about-us-bank/community/sustainability/USBank-2017-CDP-Report_v2.pdf
- https://www.usbank.com/dam/documents/pdf/about-us-bank/community/sustainability/Environmental-Responsibility-Policy-2019.pdf
- https://www.cdp.net/en/formatted_responses/responses?campaign_id=66216852&amp;discloser_id=824883&amp;locale=en&amp;organization_name=U.S.+Bancorp&amp;organization_number=19593&amp;program=Investor&amp;project_year=2019&amp;redirect=https%3A%2F%2Fcdp.credit360.com%2Fsurveys%2F9hz110bc%2F54190&amp;survey_id=65670419</t>
  </si>
  <si>
    <t>Updated scope3 in 2018</t>
  </si>
  <si>
    <t>50% by 2025</t>
  </si>
  <si>
    <t>- A 28% Carbon Intensity reduction since 2016 with the goal set for a 50% carbon intensity reduction by 2025
- A green energy initiative which has offset 20,000 metric tons of CO2
- A 2025 commitment to source renewable energy equivalent to 50% of Verizon's total electricity usage
- Carbon abatement will enable customers to also reduce their carbon footprint
- 278 ENERGY STAR-certified buildings and 22 onsite renewable energy installations
- 28,000 Green Team employees in 44 countries
- Two million trees planted by 2030 with more than 700,000 planted already</t>
  </si>
  <si>
    <t>Scope 1 and 2 emissions</t>
  </si>
  <si>
    <t>- https://www.verizon.com/about/news/verizon-goes-carbon-neutral-2035
- https://www.verizon.com/about/sites/default/files/corporate-responsibility-report/2018/environment/emissions.html
- https://www.verizon.com/about/sites/default/files/esg-report/2019/environmental/our-emissions-by-scope.html</t>
  </si>
  <si>
    <t>- Green building design (64% LEED certified)
- Energy efficiency (lighting upgrades and motion sensors)
- Efficient electronics policy that mandates at least 90 percent of new electronics in our largest corporate campus offices meet either ENERGY STAR or EPACT certification standards
- Progress towards our commitment to purchase 100 percent renewable electricity
- Use mechanical cooling
- Reduce refrigerant use
- Decomission underutilized servers
- Commuter benefits and other incentives to encourage sustainable employee behavior</t>
  </si>
  <si>
    <t>Included purchased goods and services and employee commuting for first time in 2018 Scope 3 reporting</t>
  </si>
  <si>
    <t>- https://s1.q4cdn.com/050606653/files/doc_financials/2019/q4/Visa-Inc.-Q4-2019-Financial-Results.pdf
- https://usa.visa.com/dam/VCOM/download/corporate-responsibility/visa-2018-corporate-responsibility-report.pdf
- https://usa.visa.com/dam/VCOM/download/corporate-responsibility/visa-2017-corporate-responsibility-report.pdf</t>
  </si>
  <si>
    <t xml:space="preserve"> </t>
  </si>
  <si>
    <t>-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t>
  </si>
  <si>
    <t>- https://www.walgreensbootsalliance.com/corporate-social-responsibility/resource-library
- https://www.walgreensbootsalliance.com/corporate-social-responsibility/csr-report-archive</t>
  </si>
  <si>
    <t>18% reduction from 2015 to 2025</t>
  </si>
  <si>
    <t>Membership and participation but seemingly little advocacy - Renewable Energy Buyers Alliance, Paris and Bonn Negotiations, We Are Still In</t>
  </si>
  <si>
    <t>-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
- 50% renewable energy by 2025
- In FY2017, Walmart and the Walmart Foundation pledged $25 million in cash and in-kind donations to support disaster preparedness and relief through 2020
- Improving the performance of our refrigeration systems
- Maximizing the sustainability of our fleet</t>
  </si>
  <si>
    <t>First retailer to announce a science-based target to reduce greenhouse gases in alignment with the Paris Agreement
Has not reported emissions for 2018 or 2019</t>
  </si>
  <si>
    <t>- https://corporate.walmart.com/media-library/document/2019-environmental-social-governance-report/_proxyDocument?id=0000016c-20b5-d46a-afff-f5bdafd30000
- https://ilsr.org/wp-content/uploads/2012/04/topten-walmartsustainability.pdf</t>
  </si>
  <si>
    <t>45% + reduction from 2008 Scope 1, 2 + business air travel emissions (2008 total: 1,953,466)</t>
  </si>
  <si>
    <t>N - renewable energy RECs though</t>
  </si>
  <si>
    <t>- Continue to purchase renewable electricity to meet 100% of our global operations needs (purchased RECs)
- Transition to long-term agreements that fund new sources of green power by 2020
- Sustain or increase our 45% reduction in greenhouse gas emissions from 2008 levels
- Reduce energy consumption 40% (2008 to 2020)
- Achieve LEED® status for 35% of buildings (by square footage in leased and owned buildings)
- Provide $200 billion in financing to sustainable businesses and projects (2018-2030) with more than 50 percent focused on clean technology and renewable energy transactions that directly support the transition to a low-carbon economy</t>
  </si>
  <si>
    <t>- https://www08.wellsfargomedia.com/assets/pdf/about/corporate-responsibility/gri-environmental-indicators.pdf
- https://www08.wellsfargomedia.com/assets/pdf/about/corporate-responsibility/verification-statement.pdf
- https://www08.wellsfargomedia.com/assets/pdf/about/corporate-responsibility/climate-change-issue-brief.pdf
- https://www08.wellsfargomedia.com/assets/pdf/about/corporate-responsibility/climate-change-information-request.pdf
- https://www08.wellsfargomedia.com/assets/pdf/about/corporate-responsibility/2015-social-responsibility-report.pdf</t>
  </si>
  <si>
    <t>no_scope3</t>
  </si>
  <si>
    <t>scope_3</t>
  </si>
  <si>
    <t>no_net_0</t>
  </si>
  <si>
    <t>net_0</t>
  </si>
  <si>
    <t>no_science_based</t>
  </si>
  <si>
    <t>science_based</t>
  </si>
  <si>
    <t>no_re100</t>
  </si>
  <si>
    <t>re100</t>
  </si>
  <si>
    <t>under_perf</t>
  </si>
  <si>
    <t>over_perf</t>
  </si>
  <si>
    <t>%under_perf</t>
  </si>
  <si>
    <t>TOTAL</t>
  </si>
  <si>
    <t>Ctrl1</t>
  </si>
  <si>
    <t>Ctrl2</t>
  </si>
  <si>
    <t>Ctrl3</t>
  </si>
  <si>
    <t>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</si>
</sst>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_);_(* \(#,##0\);_(* &quot;-&quot;??_);_(@_)"/>
    <numFmt numFmtId="165" formatCode="_(* #,##0.00_);_(* \(#,##0.00\);_(* &quot;-&quot;??_);_(@_)"/>
    <numFmt numFmtId="166" formatCode="0.0%"/>
    <numFmt numFmtId="167" formatCode="&quot;$&quot;#,##0"/>
    <numFmt numFmtId="168" formatCode="&quot;$&quot;#,##0_);[Red]\(&quot;$&quot;#,##0\)"/>
  </numFmts>
  <fonts count="17">
    <font>
      <sz val="10.0"/>
      <color rgb="FF000000"/>
      <name val="Arial"/>
    </font>
    <font>
      <sz val="11.0"/>
      <color theme="1"/>
      <name val="Arial"/>
    </font>
    <font>
      <sz val="11.0"/>
      <color theme="1"/>
    </font>
    <font>
      <sz val="7.0"/>
      <color rgb="FF000000"/>
      <name val="Arial"/>
    </font>
    <font>
      <b/>
      <sz val="11.0"/>
      <color theme="1"/>
      <name val="Arial"/>
    </font>
    <font>
      <sz val="7.0"/>
      <color theme="1"/>
      <name val="Arial"/>
    </font>
    <font>
      <color theme="1"/>
      <name val="Arial"/>
    </font>
    <font>
      <sz val="10.0"/>
      <color theme="1"/>
      <name val="Arimo"/>
    </font>
    <font>
      <b/>
      <sz val="10.0"/>
      <color rgb="FF000000"/>
      <name val="Arial"/>
    </font>
    <font>
      <i/>
      <sz val="10.0"/>
      <color rgb="FF000000"/>
      <name val="Arial"/>
    </font>
    <font>
      <u/>
      <sz val="10.0"/>
      <color theme="10"/>
      <name val="Arial"/>
    </font>
    <font>
      <sz val="10.0"/>
      <color rgb="FFFF0000"/>
      <name val="Arial"/>
    </font>
    <font>
      <b/>
      <sz val="10.0"/>
      <color theme="1"/>
      <name val="Arial"/>
    </font>
    <font>
      <sz val="24.0"/>
      <color rgb="FF000000"/>
      <name val="Calibri"/>
    </font>
    <font>
      <sz val="24.0"/>
      <color rgb="FF000000"/>
      <name val="Arial"/>
    </font>
    <font>
      <sz val="24.0"/>
      <color rgb="FF4D5156"/>
      <name val="Arial"/>
    </font>
    <font>
      <sz val="24.0"/>
      <color rgb="FF333333"/>
      <name val="Arial"/>
    </font>
  </fonts>
  <fills count="14">
    <fill>
      <patternFill patternType="none"/>
    </fill>
    <fill>
      <patternFill patternType="lightGray"/>
    </fill>
    <fill>
      <patternFill patternType="solid">
        <fgColor rgb="FFD9F1F3"/>
        <bgColor rgb="FFD9F1F3"/>
      </patternFill>
    </fill>
    <fill>
      <patternFill patternType="solid">
        <fgColor rgb="FFFDE49A"/>
        <bgColor rgb="FFFDE49A"/>
      </patternFill>
    </fill>
    <fill>
      <patternFill patternType="solid">
        <fgColor rgb="FFFCD668"/>
        <bgColor rgb="FFFCD668"/>
      </patternFill>
    </fill>
    <fill>
      <patternFill patternType="solid">
        <fgColor rgb="FFDDEBF7"/>
        <bgColor rgb="FFDDEBF7"/>
      </patternFill>
    </fill>
    <fill>
      <patternFill patternType="solid">
        <fgColor rgb="FFE2EFDA"/>
        <bgColor rgb="FFE2EFDA"/>
      </patternFill>
    </fill>
    <fill>
      <patternFill patternType="solid">
        <fgColor rgb="FFFFF2CC"/>
        <bgColor rgb="FFFFF2CC"/>
      </patternFill>
    </fill>
    <fill>
      <patternFill patternType="solid">
        <fgColor rgb="FFD6DCE4"/>
        <bgColor rgb="FFD6DCE4"/>
      </patternFill>
    </fill>
    <fill>
      <patternFill patternType="solid">
        <fgColor rgb="FFFCE4D6"/>
        <bgColor rgb="FFFCE4D6"/>
      </patternFill>
    </fill>
    <fill>
      <patternFill patternType="solid">
        <fgColor rgb="FF8FD7DC"/>
        <bgColor rgb="FF8FD7DC"/>
      </patternFill>
    </fill>
    <fill>
      <patternFill patternType="solid">
        <fgColor rgb="FFF2F2F2"/>
        <bgColor rgb="FFF2F2F2"/>
      </patternFill>
    </fill>
    <fill>
      <patternFill patternType="solid">
        <fgColor rgb="FFD9E6FC"/>
        <bgColor rgb="FFD9E6FC"/>
      </patternFill>
    </fill>
    <fill>
      <patternFill patternType="solid">
        <fgColor rgb="FFBC8D03"/>
        <bgColor rgb="FFBC8D03"/>
      </patternFill>
    </fill>
  </fills>
  <borders count="3">
    <border/>
    <border>
      <left/>
      <right/>
      <top/>
      <bottom/>
    </border>
    <border>
      <left/>
      <right/>
      <top style="thin">
        <color rgb="FF8DB5F8"/>
      </top>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Font="1"/>
    <xf borderId="0" fillId="0" fontId="3" numFmtId="0" xfId="0" applyAlignment="1" applyFont="1">
      <alignment horizontal="center"/>
    </xf>
    <xf borderId="0" fillId="0" fontId="3" numFmtId="0" xfId="0" applyFont="1"/>
    <xf borderId="0" fillId="0" fontId="3" numFmtId="1" xfId="0" applyAlignment="1" applyFont="1" applyNumberFormat="1">
      <alignment horizontal="center"/>
    </xf>
    <xf borderId="0" fillId="0" fontId="4" numFmtId="0" xfId="0" applyFont="1"/>
    <xf borderId="0" fillId="0" fontId="5" numFmtId="0" xfId="0" applyAlignment="1" applyFont="1">
      <alignment horizontal="center"/>
    </xf>
    <xf borderId="0" fillId="0" fontId="0" numFmtId="0" xfId="0" applyFont="1"/>
    <xf borderId="0" fillId="0" fontId="6" numFmtId="0" xfId="0" applyFont="1"/>
    <xf borderId="0" fillId="0" fontId="7" numFmtId="0" xfId="0" applyAlignment="1" applyFont="1">
      <alignment vertical="center"/>
    </xf>
    <xf borderId="0" fillId="0" fontId="3" numFmtId="164" xfId="0" applyAlignment="1" applyFont="1" applyNumberFormat="1">
      <alignment horizontal="center"/>
    </xf>
    <xf borderId="0" fillId="0" fontId="6" numFmtId="0" xfId="0" applyFont="1"/>
    <xf borderId="0" fillId="0" fontId="0" numFmtId="9" xfId="0" applyFont="1" applyNumberFormat="1"/>
    <xf borderId="1" fillId="2" fontId="3" numFmtId="0" xfId="0" applyBorder="1" applyFill="1" applyFont="1"/>
    <xf borderId="0" fillId="0" fontId="3" numFmtId="0" xfId="0" applyFont="1"/>
    <xf borderId="1" fillId="3" fontId="3" numFmtId="0" xfId="0" applyAlignment="1" applyBorder="1" applyFill="1" applyFont="1">
      <alignment horizontal="center"/>
    </xf>
    <xf borderId="1" fillId="2" fontId="3" numFmtId="0" xfId="0" applyAlignment="1" applyBorder="1" applyFont="1">
      <alignment horizontal="center"/>
    </xf>
    <xf borderId="0" fillId="0" fontId="3" numFmtId="0" xfId="0" applyAlignment="1" applyFont="1">
      <alignment horizontal="center"/>
    </xf>
    <xf borderId="0" fillId="0" fontId="3" numFmtId="1" xfId="0" applyAlignment="1" applyFont="1" applyNumberFormat="1">
      <alignment horizontal="center"/>
    </xf>
    <xf borderId="0" fillId="0" fontId="0" numFmtId="0" xfId="0" applyAlignment="1" applyFont="1">
      <alignment horizontal="center"/>
    </xf>
    <xf borderId="0" fillId="0" fontId="0" numFmtId="0" xfId="0" applyFont="1"/>
    <xf borderId="1" fillId="2" fontId="0" numFmtId="0" xfId="0" applyBorder="1" applyFont="1"/>
    <xf borderId="0" fillId="0" fontId="3" numFmtId="164" xfId="0" applyAlignment="1" applyFont="1" applyNumberFormat="1">
      <alignment horizontal="center"/>
    </xf>
    <xf borderId="1" fillId="2" fontId="0" numFmtId="0" xfId="0" applyAlignment="1" applyBorder="1" applyFont="1">
      <alignment shrinkToFit="0" wrapText="1"/>
    </xf>
    <xf borderId="1" fillId="2" fontId="0" numFmtId="164" xfId="0" applyAlignment="1" applyBorder="1" applyFont="1" applyNumberFormat="1">
      <alignment horizontal="center" shrinkToFit="0" wrapText="1"/>
    </xf>
    <xf borderId="1" fillId="2" fontId="0" numFmtId="164" xfId="0" applyAlignment="1" applyBorder="1" applyFont="1" applyNumberFormat="1">
      <alignment horizontal="center"/>
    </xf>
    <xf borderId="0" fillId="0" fontId="0" numFmtId="164" xfId="0" applyAlignment="1" applyFont="1" applyNumberFormat="1">
      <alignment horizontal="center"/>
    </xf>
    <xf borderId="0" fillId="0" fontId="3" numFmtId="165" xfId="0" applyAlignment="1" applyFont="1" applyNumberFormat="1">
      <alignment horizontal="center"/>
    </xf>
    <xf borderId="0" fillId="0" fontId="3" numFmtId="164" xfId="0" applyFont="1" applyNumberFormat="1"/>
    <xf borderId="0" fillId="0" fontId="3" numFmtId="165" xfId="0" applyFont="1" applyNumberFormat="1"/>
    <xf borderId="0" fillId="0" fontId="3" numFmtId="166" xfId="0" applyFont="1" applyNumberFormat="1"/>
    <xf borderId="0" fillId="0" fontId="0" numFmtId="164" xfId="0" applyFont="1" applyNumberFormat="1"/>
    <xf borderId="0" fillId="0" fontId="0" numFmtId="165" xfId="0" applyFont="1" applyNumberFormat="1"/>
    <xf borderId="0" fillId="0" fontId="0" numFmtId="166" xfId="0" applyFont="1" applyNumberFormat="1"/>
    <xf borderId="1" fillId="4" fontId="3" numFmtId="166" xfId="0" applyBorder="1" applyFill="1" applyFont="1" applyNumberFormat="1"/>
    <xf borderId="0" fillId="0" fontId="8" numFmtId="0" xfId="0" applyAlignment="1" applyFont="1">
      <alignment shrinkToFit="0" wrapText="1"/>
    </xf>
    <xf borderId="0" fillId="0" fontId="8" numFmtId="1" xfId="0" applyAlignment="1" applyFont="1" applyNumberFormat="1">
      <alignment shrinkToFit="0" wrapText="1"/>
    </xf>
    <xf borderId="1" fillId="5" fontId="8" numFmtId="0" xfId="0" applyAlignment="1" applyBorder="1" applyFill="1" applyFont="1">
      <alignment shrinkToFit="0" wrapText="1"/>
    </xf>
    <xf borderId="1" fillId="6" fontId="8" numFmtId="0" xfId="0" applyAlignment="1" applyBorder="1" applyFill="1" applyFont="1">
      <alignment shrinkToFit="0" wrapText="1"/>
    </xf>
    <xf borderId="1" fillId="7" fontId="8" numFmtId="0" xfId="0" applyAlignment="1" applyBorder="1" applyFill="1" applyFont="1">
      <alignment shrinkToFit="0" wrapText="1"/>
    </xf>
    <xf borderId="1" fillId="8" fontId="8" numFmtId="0" xfId="0" applyAlignment="1" applyBorder="1" applyFill="1" applyFont="1">
      <alignment shrinkToFit="0" wrapText="1"/>
    </xf>
    <xf borderId="1" fillId="9" fontId="8" numFmtId="0" xfId="0" applyAlignment="1" applyBorder="1" applyFill="1" applyFont="1">
      <alignment shrinkToFit="0" wrapText="1"/>
    </xf>
    <xf borderId="0" fillId="0" fontId="8" numFmtId="0" xfId="0" applyFont="1"/>
    <xf borderId="0" fillId="0" fontId="8" numFmtId="0" xfId="0" applyAlignment="1" applyFont="1">
      <alignment vertical="top"/>
    </xf>
    <xf borderId="0" fillId="0" fontId="0" numFmtId="167" xfId="0" applyFont="1" applyNumberFormat="1"/>
    <xf borderId="0" fillId="0" fontId="0" numFmtId="166" xfId="0" applyAlignment="1" applyFont="1" applyNumberFormat="1">
      <alignment horizontal="center"/>
    </xf>
    <xf borderId="0" fillId="0" fontId="0" numFmtId="1" xfId="0" applyFont="1" applyNumberFormat="1"/>
    <xf borderId="0" fillId="0" fontId="0" numFmtId="3" xfId="0" applyAlignment="1" applyFont="1" applyNumberFormat="1">
      <alignment shrinkToFit="0" wrapText="1"/>
    </xf>
    <xf borderId="0" fillId="0" fontId="0" numFmtId="164" xfId="0" applyAlignment="1" applyFont="1" applyNumberFormat="1">
      <alignment shrinkToFit="0" wrapText="1"/>
    </xf>
    <xf quotePrefix="1" borderId="0" fillId="0" fontId="0" numFmtId="0" xfId="0" applyAlignment="1" applyFont="1">
      <alignment shrinkToFit="0" wrapText="1"/>
    </xf>
    <xf borderId="0" fillId="0" fontId="9" numFmtId="0" xfId="0" applyFont="1"/>
    <xf borderId="0" fillId="0" fontId="0" numFmtId="168" xfId="0" applyFont="1" applyNumberFormat="1"/>
    <xf quotePrefix="1" borderId="0" fillId="0" fontId="0" numFmtId="0" xfId="0" applyFont="1"/>
    <xf borderId="1" fillId="10" fontId="0" numFmtId="164" xfId="0" applyAlignment="1" applyBorder="1" applyFill="1" applyFont="1" applyNumberFormat="1">
      <alignment shrinkToFit="0" wrapText="1"/>
    </xf>
    <xf borderId="0" fillId="0" fontId="0" numFmtId="3" xfId="0" applyFont="1" applyNumberFormat="1"/>
    <xf borderId="0" fillId="0" fontId="0" numFmtId="0" xfId="0" applyAlignment="1" applyFont="1">
      <alignment shrinkToFit="0" wrapText="1"/>
    </xf>
    <xf borderId="1" fillId="10" fontId="0" numFmtId="0" xfId="0" applyBorder="1" applyFont="1"/>
    <xf borderId="0" fillId="0" fontId="10" numFmtId="0" xfId="0" applyAlignment="1" applyFont="1">
      <alignment shrinkToFit="0" wrapText="1"/>
    </xf>
    <xf borderId="0" fillId="0" fontId="0" numFmtId="49" xfId="0" applyFont="1" applyNumberFormat="1"/>
    <xf borderId="0" fillId="0" fontId="0" numFmtId="166" xfId="0" applyAlignment="1" applyFont="1" applyNumberFormat="1">
      <alignment shrinkToFit="0" wrapText="1"/>
    </xf>
    <xf borderId="0" fillId="0" fontId="11" numFmtId="0" xfId="0" applyFont="1"/>
    <xf borderId="1" fillId="11" fontId="8" numFmtId="0" xfId="0" applyAlignment="1" applyBorder="1" applyFill="1" applyFont="1">
      <alignment horizontal="center"/>
    </xf>
    <xf borderId="1" fillId="11" fontId="8" numFmtId="0" xfId="0" applyBorder="1" applyFont="1"/>
    <xf borderId="1" fillId="11" fontId="8" numFmtId="166" xfId="0" applyAlignment="1" applyBorder="1" applyFont="1" applyNumberFormat="1">
      <alignment horizontal="center"/>
    </xf>
    <xf borderId="0" fillId="0" fontId="0" numFmtId="0" xfId="0" applyAlignment="1" applyFont="1">
      <alignment horizontal="left"/>
    </xf>
    <xf borderId="2" fillId="12" fontId="12" numFmtId="0" xfId="0" applyAlignment="1" applyBorder="1" applyFill="1" applyFont="1">
      <alignment horizontal="left"/>
    </xf>
    <xf borderId="2" fillId="12" fontId="12" numFmtId="0" xfId="0" applyAlignment="1" applyBorder="1" applyFont="1">
      <alignment horizontal="center"/>
    </xf>
    <xf borderId="2" fillId="12" fontId="12" numFmtId="166" xfId="0" applyAlignment="1" applyBorder="1" applyFont="1" applyNumberFormat="1">
      <alignment horizontal="center"/>
    </xf>
    <xf borderId="0" fillId="0" fontId="13" numFmtId="0" xfId="0" applyFont="1"/>
    <xf borderId="0" fillId="0" fontId="14" numFmtId="0" xfId="0" applyFont="1"/>
    <xf borderId="0" fillId="0" fontId="15" numFmtId="0" xfId="0" applyFont="1"/>
    <xf borderId="1" fillId="13" fontId="16" numFmtId="0" xfId="0" applyBorder="1" applyFill="1" applyFont="1"/>
    <xf borderId="1" fillId="13" fontId="14" numFmtId="0" xfId="0" applyBorder="1" applyFont="1"/>
    <xf borderId="0" fillId="0" fontId="16"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2">
    <tableStyle count="3" pivot="0" name="target_data-style">
      <tableStyleElement dxfId="1" type="headerRow"/>
      <tableStyleElement dxfId="2" type="firstRowStripe"/>
      <tableStyleElement dxfId="2" type="secondRowStripe"/>
    </tableStyle>
    <tableStyle count="3" pivot="0" name="fundamental_data-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V192" displayName="Table_1" id="1">
  <tableColumns count="22">
    <tableColumn name="company_name" id="1"/>
    <tableColumn name="Column1" id="2"/>
    <tableColumn name="company_id" id="3"/>
    <tableColumn name="target_type" id="4"/>
    <tableColumn name="intensity_metric_original" id="5"/>
    <tableColumn name="intensity_metric" id="6"/>
    <tableColumn name="scope" id="7"/>
    <tableColumn name="coverate_original" id="8"/>
    <tableColumn name="coverage_s1" id="9"/>
    <tableColumn name="coverage_s2" id="10"/>
    <tableColumn name="coverage_s3" id="11"/>
    <tableColumn name="reduction_ambition_original" id="12"/>
    <tableColumn name="reduction_ambition" id="13"/>
    <tableColumn name="base_year" id="14"/>
    <tableColumn name="end_year" id="15"/>
    <tableColumn name="start_year" id="16"/>
    <tableColumn name="base_year_emissions_target" id="17"/>
    <tableColumn name="base_year_ghg_s1" id="18"/>
    <tableColumn name="base_year_ghg_s2" id="19"/>
    <tableColumn name="base_year_ghg_s3" id="20"/>
    <tableColumn name="achieved_reduction_original" id="21"/>
    <tableColumn name="achieved_reduction" id="22"/>
  </tableColumns>
  <tableStyleInfo name="target_data-style" showColumnStripes="0" showFirstColumn="1" showLastColumn="1" showRowStripes="1"/>
</table>
</file>

<file path=xl/tables/table2.xml><?xml version="1.0" encoding="utf-8"?>
<table xmlns="http://schemas.openxmlformats.org/spreadsheetml/2006/main" ref="A1:T101" displayName="Table_2" id="2">
  <tableColumns count="20">
    <tableColumn name="company_name" id="1"/>
    <tableColumn name="company_id" id="2"/>
    <tableColumn name="isic" id="3"/>
    <tableColumn name="country" id="4"/>
    <tableColumn name="region" id="5"/>
    <tableColumn name="industry_level_1" id="6"/>
    <tableColumn name="industry_level_2" id="7"/>
    <tableColumn name="industry_level_3" id="8"/>
    <tableColumn name="industry_level_4" id="9"/>
    <tableColumn name="sector" id="10"/>
    <tableColumn name="ghg_s1" id="11"/>
    <tableColumn name="ghg_s2_loc" id="12"/>
    <tableColumn name="ghg_s2_mkt" id="13"/>
    <tableColumn name="ghg_s1s2" id="14"/>
    <tableColumn name="ghg_s3" id="15"/>
    <tableColumn name="company_revenue" id="16"/>
    <tableColumn name="company_market_cap" id="17"/>
    <tableColumn name="company_enterprise_value" id="18"/>
    <tableColumn name="company_total_assets" id="19"/>
    <tableColumn name="company_cash_equivalents" id="20"/>
  </tableColumns>
  <tableStyleInfo name="fundamental_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s://ir-capitalone.gcs-web.com/news-releases/news-release-details/capital-one-reports-fourth-quarter-2019-net-income-12-billion-or"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13" width="10.71"/>
    <col customWidth="1" min="14" max="14" width="12.14"/>
    <col customWidth="1" min="15" max="15" width="11.43"/>
    <col customWidth="1" min="16" max="20" width="21.0"/>
    <col customWidth="1" min="21" max="21" width="19.86"/>
    <col customWidth="1" min="22" max="22" width="20.43"/>
    <col customWidth="1" min="23" max="23" width="9.14"/>
    <col customWidth="1" min="24" max="26" width="8.71"/>
  </cols>
  <sheetData>
    <row r="1" ht="14.25" customHeight="1">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3"/>
      <c r="X1" s="3"/>
      <c r="Y1" s="3"/>
      <c r="Z1" s="3"/>
    </row>
    <row r="2" ht="14.25" customHeight="1">
      <c r="A2" s="4" t="s">
        <v>22</v>
      </c>
      <c r="B2" s="4">
        <v>1.0</v>
      </c>
      <c r="C2" s="1" t="s">
        <v>23</v>
      </c>
      <c r="D2" s="4" t="s">
        <v>24</v>
      </c>
      <c r="E2" s="5" t="s">
        <v>25</v>
      </c>
      <c r="F2" s="1"/>
      <c r="G2" s="4" t="s">
        <v>26</v>
      </c>
      <c r="H2" s="4">
        <v>100.0</v>
      </c>
      <c r="I2" s="4">
        <v>1.0</v>
      </c>
      <c r="J2" s="4">
        <v>1.0</v>
      </c>
      <c r="K2" s="4">
        <v>0.0</v>
      </c>
      <c r="L2" s="4">
        <v>50.0</v>
      </c>
      <c r="M2" s="4">
        <v>0.5</v>
      </c>
      <c r="N2" s="6">
        <v>2002.0</v>
      </c>
      <c r="O2" s="4">
        <v>2025.0</v>
      </c>
      <c r="P2" s="4">
        <v>2015.0</v>
      </c>
      <c r="Q2" s="4">
        <v>1.83E7</v>
      </c>
      <c r="R2" s="4">
        <v>9150000.0</v>
      </c>
      <c r="S2" s="4">
        <v>9150000.0</v>
      </c>
      <c r="T2" s="4">
        <v>0.0</v>
      </c>
      <c r="U2" s="5">
        <v>136.28415300546447</v>
      </c>
      <c r="V2" s="5">
        <v>1.3628415300546448</v>
      </c>
      <c r="W2" s="3"/>
      <c r="X2" s="3"/>
      <c r="Y2" s="3"/>
      <c r="Z2" s="3"/>
    </row>
    <row r="3" ht="14.25" customHeight="1">
      <c r="A3" s="4"/>
      <c r="B3" s="4"/>
      <c r="C3" s="1"/>
      <c r="D3" s="4"/>
      <c r="E3" s="5"/>
      <c r="F3" s="1"/>
      <c r="G3" s="4"/>
      <c r="H3" s="4"/>
      <c r="I3" s="4"/>
      <c r="J3" s="4"/>
      <c r="K3" s="4"/>
      <c r="L3" s="4"/>
      <c r="M3" s="4"/>
      <c r="N3" s="6"/>
      <c r="O3" s="4"/>
      <c r="P3" s="4"/>
      <c r="Q3" s="4"/>
      <c r="R3" s="4"/>
      <c r="S3" s="4"/>
      <c r="T3" s="4"/>
      <c r="U3" s="5"/>
      <c r="V3" s="5"/>
      <c r="W3" s="7"/>
      <c r="X3" s="3"/>
      <c r="Y3" s="3"/>
      <c r="Z3" s="3"/>
    </row>
    <row r="4" ht="14.25" customHeight="1">
      <c r="A4" s="4"/>
      <c r="B4" s="4"/>
      <c r="C4" s="1"/>
      <c r="D4" s="4"/>
      <c r="E4" s="5"/>
      <c r="F4" s="1"/>
      <c r="G4" s="4"/>
      <c r="H4" s="4"/>
      <c r="I4" s="4"/>
      <c r="J4" s="4"/>
      <c r="K4" s="4"/>
      <c r="L4" s="4"/>
      <c r="M4" s="4"/>
      <c r="N4" s="6"/>
      <c r="O4" s="4"/>
      <c r="P4" s="4"/>
      <c r="Q4" s="4"/>
      <c r="R4" s="4"/>
      <c r="S4" s="4"/>
      <c r="T4" s="4"/>
      <c r="U4" s="5"/>
      <c r="V4" s="5"/>
      <c r="W4" s="3"/>
      <c r="X4" s="3"/>
      <c r="Y4" s="3"/>
      <c r="Z4" s="3"/>
    </row>
    <row r="5" ht="14.25" customHeight="1">
      <c r="A5" s="4"/>
      <c r="B5" s="4"/>
      <c r="C5" s="1"/>
      <c r="D5" s="4"/>
      <c r="E5" s="5"/>
      <c r="F5" s="1"/>
      <c r="G5" s="4"/>
      <c r="H5" s="4"/>
      <c r="I5" s="4"/>
      <c r="J5" s="4"/>
      <c r="K5" s="4"/>
      <c r="L5" s="4"/>
      <c r="M5" s="4"/>
      <c r="N5" s="6"/>
      <c r="O5" s="4"/>
      <c r="P5" s="4"/>
      <c r="Q5" s="4"/>
      <c r="R5" s="4"/>
      <c r="S5" s="4"/>
      <c r="T5" s="4"/>
      <c r="U5" s="5"/>
      <c r="V5" s="5"/>
      <c r="W5" s="3"/>
      <c r="X5" s="3"/>
      <c r="Y5" s="3"/>
      <c r="Z5" s="3"/>
    </row>
    <row r="6" ht="14.25" customHeight="1">
      <c r="A6" s="4"/>
      <c r="B6" s="4"/>
      <c r="C6" s="1"/>
      <c r="D6" s="4"/>
      <c r="E6" s="5"/>
      <c r="F6" s="1"/>
      <c r="G6" s="4"/>
      <c r="H6" s="4"/>
      <c r="I6" s="4"/>
      <c r="J6" s="4"/>
      <c r="K6" s="4"/>
      <c r="L6" s="4"/>
      <c r="M6" s="4"/>
      <c r="N6" s="6"/>
      <c r="O6" s="4"/>
      <c r="P6" s="4"/>
      <c r="Q6" s="4"/>
      <c r="R6" s="4"/>
      <c r="S6" s="4"/>
      <c r="T6" s="4"/>
      <c r="U6" s="5"/>
      <c r="V6" s="5"/>
      <c r="W6" s="3"/>
      <c r="X6" s="3"/>
      <c r="Y6" s="3"/>
      <c r="Z6" s="3"/>
    </row>
    <row r="7" ht="14.25" customHeight="1">
      <c r="A7" s="4"/>
      <c r="B7" s="4"/>
      <c r="C7" s="1"/>
      <c r="D7" s="4"/>
      <c r="E7" s="5"/>
      <c r="F7" s="1"/>
      <c r="G7" s="4"/>
      <c r="H7" s="4"/>
      <c r="I7" s="4"/>
      <c r="J7" s="4"/>
      <c r="K7" s="4"/>
      <c r="L7" s="4"/>
      <c r="M7" s="4"/>
      <c r="N7" s="6"/>
      <c r="O7" s="4"/>
      <c r="P7" s="4"/>
      <c r="Q7" s="4"/>
      <c r="R7" s="4"/>
      <c r="S7" s="4"/>
      <c r="T7" s="4"/>
      <c r="U7" s="5"/>
      <c r="V7" s="5"/>
      <c r="W7" s="3"/>
      <c r="X7" s="3"/>
      <c r="Y7" s="3"/>
      <c r="Z7" s="3"/>
    </row>
    <row r="8" ht="14.25" customHeight="1">
      <c r="A8" s="4"/>
      <c r="B8" s="4"/>
      <c r="C8" s="1"/>
      <c r="D8" s="4"/>
      <c r="E8" s="5"/>
      <c r="F8" s="1"/>
      <c r="G8" s="4"/>
      <c r="H8" s="4"/>
      <c r="I8" s="4"/>
      <c r="J8" s="4"/>
      <c r="K8" s="4"/>
      <c r="L8" s="4"/>
      <c r="M8" s="4"/>
      <c r="N8" s="6"/>
      <c r="O8" s="4"/>
      <c r="P8" s="4"/>
      <c r="Q8" s="4"/>
      <c r="R8" s="4"/>
      <c r="S8" s="4"/>
      <c r="T8" s="4"/>
      <c r="U8" s="5"/>
      <c r="V8" s="5"/>
      <c r="W8" s="3"/>
      <c r="X8" s="3"/>
      <c r="Y8" s="3"/>
      <c r="Z8" s="3"/>
    </row>
    <row r="9" ht="14.25" customHeight="1">
      <c r="A9" s="4"/>
      <c r="B9" s="4"/>
      <c r="C9" s="1"/>
      <c r="D9" s="4"/>
      <c r="E9" s="5"/>
      <c r="F9" s="1"/>
      <c r="G9" s="4"/>
      <c r="H9" s="4"/>
      <c r="I9" s="4"/>
      <c r="J9" s="4"/>
      <c r="K9" s="4"/>
      <c r="L9" s="4"/>
      <c r="M9" s="4"/>
      <c r="N9" s="6"/>
      <c r="O9" s="4"/>
      <c r="P9" s="4"/>
      <c r="Q9" s="4"/>
      <c r="R9" s="4"/>
      <c r="S9" s="4"/>
      <c r="T9" s="4"/>
      <c r="U9" s="5"/>
      <c r="V9" s="5"/>
      <c r="W9" s="3"/>
      <c r="X9" s="3"/>
      <c r="Y9" s="3"/>
      <c r="Z9" s="3"/>
    </row>
    <row r="10" ht="14.25" customHeight="1">
      <c r="A10" s="4"/>
      <c r="B10" s="4"/>
      <c r="C10" s="1"/>
      <c r="D10" s="4"/>
      <c r="E10" s="5"/>
      <c r="F10" s="1"/>
      <c r="G10" s="4"/>
      <c r="H10" s="4"/>
      <c r="I10" s="4"/>
      <c r="J10" s="4"/>
      <c r="K10" s="4"/>
      <c r="L10" s="4"/>
      <c r="M10" s="4"/>
      <c r="N10" s="6"/>
      <c r="O10" s="4"/>
      <c r="P10" s="4"/>
      <c r="Q10" s="4"/>
      <c r="R10" s="4"/>
      <c r="S10" s="4"/>
      <c r="T10" s="4"/>
      <c r="U10" s="5"/>
      <c r="V10" s="5"/>
      <c r="W10" s="3"/>
      <c r="X10" s="3"/>
      <c r="Y10" s="3"/>
      <c r="Z10" s="3"/>
    </row>
    <row r="11" ht="14.25" customHeight="1">
      <c r="A11" s="4"/>
      <c r="B11" s="4"/>
      <c r="C11" s="1"/>
      <c r="D11" s="4"/>
      <c r="E11" s="5"/>
      <c r="F11" s="1"/>
      <c r="G11" s="4"/>
      <c r="H11" s="4"/>
      <c r="I11" s="4"/>
      <c r="J11" s="4"/>
      <c r="K11" s="4"/>
      <c r="L11" s="4"/>
      <c r="M11" s="4"/>
      <c r="N11" s="6"/>
      <c r="O11" s="4"/>
      <c r="P11" s="4"/>
      <c r="Q11" s="4"/>
      <c r="R11" s="4"/>
      <c r="S11" s="4"/>
      <c r="T11" s="4"/>
      <c r="U11" s="5"/>
      <c r="V11" s="5"/>
      <c r="W11" s="3"/>
      <c r="X11" s="3"/>
      <c r="Y11" s="3"/>
      <c r="Z11" s="3"/>
    </row>
    <row r="12" ht="14.25" customHeight="1">
      <c r="A12" s="4"/>
      <c r="B12" s="4"/>
      <c r="C12" s="1"/>
      <c r="D12" s="4"/>
      <c r="E12" s="5"/>
      <c r="F12" s="1"/>
      <c r="G12" s="4"/>
      <c r="H12" s="4"/>
      <c r="I12" s="4"/>
      <c r="J12" s="4"/>
      <c r="K12" s="4"/>
      <c r="L12" s="4"/>
      <c r="M12" s="4"/>
      <c r="N12" s="6"/>
      <c r="O12" s="4"/>
      <c r="P12" s="4"/>
      <c r="Q12" s="4"/>
      <c r="R12" s="4"/>
      <c r="S12" s="4"/>
      <c r="T12" s="4"/>
      <c r="U12" s="5"/>
      <c r="V12" s="5"/>
      <c r="W12" s="3"/>
      <c r="X12" s="3"/>
      <c r="Y12" s="3"/>
      <c r="Z12" s="3"/>
    </row>
    <row r="13" ht="14.25" customHeight="1">
      <c r="A13" s="4"/>
      <c r="B13" s="4"/>
      <c r="C13" s="1"/>
      <c r="D13" s="4"/>
      <c r="E13" s="5"/>
      <c r="F13" s="1"/>
      <c r="G13" s="4"/>
      <c r="H13" s="4"/>
      <c r="I13" s="4"/>
      <c r="J13" s="4"/>
      <c r="K13" s="4"/>
      <c r="L13" s="4"/>
      <c r="M13" s="4"/>
      <c r="N13" s="6"/>
      <c r="O13" s="4"/>
      <c r="P13" s="4"/>
      <c r="Q13" s="4"/>
      <c r="R13" s="4"/>
      <c r="S13" s="4"/>
      <c r="T13" s="4"/>
      <c r="U13" s="5"/>
      <c r="V13" s="5"/>
      <c r="W13" s="3"/>
      <c r="X13" s="3"/>
      <c r="Y13" s="3"/>
      <c r="Z13" s="3"/>
    </row>
    <row r="14" ht="14.25" customHeight="1">
      <c r="A14" s="4"/>
      <c r="B14" s="4"/>
      <c r="C14" s="1"/>
      <c r="D14" s="4"/>
      <c r="E14" s="5"/>
      <c r="F14" s="1"/>
      <c r="G14" s="4"/>
      <c r="H14" s="4"/>
      <c r="I14" s="4"/>
      <c r="J14" s="4"/>
      <c r="K14" s="4"/>
      <c r="L14" s="4"/>
      <c r="M14" s="4"/>
      <c r="N14" s="6"/>
      <c r="O14" s="4"/>
      <c r="P14" s="4"/>
      <c r="Q14" s="4"/>
      <c r="R14" s="4"/>
      <c r="S14" s="4"/>
      <c r="T14" s="4"/>
      <c r="U14" s="5"/>
      <c r="V14" s="5"/>
      <c r="W14" s="3"/>
      <c r="X14" s="3"/>
      <c r="Y14" s="3"/>
      <c r="Z14" s="3"/>
    </row>
    <row r="15" ht="14.25" customHeight="1">
      <c r="A15" s="4"/>
      <c r="B15" s="4"/>
      <c r="C15" s="1"/>
      <c r="D15" s="4"/>
      <c r="E15" s="5"/>
      <c r="F15" s="1"/>
      <c r="G15" s="4"/>
      <c r="H15" s="4"/>
      <c r="I15" s="4"/>
      <c r="J15" s="4"/>
      <c r="K15" s="4"/>
      <c r="L15" s="4"/>
      <c r="M15" s="4"/>
      <c r="N15" s="6"/>
      <c r="O15" s="4"/>
      <c r="P15" s="4"/>
      <c r="Q15" s="4"/>
      <c r="R15" s="4"/>
      <c r="S15" s="4"/>
      <c r="T15" s="4"/>
      <c r="U15" s="5"/>
      <c r="V15" s="5"/>
      <c r="W15" s="3"/>
      <c r="X15" s="3"/>
      <c r="Y15" s="3"/>
      <c r="Z15" s="3"/>
    </row>
    <row r="16" ht="14.25" customHeight="1">
      <c r="A16" s="4"/>
      <c r="B16" s="4"/>
      <c r="C16" s="1"/>
      <c r="D16" s="4"/>
      <c r="E16" s="5"/>
      <c r="F16" s="1"/>
      <c r="G16" s="4"/>
      <c r="H16" s="4"/>
      <c r="I16" s="4"/>
      <c r="J16" s="4"/>
      <c r="K16" s="4"/>
      <c r="L16" s="4"/>
      <c r="M16" s="4"/>
      <c r="N16" s="6"/>
      <c r="O16" s="4"/>
      <c r="P16" s="4"/>
      <c r="Q16" s="4"/>
      <c r="R16" s="4"/>
      <c r="S16" s="4"/>
      <c r="T16" s="4"/>
      <c r="U16" s="5"/>
      <c r="V16" s="5"/>
      <c r="W16" s="3"/>
      <c r="X16" s="3"/>
      <c r="Y16" s="3"/>
      <c r="Z16" s="3"/>
    </row>
    <row r="17" ht="14.25" customHeight="1">
      <c r="A17" s="4"/>
      <c r="B17" s="4"/>
      <c r="C17" s="1"/>
      <c r="D17" s="4"/>
      <c r="E17" s="5"/>
      <c r="F17" s="1"/>
      <c r="G17" s="4"/>
      <c r="H17" s="4"/>
      <c r="I17" s="4"/>
      <c r="J17" s="4"/>
      <c r="K17" s="4"/>
      <c r="L17" s="4"/>
      <c r="M17" s="4"/>
      <c r="N17" s="6"/>
      <c r="O17" s="4"/>
      <c r="P17" s="4"/>
      <c r="Q17" s="4"/>
      <c r="R17" s="4"/>
      <c r="S17" s="4"/>
      <c r="T17" s="4"/>
      <c r="U17" s="5"/>
      <c r="V17" s="5"/>
      <c r="W17" s="3"/>
      <c r="X17" s="3"/>
      <c r="Y17" s="3"/>
      <c r="Z17" s="3"/>
    </row>
    <row r="18" ht="14.25" customHeight="1">
      <c r="A18" s="4"/>
      <c r="B18" s="4"/>
      <c r="C18" s="1"/>
      <c r="D18" s="4"/>
      <c r="E18" s="5"/>
      <c r="F18" s="1"/>
      <c r="G18" s="4"/>
      <c r="H18" s="4"/>
      <c r="I18" s="4"/>
      <c r="J18" s="4"/>
      <c r="K18" s="4"/>
      <c r="L18" s="4"/>
      <c r="M18" s="4"/>
      <c r="N18" s="6"/>
      <c r="O18" s="4"/>
      <c r="P18" s="4"/>
      <c r="Q18" s="4"/>
      <c r="R18" s="4"/>
      <c r="S18" s="4"/>
      <c r="T18" s="4"/>
      <c r="U18" s="5"/>
      <c r="V18" s="5"/>
      <c r="W18" s="3"/>
      <c r="X18" s="3"/>
      <c r="Y18" s="3"/>
      <c r="Z18" s="3"/>
    </row>
    <row r="19" ht="14.25" customHeight="1">
      <c r="A19" s="4"/>
      <c r="B19" s="4"/>
      <c r="C19" s="1"/>
      <c r="D19" s="4"/>
      <c r="E19" s="5"/>
      <c r="F19" s="1"/>
      <c r="G19" s="4"/>
      <c r="H19" s="4"/>
      <c r="I19" s="4"/>
      <c r="J19" s="4"/>
      <c r="K19" s="4"/>
      <c r="L19" s="4"/>
      <c r="M19" s="4"/>
      <c r="N19" s="6"/>
      <c r="O19" s="4"/>
      <c r="P19" s="4"/>
      <c r="Q19" s="4"/>
      <c r="R19" s="4"/>
      <c r="S19" s="4"/>
      <c r="T19" s="4"/>
      <c r="U19" s="5"/>
      <c r="V19" s="5"/>
      <c r="W19" s="3"/>
      <c r="X19" s="3"/>
      <c r="Y19" s="3"/>
      <c r="Z19" s="3"/>
    </row>
    <row r="20" ht="14.25" customHeight="1">
      <c r="A20" s="4"/>
      <c r="B20" s="4"/>
      <c r="C20" s="1"/>
      <c r="D20" s="4"/>
      <c r="E20" s="5"/>
      <c r="F20" s="1"/>
      <c r="G20" s="4"/>
      <c r="H20" s="4"/>
      <c r="I20" s="4"/>
      <c r="J20" s="4"/>
      <c r="K20" s="4"/>
      <c r="L20" s="4"/>
      <c r="M20" s="4"/>
      <c r="N20" s="6"/>
      <c r="O20" s="4"/>
      <c r="P20" s="4"/>
      <c r="Q20" s="4"/>
      <c r="R20" s="4"/>
      <c r="S20" s="4"/>
      <c r="T20" s="4"/>
      <c r="U20" s="5"/>
      <c r="V20" s="5"/>
      <c r="W20" s="3"/>
      <c r="X20" s="3"/>
      <c r="Y20" s="3"/>
      <c r="Z20" s="3"/>
    </row>
    <row r="21" ht="14.25" customHeight="1">
      <c r="A21" s="4"/>
      <c r="B21" s="4"/>
      <c r="C21" s="1"/>
      <c r="D21" s="4"/>
      <c r="E21" s="5"/>
      <c r="F21" s="1"/>
      <c r="G21" s="4"/>
      <c r="H21" s="4"/>
      <c r="I21" s="4"/>
      <c r="J21" s="4"/>
      <c r="K21" s="4"/>
      <c r="L21" s="4"/>
      <c r="M21" s="4"/>
      <c r="N21" s="6"/>
      <c r="O21" s="4"/>
      <c r="P21" s="4"/>
      <c r="Q21" s="4"/>
      <c r="R21" s="4"/>
      <c r="S21" s="4"/>
      <c r="T21" s="4"/>
      <c r="U21" s="5"/>
      <c r="V21" s="5"/>
      <c r="W21" s="3"/>
      <c r="X21" s="3"/>
      <c r="Y21" s="3"/>
      <c r="Z21" s="3"/>
    </row>
    <row r="22" ht="14.25" customHeight="1">
      <c r="A22" s="4"/>
      <c r="B22" s="4"/>
      <c r="C22" s="1"/>
      <c r="D22" s="4"/>
      <c r="E22" s="5"/>
      <c r="F22" s="1"/>
      <c r="G22" s="4"/>
      <c r="H22" s="4"/>
      <c r="I22" s="4"/>
      <c r="J22" s="4"/>
      <c r="K22" s="4"/>
      <c r="L22" s="4"/>
      <c r="M22" s="4"/>
      <c r="N22" s="6"/>
      <c r="O22" s="4"/>
      <c r="P22" s="4"/>
      <c r="Q22" s="4"/>
      <c r="R22" s="4"/>
      <c r="S22" s="4"/>
      <c r="T22" s="4"/>
      <c r="U22" s="5"/>
      <c r="V22" s="5"/>
      <c r="W22" s="3"/>
      <c r="X22" s="3"/>
      <c r="Y22" s="3"/>
      <c r="Z22" s="3"/>
    </row>
    <row r="23" ht="14.25" customHeight="1">
      <c r="A23" s="4"/>
      <c r="B23" s="4"/>
      <c r="C23" s="1"/>
      <c r="D23" s="4"/>
      <c r="E23" s="5"/>
      <c r="F23" s="1"/>
      <c r="G23" s="4"/>
      <c r="H23" s="4"/>
      <c r="I23" s="4"/>
      <c r="J23" s="4"/>
      <c r="K23" s="4"/>
      <c r="L23" s="4"/>
      <c r="M23" s="4"/>
      <c r="N23" s="6"/>
      <c r="O23" s="4"/>
      <c r="P23" s="4"/>
      <c r="Q23" s="4"/>
      <c r="R23" s="4"/>
      <c r="S23" s="4"/>
      <c r="T23" s="4"/>
      <c r="U23" s="5"/>
      <c r="V23" s="5"/>
      <c r="W23" s="3"/>
      <c r="X23" s="3"/>
      <c r="Y23" s="3"/>
      <c r="Z23" s="3"/>
    </row>
    <row r="24" ht="14.25" customHeight="1">
      <c r="A24" s="4"/>
      <c r="B24" s="4"/>
      <c r="C24" s="1"/>
      <c r="D24" s="4"/>
      <c r="E24" s="5"/>
      <c r="F24" s="1"/>
      <c r="G24" s="4"/>
      <c r="H24" s="4"/>
      <c r="I24" s="4"/>
      <c r="J24" s="4"/>
      <c r="K24" s="4"/>
      <c r="L24" s="4"/>
      <c r="M24" s="4"/>
      <c r="N24" s="6"/>
      <c r="O24" s="4"/>
      <c r="P24" s="4"/>
      <c r="Q24" s="4"/>
      <c r="R24" s="4"/>
      <c r="S24" s="4"/>
      <c r="T24" s="4"/>
      <c r="U24" s="5"/>
      <c r="V24" s="5"/>
      <c r="W24" s="3"/>
      <c r="X24" s="3"/>
      <c r="Y24" s="3"/>
      <c r="Z24" s="3"/>
    </row>
    <row r="25" ht="14.25" customHeight="1">
      <c r="A25" s="4"/>
      <c r="B25" s="4"/>
      <c r="C25" s="1"/>
      <c r="D25" s="4"/>
      <c r="E25" s="5"/>
      <c r="F25" s="1"/>
      <c r="G25" s="4"/>
      <c r="H25" s="4"/>
      <c r="I25" s="4"/>
      <c r="J25" s="4"/>
      <c r="K25" s="4"/>
      <c r="L25" s="4"/>
      <c r="M25" s="4"/>
      <c r="N25" s="6"/>
      <c r="O25" s="4"/>
      <c r="P25" s="4"/>
      <c r="Q25" s="4"/>
      <c r="R25" s="4"/>
      <c r="S25" s="4"/>
      <c r="T25" s="4"/>
      <c r="U25" s="5"/>
      <c r="V25" s="5"/>
      <c r="W25" s="3"/>
      <c r="X25" s="3"/>
      <c r="Y25" s="3"/>
      <c r="Z25" s="3"/>
    </row>
    <row r="26" ht="14.25" customHeight="1">
      <c r="A26" s="4"/>
      <c r="B26" s="4"/>
      <c r="C26" s="1"/>
      <c r="D26" s="4"/>
      <c r="E26" s="5"/>
      <c r="F26" s="1"/>
      <c r="G26" s="4"/>
      <c r="H26" s="4"/>
      <c r="I26" s="4"/>
      <c r="J26" s="4"/>
      <c r="K26" s="4"/>
      <c r="L26" s="4"/>
      <c r="M26" s="4"/>
      <c r="N26" s="6"/>
      <c r="O26" s="4"/>
      <c r="P26" s="4"/>
      <c r="Q26" s="4"/>
      <c r="R26" s="4"/>
      <c r="S26" s="4"/>
      <c r="T26" s="4"/>
      <c r="U26" s="5"/>
      <c r="V26" s="5"/>
      <c r="W26" s="3"/>
      <c r="X26" s="3"/>
      <c r="Y26" s="3"/>
      <c r="Z26" s="3"/>
    </row>
    <row r="27" ht="14.25" customHeight="1">
      <c r="A27" s="4"/>
      <c r="B27" s="4"/>
      <c r="C27" s="1"/>
      <c r="D27" s="4"/>
      <c r="E27" s="5"/>
      <c r="F27" s="1"/>
      <c r="G27" s="4"/>
      <c r="H27" s="4"/>
      <c r="I27" s="4"/>
      <c r="J27" s="4"/>
      <c r="K27" s="4"/>
      <c r="L27" s="4"/>
      <c r="M27" s="4"/>
      <c r="N27" s="6"/>
      <c r="O27" s="4"/>
      <c r="P27" s="4"/>
      <c r="Q27" s="4"/>
      <c r="R27" s="4"/>
      <c r="S27" s="4"/>
      <c r="T27" s="4"/>
      <c r="U27" s="5"/>
      <c r="V27" s="5"/>
      <c r="W27" s="3"/>
      <c r="X27" s="3"/>
      <c r="Y27" s="3"/>
      <c r="Z27" s="3"/>
    </row>
    <row r="28" ht="14.25" customHeight="1">
      <c r="A28" s="4"/>
      <c r="B28" s="4"/>
      <c r="C28" s="1"/>
      <c r="D28" s="4"/>
      <c r="E28" s="5"/>
      <c r="F28" s="1"/>
      <c r="G28" s="4"/>
      <c r="H28" s="4"/>
      <c r="I28" s="4"/>
      <c r="J28" s="4"/>
      <c r="K28" s="4"/>
      <c r="L28" s="4"/>
      <c r="M28" s="4"/>
      <c r="N28" s="6"/>
      <c r="O28" s="4"/>
      <c r="P28" s="4"/>
      <c r="Q28" s="4"/>
      <c r="R28" s="4"/>
      <c r="S28" s="4"/>
      <c r="T28" s="4"/>
      <c r="U28" s="5"/>
      <c r="V28" s="5"/>
      <c r="W28" s="3"/>
      <c r="X28" s="3"/>
      <c r="Y28" s="3"/>
      <c r="Z28" s="3"/>
    </row>
    <row r="29" ht="14.25" customHeight="1">
      <c r="A29" s="4"/>
      <c r="B29" s="4"/>
      <c r="C29" s="1"/>
      <c r="D29" s="4"/>
      <c r="E29" s="5"/>
      <c r="F29" s="1"/>
      <c r="G29" s="4"/>
      <c r="H29" s="4"/>
      <c r="I29" s="4"/>
      <c r="J29" s="4"/>
      <c r="K29" s="4"/>
      <c r="L29" s="4"/>
      <c r="M29" s="4"/>
      <c r="N29" s="4"/>
      <c r="O29" s="4"/>
      <c r="P29" s="4"/>
      <c r="Q29" s="4"/>
      <c r="R29" s="4"/>
      <c r="S29" s="4"/>
      <c r="T29" s="4"/>
      <c r="U29" s="5"/>
      <c r="V29" s="5"/>
      <c r="W29" s="3"/>
      <c r="X29" s="3"/>
      <c r="Y29" s="3"/>
      <c r="Z29" s="3"/>
    </row>
    <row r="30" ht="14.25" customHeight="1">
      <c r="A30" s="4"/>
      <c r="B30" s="4"/>
      <c r="C30" s="1"/>
      <c r="D30" s="4"/>
      <c r="E30" s="5"/>
      <c r="F30" s="1"/>
      <c r="G30" s="4"/>
      <c r="H30" s="4"/>
      <c r="I30" s="4"/>
      <c r="J30" s="4"/>
      <c r="K30" s="4"/>
      <c r="L30" s="4"/>
      <c r="M30" s="4"/>
      <c r="N30" s="4"/>
      <c r="O30" s="4"/>
      <c r="P30" s="4"/>
      <c r="Q30" s="4"/>
      <c r="R30" s="4"/>
      <c r="S30" s="4"/>
      <c r="T30" s="4"/>
      <c r="U30" s="5"/>
      <c r="V30" s="5"/>
      <c r="W30" s="3"/>
      <c r="X30" s="3"/>
      <c r="Y30" s="3"/>
      <c r="Z30" s="3"/>
    </row>
    <row r="31" ht="14.25" customHeight="1">
      <c r="A31" s="4"/>
      <c r="B31" s="4"/>
      <c r="C31" s="1"/>
      <c r="D31" s="4"/>
      <c r="E31" s="5"/>
      <c r="F31" s="1"/>
      <c r="G31" s="4"/>
      <c r="H31" s="4"/>
      <c r="I31" s="4"/>
      <c r="J31" s="4"/>
      <c r="K31" s="4"/>
      <c r="L31" s="4"/>
      <c r="M31" s="4"/>
      <c r="N31" s="6"/>
      <c r="O31" s="4"/>
      <c r="P31" s="4"/>
      <c r="Q31" s="4"/>
      <c r="R31" s="4"/>
      <c r="S31" s="4"/>
      <c r="T31" s="4"/>
      <c r="U31" s="5"/>
      <c r="V31" s="5"/>
      <c r="W31" s="3"/>
      <c r="X31" s="3"/>
      <c r="Y31" s="3"/>
      <c r="Z31" s="3"/>
    </row>
    <row r="32" ht="14.25" customHeight="1">
      <c r="A32" s="4"/>
      <c r="B32" s="4"/>
      <c r="C32" s="1"/>
      <c r="D32" s="4"/>
      <c r="E32" s="5"/>
      <c r="F32" s="1"/>
      <c r="G32" s="4"/>
      <c r="H32" s="4"/>
      <c r="I32" s="4"/>
      <c r="J32" s="4"/>
      <c r="K32" s="4"/>
      <c r="L32" s="4"/>
      <c r="M32" s="4"/>
      <c r="N32" s="6"/>
      <c r="O32" s="4"/>
      <c r="P32" s="4"/>
      <c r="Q32" s="4"/>
      <c r="R32" s="4"/>
      <c r="S32" s="4"/>
      <c r="T32" s="4"/>
      <c r="U32" s="5"/>
      <c r="V32" s="5"/>
      <c r="W32" s="3"/>
      <c r="X32" s="3"/>
      <c r="Y32" s="3"/>
      <c r="Z32" s="3"/>
    </row>
    <row r="33" ht="14.25" customHeight="1">
      <c r="A33" s="4"/>
      <c r="B33" s="4"/>
      <c r="C33" s="1"/>
      <c r="D33" s="4"/>
      <c r="E33" s="5"/>
      <c r="F33" s="1"/>
      <c r="G33" s="4"/>
      <c r="H33" s="4"/>
      <c r="I33" s="4"/>
      <c r="J33" s="4"/>
      <c r="K33" s="4"/>
      <c r="L33" s="4"/>
      <c r="M33" s="4"/>
      <c r="N33" s="6"/>
      <c r="O33" s="4"/>
      <c r="P33" s="4"/>
      <c r="Q33" s="4"/>
      <c r="R33" s="4"/>
      <c r="S33" s="4"/>
      <c r="T33" s="4"/>
      <c r="U33" s="5"/>
      <c r="V33" s="5"/>
      <c r="W33" s="3"/>
      <c r="X33" s="3"/>
      <c r="Y33" s="3"/>
      <c r="Z33" s="3"/>
    </row>
    <row r="34" ht="14.25" customHeight="1">
      <c r="A34" s="4"/>
      <c r="B34" s="4"/>
      <c r="C34" s="1"/>
      <c r="D34" s="4"/>
      <c r="E34" s="5"/>
      <c r="F34" s="1"/>
      <c r="G34" s="4"/>
      <c r="H34" s="4"/>
      <c r="I34" s="4"/>
      <c r="J34" s="4"/>
      <c r="K34" s="4"/>
      <c r="L34" s="4"/>
      <c r="M34" s="4"/>
      <c r="N34" s="6"/>
      <c r="O34" s="4"/>
      <c r="P34" s="4"/>
      <c r="Q34" s="4"/>
      <c r="R34" s="4"/>
      <c r="S34" s="4"/>
      <c r="T34" s="4"/>
      <c r="U34" s="5"/>
      <c r="V34" s="5"/>
      <c r="W34" s="3"/>
      <c r="X34" s="3"/>
      <c r="Y34" s="3"/>
      <c r="Z34" s="3"/>
    </row>
    <row r="35" ht="14.25" customHeight="1">
      <c r="A35" s="4"/>
      <c r="B35" s="4"/>
      <c r="C35" s="1"/>
      <c r="D35" s="4"/>
      <c r="E35" s="5"/>
      <c r="F35" s="1"/>
      <c r="G35" s="4"/>
      <c r="H35" s="4"/>
      <c r="I35" s="4"/>
      <c r="J35" s="4"/>
      <c r="K35" s="4"/>
      <c r="L35" s="4"/>
      <c r="M35" s="4"/>
      <c r="N35" s="6"/>
      <c r="O35" s="4"/>
      <c r="P35" s="4"/>
      <c r="Q35" s="4"/>
      <c r="R35" s="4"/>
      <c r="S35" s="4"/>
      <c r="T35" s="4"/>
      <c r="U35" s="5"/>
      <c r="V35" s="5"/>
      <c r="W35" s="3"/>
      <c r="X35" s="3"/>
      <c r="Y35" s="3"/>
      <c r="Z35" s="3"/>
    </row>
    <row r="36" ht="14.25" customHeight="1">
      <c r="A36" s="4"/>
      <c r="B36" s="4"/>
      <c r="C36" s="1"/>
      <c r="D36" s="4"/>
      <c r="E36" s="5"/>
      <c r="F36" s="1"/>
      <c r="G36" s="4"/>
      <c r="H36" s="4"/>
      <c r="I36" s="4"/>
      <c r="J36" s="4"/>
      <c r="K36" s="4"/>
      <c r="L36" s="4"/>
      <c r="M36" s="4"/>
      <c r="N36" s="6"/>
      <c r="O36" s="4"/>
      <c r="P36" s="4"/>
      <c r="Q36" s="4"/>
      <c r="R36" s="4"/>
      <c r="S36" s="4"/>
      <c r="T36" s="4"/>
      <c r="U36" s="5"/>
      <c r="V36" s="5"/>
      <c r="W36" s="3"/>
      <c r="X36" s="3"/>
      <c r="Y36" s="3"/>
      <c r="Z36" s="3"/>
    </row>
    <row r="37" ht="14.25" customHeight="1">
      <c r="A37" s="4"/>
      <c r="B37" s="4"/>
      <c r="C37" s="1"/>
      <c r="D37" s="4"/>
      <c r="E37" s="5"/>
      <c r="F37" s="1"/>
      <c r="G37" s="4"/>
      <c r="H37" s="4"/>
      <c r="I37" s="4"/>
      <c r="J37" s="4"/>
      <c r="K37" s="4"/>
      <c r="L37" s="4"/>
      <c r="M37" s="4"/>
      <c r="N37" s="6"/>
      <c r="O37" s="4"/>
      <c r="P37" s="4"/>
      <c r="Q37" s="4"/>
      <c r="R37" s="4"/>
      <c r="S37" s="4"/>
      <c r="T37" s="4"/>
      <c r="U37" s="5"/>
      <c r="V37" s="5"/>
      <c r="W37" s="3"/>
      <c r="X37" s="3"/>
      <c r="Y37" s="3"/>
      <c r="Z37" s="3"/>
    </row>
    <row r="38" ht="14.25" customHeight="1">
      <c r="A38" s="4"/>
      <c r="B38" s="4"/>
      <c r="C38" s="1"/>
      <c r="D38" s="4"/>
      <c r="E38" s="5"/>
      <c r="F38" s="1"/>
      <c r="G38" s="4"/>
      <c r="H38" s="4"/>
      <c r="I38" s="4"/>
      <c r="J38" s="4"/>
      <c r="K38" s="4"/>
      <c r="L38" s="4"/>
      <c r="M38" s="4"/>
      <c r="N38" s="6"/>
      <c r="O38" s="4"/>
      <c r="P38" s="4"/>
      <c r="Q38" s="4"/>
      <c r="R38" s="4"/>
      <c r="S38" s="4"/>
      <c r="T38" s="4"/>
      <c r="U38" s="5"/>
      <c r="V38" s="5"/>
      <c r="W38" s="3"/>
      <c r="X38" s="3"/>
      <c r="Y38" s="3"/>
      <c r="Z38" s="3"/>
    </row>
    <row r="39" ht="14.25" customHeight="1">
      <c r="A39" s="4"/>
      <c r="B39" s="4"/>
      <c r="C39" s="1"/>
      <c r="D39" s="4"/>
      <c r="E39" s="5"/>
      <c r="F39" s="1"/>
      <c r="G39" s="4"/>
      <c r="H39" s="4"/>
      <c r="I39" s="4"/>
      <c r="J39" s="4"/>
      <c r="K39" s="4"/>
      <c r="L39" s="4"/>
      <c r="M39" s="4"/>
      <c r="N39" s="6"/>
      <c r="O39" s="4"/>
      <c r="P39" s="4"/>
      <c r="Q39" s="4"/>
      <c r="R39" s="4"/>
      <c r="S39" s="4"/>
      <c r="T39" s="4"/>
      <c r="U39" s="5"/>
      <c r="V39" s="5"/>
      <c r="W39" s="3"/>
      <c r="X39" s="3"/>
      <c r="Y39" s="3"/>
      <c r="Z39" s="3"/>
    </row>
    <row r="40" ht="14.25" customHeight="1">
      <c r="A40" s="4"/>
      <c r="B40" s="4"/>
      <c r="C40" s="1"/>
      <c r="D40" s="4"/>
      <c r="E40" s="5"/>
      <c r="F40" s="1"/>
      <c r="G40" s="4"/>
      <c r="H40" s="4"/>
      <c r="I40" s="4"/>
      <c r="J40" s="4"/>
      <c r="K40" s="4"/>
      <c r="L40" s="4"/>
      <c r="M40" s="4"/>
      <c r="N40" s="6"/>
      <c r="O40" s="4"/>
      <c r="P40" s="4"/>
      <c r="Q40" s="4"/>
      <c r="R40" s="4"/>
      <c r="S40" s="4"/>
      <c r="T40" s="4"/>
      <c r="U40" s="5"/>
      <c r="V40" s="5"/>
      <c r="W40" s="3"/>
      <c r="X40" s="3"/>
      <c r="Y40" s="3"/>
      <c r="Z40" s="3"/>
    </row>
    <row r="41" ht="14.25" customHeight="1">
      <c r="A41" s="4"/>
      <c r="B41" s="4"/>
      <c r="C41" s="1"/>
      <c r="D41" s="4"/>
      <c r="E41" s="5"/>
      <c r="F41" s="1"/>
      <c r="G41" s="4"/>
      <c r="H41" s="4"/>
      <c r="I41" s="4"/>
      <c r="J41" s="4"/>
      <c r="K41" s="4"/>
      <c r="L41" s="4"/>
      <c r="M41" s="4"/>
      <c r="N41" s="6"/>
      <c r="O41" s="4"/>
      <c r="P41" s="4"/>
      <c r="Q41" s="4"/>
      <c r="R41" s="4"/>
      <c r="S41" s="4"/>
      <c r="T41" s="4"/>
      <c r="U41" s="5"/>
      <c r="V41" s="5"/>
      <c r="W41" s="3"/>
      <c r="X41" s="3"/>
      <c r="Y41" s="3"/>
      <c r="Z41" s="3"/>
    </row>
    <row r="42" ht="14.25" customHeight="1">
      <c r="A42" s="4"/>
      <c r="B42" s="4"/>
      <c r="C42" s="1"/>
      <c r="D42" s="4"/>
      <c r="E42" s="5"/>
      <c r="F42" s="1"/>
      <c r="G42" s="4"/>
      <c r="H42" s="4"/>
      <c r="I42" s="4"/>
      <c r="J42" s="4"/>
      <c r="K42" s="4"/>
      <c r="L42" s="4"/>
      <c r="M42" s="4"/>
      <c r="N42" s="6"/>
      <c r="O42" s="4"/>
      <c r="P42" s="4"/>
      <c r="Q42" s="4"/>
      <c r="R42" s="4"/>
      <c r="S42" s="4"/>
      <c r="T42" s="4"/>
      <c r="U42" s="5"/>
      <c r="V42" s="5"/>
      <c r="W42" s="3"/>
      <c r="X42" s="3"/>
      <c r="Y42" s="3"/>
      <c r="Z42" s="3"/>
    </row>
    <row r="43" ht="14.25" customHeight="1">
      <c r="A43" s="4"/>
      <c r="B43" s="4"/>
      <c r="C43" s="1"/>
      <c r="D43" s="4"/>
      <c r="E43" s="5"/>
      <c r="F43" s="1"/>
      <c r="G43" s="4"/>
      <c r="H43" s="4"/>
      <c r="I43" s="4"/>
      <c r="J43" s="4"/>
      <c r="K43" s="4"/>
      <c r="L43" s="4"/>
      <c r="M43" s="4"/>
      <c r="N43" s="6"/>
      <c r="O43" s="4"/>
      <c r="P43" s="4"/>
      <c r="Q43" s="4"/>
      <c r="R43" s="4"/>
      <c r="S43" s="4"/>
      <c r="T43" s="4"/>
      <c r="U43" s="5"/>
      <c r="V43" s="5"/>
      <c r="W43" s="3"/>
      <c r="X43" s="3"/>
      <c r="Y43" s="3"/>
      <c r="Z43" s="3"/>
    </row>
    <row r="44" ht="14.25" customHeight="1">
      <c r="A44" s="4"/>
      <c r="B44" s="4"/>
      <c r="C44" s="1"/>
      <c r="D44" s="4"/>
      <c r="E44" s="5"/>
      <c r="F44" s="1"/>
      <c r="G44" s="4"/>
      <c r="H44" s="4"/>
      <c r="I44" s="4"/>
      <c r="J44" s="4"/>
      <c r="K44" s="4"/>
      <c r="L44" s="4"/>
      <c r="M44" s="4"/>
      <c r="N44" s="6"/>
      <c r="O44" s="4"/>
      <c r="P44" s="4"/>
      <c r="Q44" s="4"/>
      <c r="R44" s="4"/>
      <c r="S44" s="4"/>
      <c r="T44" s="4"/>
      <c r="U44" s="5"/>
      <c r="V44" s="5"/>
      <c r="W44" s="3"/>
      <c r="X44" s="3"/>
      <c r="Y44" s="3"/>
      <c r="Z44" s="3"/>
    </row>
    <row r="45" ht="14.25" customHeight="1">
      <c r="A45" s="4"/>
      <c r="B45" s="4"/>
      <c r="C45" s="1"/>
      <c r="D45" s="4"/>
      <c r="E45" s="5"/>
      <c r="F45" s="1"/>
      <c r="G45" s="4"/>
      <c r="H45" s="4"/>
      <c r="I45" s="4"/>
      <c r="J45" s="4"/>
      <c r="K45" s="4"/>
      <c r="L45" s="4"/>
      <c r="M45" s="4"/>
      <c r="N45" s="6"/>
      <c r="O45" s="4"/>
      <c r="P45" s="4"/>
      <c r="Q45" s="4"/>
      <c r="R45" s="4"/>
      <c r="S45" s="4"/>
      <c r="T45" s="4"/>
      <c r="U45" s="5"/>
      <c r="V45" s="5"/>
      <c r="W45" s="3"/>
      <c r="X45" s="3"/>
      <c r="Y45" s="3"/>
      <c r="Z45" s="3"/>
    </row>
    <row r="46" ht="14.25" customHeight="1">
      <c r="A46" s="4"/>
      <c r="B46" s="4"/>
      <c r="C46" s="1"/>
      <c r="D46" s="4"/>
      <c r="E46" s="5"/>
      <c r="F46" s="1"/>
      <c r="G46" s="4"/>
      <c r="H46" s="4"/>
      <c r="I46" s="4"/>
      <c r="J46" s="4"/>
      <c r="K46" s="4"/>
      <c r="L46" s="4"/>
      <c r="M46" s="4"/>
      <c r="N46" s="6"/>
      <c r="O46" s="4"/>
      <c r="P46" s="4"/>
      <c r="Q46" s="4"/>
      <c r="R46" s="4"/>
      <c r="S46" s="4"/>
      <c r="T46" s="4"/>
      <c r="U46" s="5"/>
      <c r="V46" s="5"/>
      <c r="W46" s="3"/>
      <c r="X46" s="3"/>
      <c r="Y46" s="3"/>
      <c r="Z46" s="3"/>
    </row>
    <row r="47" ht="14.25" customHeight="1">
      <c r="A47" s="4"/>
      <c r="B47" s="4"/>
      <c r="C47" s="1"/>
      <c r="D47" s="4"/>
      <c r="E47" s="5"/>
      <c r="F47" s="1"/>
      <c r="G47" s="4"/>
      <c r="H47" s="4"/>
      <c r="I47" s="4"/>
      <c r="J47" s="4"/>
      <c r="K47" s="4"/>
      <c r="L47" s="4"/>
      <c r="M47" s="4"/>
      <c r="N47" s="6"/>
      <c r="O47" s="4"/>
      <c r="P47" s="4"/>
      <c r="Q47" s="4"/>
      <c r="R47" s="4"/>
      <c r="S47" s="4"/>
      <c r="T47" s="4"/>
      <c r="U47" s="5"/>
      <c r="V47" s="5"/>
      <c r="W47" s="3"/>
      <c r="X47" s="3"/>
      <c r="Y47" s="3"/>
      <c r="Z47" s="3"/>
    </row>
    <row r="48" ht="14.25" customHeight="1">
      <c r="A48" s="4"/>
      <c r="B48" s="4"/>
      <c r="C48" s="1"/>
      <c r="D48" s="4"/>
      <c r="E48" s="5"/>
      <c r="F48" s="1"/>
      <c r="G48" s="4"/>
      <c r="H48" s="4"/>
      <c r="I48" s="4"/>
      <c r="J48" s="4"/>
      <c r="K48" s="4"/>
      <c r="L48" s="4"/>
      <c r="M48" s="4"/>
      <c r="N48" s="6"/>
      <c r="O48" s="4"/>
      <c r="P48" s="4"/>
      <c r="Q48" s="4"/>
      <c r="R48" s="4"/>
      <c r="S48" s="4"/>
      <c r="T48" s="4"/>
      <c r="U48" s="5"/>
      <c r="V48" s="5"/>
      <c r="W48" s="3"/>
      <c r="X48" s="3"/>
      <c r="Y48" s="3"/>
      <c r="Z48" s="3"/>
    </row>
    <row r="49" ht="14.25" customHeight="1">
      <c r="A49" s="4"/>
      <c r="B49" s="4"/>
      <c r="C49" s="1"/>
      <c r="D49" s="4"/>
      <c r="E49" s="5"/>
      <c r="F49" s="1"/>
      <c r="G49" s="4"/>
      <c r="H49" s="4"/>
      <c r="I49" s="4"/>
      <c r="J49" s="4"/>
      <c r="K49" s="4"/>
      <c r="L49" s="4"/>
      <c r="M49" s="4"/>
      <c r="N49" s="6"/>
      <c r="O49" s="4"/>
      <c r="P49" s="4"/>
      <c r="Q49" s="4"/>
      <c r="R49" s="4"/>
      <c r="S49" s="4"/>
      <c r="T49" s="4"/>
      <c r="U49" s="5"/>
      <c r="V49" s="5"/>
      <c r="W49" s="3"/>
      <c r="X49" s="3"/>
      <c r="Y49" s="3"/>
      <c r="Z49" s="3"/>
    </row>
    <row r="50" ht="14.25" customHeight="1">
      <c r="A50" s="4"/>
      <c r="B50" s="4"/>
      <c r="C50" s="1"/>
      <c r="D50" s="4"/>
      <c r="E50" s="5"/>
      <c r="F50" s="1"/>
      <c r="G50" s="4"/>
      <c r="H50" s="4"/>
      <c r="I50" s="4"/>
      <c r="J50" s="4"/>
      <c r="K50" s="4"/>
      <c r="L50" s="4"/>
      <c r="M50" s="4"/>
      <c r="N50" s="4"/>
      <c r="O50" s="4"/>
      <c r="P50" s="4"/>
      <c r="Q50" s="4"/>
      <c r="R50" s="4"/>
      <c r="S50" s="4"/>
      <c r="T50" s="4"/>
      <c r="U50" s="5"/>
      <c r="V50" s="5"/>
      <c r="W50" s="3"/>
      <c r="X50" s="3"/>
      <c r="Y50" s="3"/>
      <c r="Z50" s="3"/>
    </row>
    <row r="51" ht="14.25" customHeight="1">
      <c r="A51" s="4"/>
      <c r="B51" s="4"/>
      <c r="C51" s="1"/>
      <c r="D51" s="4"/>
      <c r="E51" s="5"/>
      <c r="F51" s="1"/>
      <c r="G51" s="4"/>
      <c r="H51" s="4"/>
      <c r="I51" s="4"/>
      <c r="J51" s="4"/>
      <c r="K51" s="4"/>
      <c r="L51" s="4"/>
      <c r="M51" s="4"/>
      <c r="N51" s="4"/>
      <c r="O51" s="4"/>
      <c r="P51" s="4"/>
      <c r="Q51" s="4"/>
      <c r="R51" s="4"/>
      <c r="S51" s="4"/>
      <c r="T51" s="4"/>
      <c r="U51" s="5"/>
      <c r="V51" s="5"/>
      <c r="W51" s="3"/>
      <c r="X51" s="3"/>
      <c r="Y51" s="3"/>
      <c r="Z51" s="3"/>
    </row>
    <row r="52" ht="14.25" customHeight="1">
      <c r="A52" s="4"/>
      <c r="B52" s="4"/>
      <c r="C52" s="1"/>
      <c r="D52" s="4"/>
      <c r="E52" s="5"/>
      <c r="F52" s="1"/>
      <c r="G52" s="4"/>
      <c r="H52" s="4"/>
      <c r="I52" s="4"/>
      <c r="J52" s="4"/>
      <c r="K52" s="4"/>
      <c r="L52" s="4"/>
      <c r="M52" s="4"/>
      <c r="N52" s="6"/>
      <c r="O52" s="4"/>
      <c r="P52" s="4"/>
      <c r="Q52" s="4"/>
      <c r="R52" s="4"/>
      <c r="S52" s="4"/>
      <c r="T52" s="4"/>
      <c r="U52" s="5"/>
      <c r="V52" s="5"/>
      <c r="W52" s="3"/>
      <c r="X52" s="3"/>
      <c r="Y52" s="3"/>
      <c r="Z52" s="3"/>
    </row>
    <row r="53" ht="14.25" customHeight="1">
      <c r="A53" s="4"/>
      <c r="B53" s="4"/>
      <c r="C53" s="1"/>
      <c r="D53" s="4"/>
      <c r="E53" s="5"/>
      <c r="F53" s="1"/>
      <c r="G53" s="4"/>
      <c r="H53" s="4"/>
      <c r="I53" s="4"/>
      <c r="J53" s="4"/>
      <c r="K53" s="4"/>
      <c r="L53" s="4"/>
      <c r="M53" s="4"/>
      <c r="N53" s="6"/>
      <c r="O53" s="4"/>
      <c r="P53" s="4"/>
      <c r="Q53" s="4"/>
      <c r="R53" s="4"/>
      <c r="S53" s="4"/>
      <c r="T53" s="4"/>
      <c r="U53" s="5"/>
      <c r="V53" s="5"/>
      <c r="W53" s="3"/>
      <c r="X53" s="3"/>
      <c r="Y53" s="3"/>
      <c r="Z53" s="3"/>
    </row>
    <row r="54" ht="14.25" customHeight="1">
      <c r="A54" s="4"/>
      <c r="B54" s="4"/>
      <c r="C54" s="1"/>
      <c r="D54" s="4"/>
      <c r="E54" s="5"/>
      <c r="F54" s="1"/>
      <c r="G54" s="4"/>
      <c r="H54" s="4"/>
      <c r="I54" s="4"/>
      <c r="J54" s="4"/>
      <c r="K54" s="4"/>
      <c r="L54" s="4"/>
      <c r="M54" s="4"/>
      <c r="N54" s="6"/>
      <c r="O54" s="4"/>
      <c r="P54" s="4"/>
      <c r="Q54" s="4"/>
      <c r="R54" s="4"/>
      <c r="S54" s="4"/>
      <c r="T54" s="4"/>
      <c r="U54" s="5"/>
      <c r="V54" s="5"/>
      <c r="W54" s="3"/>
      <c r="X54" s="3"/>
      <c r="Y54" s="3"/>
      <c r="Z54" s="3"/>
    </row>
    <row r="55" ht="14.25" customHeight="1">
      <c r="A55" s="4"/>
      <c r="B55" s="4"/>
      <c r="C55" s="1"/>
      <c r="D55" s="4"/>
      <c r="E55" s="5"/>
      <c r="F55" s="1"/>
      <c r="G55" s="4"/>
      <c r="H55" s="4"/>
      <c r="I55" s="4"/>
      <c r="J55" s="4"/>
      <c r="K55" s="4"/>
      <c r="L55" s="4"/>
      <c r="M55" s="4"/>
      <c r="N55" s="6"/>
      <c r="O55" s="4"/>
      <c r="P55" s="4"/>
      <c r="Q55" s="4"/>
      <c r="R55" s="4"/>
      <c r="S55" s="4"/>
      <c r="T55" s="4"/>
      <c r="U55" s="5"/>
      <c r="V55" s="5"/>
      <c r="W55" s="3"/>
      <c r="X55" s="3"/>
      <c r="Y55" s="3"/>
      <c r="Z55" s="3"/>
    </row>
    <row r="56" ht="14.25" customHeight="1">
      <c r="A56" s="4"/>
      <c r="B56" s="4"/>
      <c r="C56" s="1"/>
      <c r="D56" s="4"/>
      <c r="E56" s="5"/>
      <c r="F56" s="1"/>
      <c r="G56" s="4"/>
      <c r="H56" s="4"/>
      <c r="I56" s="4"/>
      <c r="J56" s="4"/>
      <c r="K56" s="4"/>
      <c r="L56" s="4"/>
      <c r="M56" s="4"/>
      <c r="N56" s="6"/>
      <c r="O56" s="4"/>
      <c r="P56" s="4"/>
      <c r="Q56" s="4"/>
      <c r="R56" s="4"/>
      <c r="S56" s="4"/>
      <c r="T56" s="4"/>
      <c r="U56" s="5"/>
      <c r="V56" s="5"/>
      <c r="W56" s="3"/>
      <c r="X56" s="3"/>
      <c r="Y56" s="3"/>
      <c r="Z56" s="3"/>
    </row>
    <row r="57" ht="14.25" customHeight="1">
      <c r="A57" s="4"/>
      <c r="B57" s="4"/>
      <c r="C57" s="1"/>
      <c r="D57" s="4"/>
      <c r="E57" s="5"/>
      <c r="F57" s="1"/>
      <c r="G57" s="4"/>
      <c r="H57" s="4"/>
      <c r="I57" s="4"/>
      <c r="J57" s="4"/>
      <c r="K57" s="4"/>
      <c r="L57" s="4"/>
      <c r="M57" s="4"/>
      <c r="N57" s="6"/>
      <c r="O57" s="4"/>
      <c r="P57" s="4"/>
      <c r="Q57" s="4"/>
      <c r="R57" s="4"/>
      <c r="S57" s="4"/>
      <c r="T57" s="4"/>
      <c r="U57" s="5"/>
      <c r="V57" s="5"/>
      <c r="W57" s="3"/>
      <c r="X57" s="3"/>
      <c r="Y57" s="3"/>
      <c r="Z57" s="3"/>
    </row>
    <row r="58" ht="14.25" customHeight="1">
      <c r="A58" s="4"/>
      <c r="B58" s="4"/>
      <c r="C58" s="1"/>
      <c r="D58" s="4"/>
      <c r="E58" s="5"/>
      <c r="F58" s="1"/>
      <c r="G58" s="4"/>
      <c r="H58" s="4"/>
      <c r="I58" s="4"/>
      <c r="J58" s="4"/>
      <c r="K58" s="4"/>
      <c r="L58" s="4"/>
      <c r="M58" s="4"/>
      <c r="N58" s="6"/>
      <c r="O58" s="4"/>
      <c r="P58" s="4"/>
      <c r="Q58" s="4"/>
      <c r="R58" s="4"/>
      <c r="S58" s="4"/>
      <c r="T58" s="4"/>
      <c r="U58" s="5"/>
      <c r="V58" s="5"/>
      <c r="W58" s="3"/>
      <c r="X58" s="3"/>
      <c r="Y58" s="3"/>
      <c r="Z58" s="3"/>
    </row>
    <row r="59" ht="14.25" customHeight="1">
      <c r="A59" s="4"/>
      <c r="B59" s="4"/>
      <c r="C59" s="1"/>
      <c r="D59" s="4"/>
      <c r="E59" s="5"/>
      <c r="F59" s="1"/>
      <c r="G59" s="4"/>
      <c r="H59" s="4"/>
      <c r="I59" s="4"/>
      <c r="J59" s="4"/>
      <c r="K59" s="4"/>
      <c r="L59" s="4"/>
      <c r="M59" s="4"/>
      <c r="N59" s="6"/>
      <c r="O59" s="4"/>
      <c r="P59" s="4"/>
      <c r="Q59" s="4"/>
      <c r="R59" s="4"/>
      <c r="S59" s="4"/>
      <c r="T59" s="4"/>
      <c r="U59" s="5"/>
      <c r="V59" s="5"/>
      <c r="W59" s="3"/>
      <c r="X59" s="3"/>
      <c r="Y59" s="3"/>
      <c r="Z59" s="3"/>
    </row>
    <row r="60" ht="14.25" customHeight="1">
      <c r="A60" s="4"/>
      <c r="B60" s="4"/>
      <c r="C60" s="1"/>
      <c r="D60" s="4"/>
      <c r="E60" s="5"/>
      <c r="F60" s="1"/>
      <c r="G60" s="4"/>
      <c r="H60" s="4"/>
      <c r="I60" s="4"/>
      <c r="J60" s="4"/>
      <c r="K60" s="4"/>
      <c r="L60" s="4"/>
      <c r="M60" s="4"/>
      <c r="N60" s="4"/>
      <c r="O60" s="4"/>
      <c r="P60" s="4"/>
      <c r="Q60" s="4"/>
      <c r="R60" s="4"/>
      <c r="S60" s="4"/>
      <c r="T60" s="4"/>
      <c r="U60" s="5"/>
      <c r="V60" s="5"/>
      <c r="W60" s="3"/>
      <c r="X60" s="3"/>
      <c r="Y60" s="3"/>
      <c r="Z60" s="3"/>
    </row>
    <row r="61" ht="14.25" customHeight="1">
      <c r="A61" s="4"/>
      <c r="B61" s="4"/>
      <c r="C61" s="1"/>
      <c r="D61" s="4"/>
      <c r="E61" s="5"/>
      <c r="F61" s="1"/>
      <c r="G61" s="4"/>
      <c r="H61" s="4"/>
      <c r="I61" s="4"/>
      <c r="J61" s="4"/>
      <c r="K61" s="4"/>
      <c r="L61" s="4"/>
      <c r="M61" s="4"/>
      <c r="N61" s="6"/>
      <c r="O61" s="4"/>
      <c r="P61" s="4"/>
      <c r="Q61" s="4"/>
      <c r="R61" s="4"/>
      <c r="S61" s="4"/>
      <c r="T61" s="4"/>
      <c r="U61" s="5"/>
      <c r="V61" s="5"/>
      <c r="W61" s="3"/>
      <c r="X61" s="3"/>
      <c r="Y61" s="3"/>
      <c r="Z61" s="3"/>
    </row>
    <row r="62" ht="14.25" customHeight="1">
      <c r="A62" s="4"/>
      <c r="B62" s="4"/>
      <c r="C62" s="1"/>
      <c r="D62" s="4"/>
      <c r="E62" s="5"/>
      <c r="F62" s="1"/>
      <c r="G62" s="4"/>
      <c r="H62" s="4"/>
      <c r="I62" s="4"/>
      <c r="J62" s="4"/>
      <c r="K62" s="4"/>
      <c r="L62" s="4"/>
      <c r="M62" s="4"/>
      <c r="N62" s="6"/>
      <c r="O62" s="4"/>
      <c r="P62" s="4"/>
      <c r="Q62" s="4"/>
      <c r="R62" s="4"/>
      <c r="S62" s="4"/>
      <c r="T62" s="4"/>
      <c r="U62" s="5"/>
      <c r="V62" s="5"/>
      <c r="W62" s="3"/>
      <c r="X62" s="3"/>
      <c r="Y62" s="3"/>
      <c r="Z62" s="3"/>
    </row>
    <row r="63" ht="14.25" customHeight="1">
      <c r="A63" s="4"/>
      <c r="B63" s="4"/>
      <c r="C63" s="1"/>
      <c r="D63" s="4"/>
      <c r="E63" s="5"/>
      <c r="F63" s="1"/>
      <c r="G63" s="4"/>
      <c r="H63" s="4"/>
      <c r="I63" s="4"/>
      <c r="J63" s="4"/>
      <c r="K63" s="4"/>
      <c r="L63" s="4"/>
      <c r="M63" s="4"/>
      <c r="N63" s="6"/>
      <c r="O63" s="4"/>
      <c r="P63" s="4"/>
      <c r="Q63" s="4"/>
      <c r="R63" s="4"/>
      <c r="S63" s="4"/>
      <c r="T63" s="4"/>
      <c r="U63" s="5"/>
      <c r="V63" s="5"/>
      <c r="W63" s="3"/>
      <c r="X63" s="3"/>
      <c r="Y63" s="3"/>
      <c r="Z63" s="3"/>
    </row>
    <row r="64" ht="14.25" customHeight="1">
      <c r="A64" s="4"/>
      <c r="B64" s="4"/>
      <c r="C64" s="1"/>
      <c r="D64" s="4"/>
      <c r="E64" s="5"/>
      <c r="F64" s="1"/>
      <c r="G64" s="4"/>
      <c r="H64" s="4"/>
      <c r="I64" s="4"/>
      <c r="J64" s="4"/>
      <c r="K64" s="4"/>
      <c r="L64" s="4"/>
      <c r="M64" s="4"/>
      <c r="N64" s="6"/>
      <c r="O64" s="4"/>
      <c r="P64" s="4"/>
      <c r="Q64" s="4"/>
      <c r="R64" s="4"/>
      <c r="S64" s="4"/>
      <c r="T64" s="4"/>
      <c r="U64" s="5"/>
      <c r="V64" s="5"/>
      <c r="W64" s="3"/>
      <c r="X64" s="3"/>
      <c r="Y64" s="3"/>
      <c r="Z64" s="3"/>
    </row>
    <row r="65" ht="14.25" customHeight="1">
      <c r="A65" s="4"/>
      <c r="B65" s="4"/>
      <c r="C65" s="1"/>
      <c r="D65" s="4"/>
      <c r="E65" s="5"/>
      <c r="F65" s="1"/>
      <c r="G65" s="4"/>
      <c r="H65" s="4"/>
      <c r="I65" s="4"/>
      <c r="J65" s="4"/>
      <c r="K65" s="4"/>
      <c r="L65" s="4"/>
      <c r="M65" s="4"/>
      <c r="N65" s="6"/>
      <c r="O65" s="4"/>
      <c r="P65" s="4"/>
      <c r="Q65" s="4"/>
      <c r="R65" s="4"/>
      <c r="S65" s="4"/>
      <c r="T65" s="4"/>
      <c r="U65" s="5"/>
      <c r="V65" s="5"/>
      <c r="W65" s="3"/>
      <c r="X65" s="3"/>
      <c r="Y65" s="3"/>
      <c r="Z65" s="3"/>
    </row>
    <row r="66" ht="14.25" customHeight="1">
      <c r="A66" s="4"/>
      <c r="B66" s="4"/>
      <c r="C66" s="1"/>
      <c r="D66" s="4"/>
      <c r="E66" s="5"/>
      <c r="F66" s="1"/>
      <c r="G66" s="4"/>
      <c r="H66" s="4"/>
      <c r="I66" s="4"/>
      <c r="J66" s="4"/>
      <c r="K66" s="4"/>
      <c r="L66" s="4"/>
      <c r="M66" s="4"/>
      <c r="N66" s="6"/>
      <c r="O66" s="4"/>
      <c r="P66" s="4"/>
      <c r="Q66" s="4"/>
      <c r="R66" s="4"/>
      <c r="S66" s="4"/>
      <c r="T66" s="4"/>
      <c r="U66" s="5"/>
      <c r="V66" s="5"/>
      <c r="W66" s="3"/>
      <c r="X66" s="3"/>
      <c r="Y66" s="3"/>
      <c r="Z66" s="3"/>
    </row>
    <row r="67" ht="14.25" customHeight="1">
      <c r="A67" s="4"/>
      <c r="B67" s="4"/>
      <c r="C67" s="1"/>
      <c r="D67" s="4"/>
      <c r="E67" s="5"/>
      <c r="F67" s="1"/>
      <c r="G67" s="4"/>
      <c r="H67" s="4"/>
      <c r="I67" s="4"/>
      <c r="J67" s="4"/>
      <c r="K67" s="4"/>
      <c r="L67" s="4"/>
      <c r="M67" s="4"/>
      <c r="N67" s="6"/>
      <c r="O67" s="4"/>
      <c r="P67" s="4"/>
      <c r="Q67" s="4"/>
      <c r="R67" s="4"/>
      <c r="S67" s="4"/>
      <c r="T67" s="4"/>
      <c r="U67" s="5"/>
      <c r="V67" s="5"/>
      <c r="W67" s="3"/>
      <c r="X67" s="3"/>
      <c r="Y67" s="3"/>
      <c r="Z67" s="3"/>
    </row>
    <row r="68" ht="14.25" customHeight="1">
      <c r="A68" s="4"/>
      <c r="B68" s="4"/>
      <c r="C68" s="1"/>
      <c r="D68" s="4"/>
      <c r="E68" s="5"/>
      <c r="F68" s="1"/>
      <c r="G68" s="4"/>
      <c r="H68" s="4"/>
      <c r="I68" s="4"/>
      <c r="J68" s="4"/>
      <c r="K68" s="4"/>
      <c r="L68" s="4"/>
      <c r="M68" s="4"/>
      <c r="N68" s="6"/>
      <c r="O68" s="4"/>
      <c r="P68" s="4"/>
      <c r="Q68" s="4"/>
      <c r="R68" s="4"/>
      <c r="S68" s="4"/>
      <c r="T68" s="4"/>
      <c r="U68" s="5"/>
      <c r="V68" s="5"/>
      <c r="W68" s="3"/>
      <c r="X68" s="3"/>
      <c r="Y68" s="3"/>
      <c r="Z68" s="3"/>
    </row>
    <row r="69" ht="14.25" customHeight="1">
      <c r="A69" s="4"/>
      <c r="B69" s="4"/>
      <c r="C69" s="1"/>
      <c r="D69" s="4"/>
      <c r="E69" s="5"/>
      <c r="F69" s="1"/>
      <c r="G69" s="4"/>
      <c r="H69" s="4"/>
      <c r="I69" s="4"/>
      <c r="J69" s="4"/>
      <c r="K69" s="4"/>
      <c r="L69" s="4"/>
      <c r="M69" s="4"/>
      <c r="N69" s="6"/>
      <c r="O69" s="4"/>
      <c r="P69" s="4"/>
      <c r="Q69" s="4"/>
      <c r="R69" s="4"/>
      <c r="S69" s="4"/>
      <c r="T69" s="4"/>
      <c r="U69" s="5"/>
      <c r="V69" s="5"/>
      <c r="W69" s="3"/>
      <c r="X69" s="3"/>
      <c r="Y69" s="3"/>
      <c r="Z69" s="3"/>
    </row>
    <row r="70" ht="14.25" customHeight="1">
      <c r="A70" s="4"/>
      <c r="B70" s="4"/>
      <c r="C70" s="1"/>
      <c r="D70" s="4"/>
      <c r="E70" s="5"/>
      <c r="F70" s="1"/>
      <c r="G70" s="4"/>
      <c r="H70" s="4"/>
      <c r="I70" s="4"/>
      <c r="J70" s="4"/>
      <c r="K70" s="4"/>
      <c r="L70" s="4"/>
      <c r="M70" s="4"/>
      <c r="N70" s="6"/>
      <c r="O70" s="4"/>
      <c r="P70" s="4"/>
      <c r="Q70" s="4"/>
      <c r="R70" s="4"/>
      <c r="S70" s="4"/>
      <c r="T70" s="4"/>
      <c r="U70" s="5"/>
      <c r="V70" s="5"/>
      <c r="W70" s="3"/>
      <c r="X70" s="3"/>
      <c r="Y70" s="3"/>
      <c r="Z70" s="3"/>
    </row>
    <row r="71" ht="14.25" customHeight="1">
      <c r="A71" s="4"/>
      <c r="B71" s="4"/>
      <c r="C71" s="1"/>
      <c r="D71" s="4"/>
      <c r="E71" s="5"/>
      <c r="F71" s="1"/>
      <c r="G71" s="4"/>
      <c r="H71" s="4"/>
      <c r="I71" s="4"/>
      <c r="J71" s="4"/>
      <c r="K71" s="4"/>
      <c r="L71" s="4"/>
      <c r="M71" s="4"/>
      <c r="N71" s="6"/>
      <c r="O71" s="4"/>
      <c r="P71" s="4"/>
      <c r="Q71" s="4"/>
      <c r="R71" s="4"/>
      <c r="S71" s="4"/>
      <c r="T71" s="4"/>
      <c r="U71" s="5"/>
      <c r="V71" s="5"/>
      <c r="W71" s="3"/>
      <c r="X71" s="3"/>
      <c r="Y71" s="3"/>
      <c r="Z71" s="3"/>
    </row>
    <row r="72" ht="14.25" customHeight="1">
      <c r="A72" s="4"/>
      <c r="B72" s="4"/>
      <c r="C72" s="1"/>
      <c r="D72" s="4"/>
      <c r="E72" s="5"/>
      <c r="F72" s="1"/>
      <c r="G72" s="4"/>
      <c r="H72" s="4"/>
      <c r="I72" s="4"/>
      <c r="J72" s="4"/>
      <c r="K72" s="4"/>
      <c r="L72" s="4"/>
      <c r="M72" s="4"/>
      <c r="N72" s="6"/>
      <c r="O72" s="4"/>
      <c r="P72" s="4"/>
      <c r="Q72" s="4"/>
      <c r="R72" s="4"/>
      <c r="S72" s="4"/>
      <c r="T72" s="4"/>
      <c r="U72" s="5"/>
      <c r="V72" s="5"/>
      <c r="W72" s="3"/>
      <c r="X72" s="3"/>
      <c r="Y72" s="3"/>
      <c r="Z72" s="3"/>
    </row>
    <row r="73" ht="14.25" customHeight="1">
      <c r="A73" s="4"/>
      <c r="B73" s="4"/>
      <c r="C73" s="1"/>
      <c r="D73" s="4"/>
      <c r="E73" s="5"/>
      <c r="F73" s="1"/>
      <c r="G73" s="4"/>
      <c r="H73" s="4"/>
      <c r="I73" s="4"/>
      <c r="J73" s="4"/>
      <c r="K73" s="4"/>
      <c r="L73" s="4"/>
      <c r="M73" s="4"/>
      <c r="N73" s="6"/>
      <c r="O73" s="4"/>
      <c r="P73" s="4"/>
      <c r="Q73" s="4"/>
      <c r="R73" s="4"/>
      <c r="S73" s="4"/>
      <c r="T73" s="4"/>
      <c r="U73" s="5"/>
      <c r="V73" s="5"/>
      <c r="W73" s="3"/>
      <c r="X73" s="3"/>
      <c r="Y73" s="3"/>
      <c r="Z73" s="3"/>
    </row>
    <row r="74" ht="14.25" customHeight="1">
      <c r="A74" s="4"/>
      <c r="B74" s="4"/>
      <c r="C74" s="1"/>
      <c r="D74" s="4"/>
      <c r="E74" s="5"/>
      <c r="F74" s="1"/>
      <c r="G74" s="4"/>
      <c r="H74" s="4"/>
      <c r="I74" s="4"/>
      <c r="J74" s="4"/>
      <c r="K74" s="4"/>
      <c r="L74" s="4"/>
      <c r="M74" s="4"/>
      <c r="N74" s="6"/>
      <c r="O74" s="4"/>
      <c r="P74" s="4"/>
      <c r="Q74" s="4"/>
      <c r="R74" s="4"/>
      <c r="S74" s="4"/>
      <c r="T74" s="4"/>
      <c r="U74" s="5"/>
      <c r="V74" s="5"/>
      <c r="W74" s="3"/>
      <c r="X74" s="3"/>
      <c r="Y74" s="3"/>
      <c r="Z74" s="3"/>
    </row>
    <row r="75" ht="14.25" customHeight="1">
      <c r="A75" s="4"/>
      <c r="B75" s="4"/>
      <c r="C75" s="1"/>
      <c r="D75" s="4"/>
      <c r="E75" s="5"/>
      <c r="F75" s="1"/>
      <c r="G75" s="4"/>
      <c r="H75" s="4"/>
      <c r="I75" s="4"/>
      <c r="J75" s="4"/>
      <c r="K75" s="4"/>
      <c r="L75" s="4"/>
      <c r="M75" s="4"/>
      <c r="N75" s="6"/>
      <c r="O75" s="4"/>
      <c r="P75" s="4"/>
      <c r="Q75" s="4"/>
      <c r="R75" s="4"/>
      <c r="S75" s="4"/>
      <c r="T75" s="4"/>
      <c r="U75" s="5"/>
      <c r="V75" s="5"/>
      <c r="W75" s="3"/>
      <c r="X75" s="3"/>
      <c r="Y75" s="3"/>
      <c r="Z75" s="3"/>
    </row>
    <row r="76" ht="14.25" customHeight="1">
      <c r="A76" s="4"/>
      <c r="B76" s="4"/>
      <c r="C76" s="1"/>
      <c r="D76" s="4"/>
      <c r="E76" s="5"/>
      <c r="F76" s="1"/>
      <c r="G76" s="4"/>
      <c r="H76" s="4"/>
      <c r="I76" s="4"/>
      <c r="J76" s="4"/>
      <c r="K76" s="4"/>
      <c r="L76" s="4"/>
      <c r="M76" s="4"/>
      <c r="N76" s="6"/>
      <c r="O76" s="4"/>
      <c r="P76" s="4"/>
      <c r="Q76" s="4"/>
      <c r="R76" s="4"/>
      <c r="S76" s="4"/>
      <c r="T76" s="4"/>
      <c r="U76" s="5"/>
      <c r="V76" s="5"/>
      <c r="W76" s="3"/>
      <c r="X76" s="3"/>
      <c r="Y76" s="3"/>
      <c r="Z76" s="3"/>
    </row>
    <row r="77" ht="14.25" customHeight="1">
      <c r="A77" s="4"/>
      <c r="B77" s="4"/>
      <c r="C77" s="1"/>
      <c r="D77" s="4"/>
      <c r="E77" s="5"/>
      <c r="F77" s="1"/>
      <c r="G77" s="4"/>
      <c r="H77" s="4"/>
      <c r="I77" s="4"/>
      <c r="J77" s="4"/>
      <c r="K77" s="4"/>
      <c r="L77" s="4"/>
      <c r="M77" s="4"/>
      <c r="N77" s="6"/>
      <c r="O77" s="4"/>
      <c r="P77" s="4"/>
      <c r="Q77" s="4"/>
      <c r="R77" s="4"/>
      <c r="S77" s="4"/>
      <c r="T77" s="4"/>
      <c r="U77" s="5"/>
      <c r="V77" s="5"/>
      <c r="W77" s="3"/>
      <c r="X77" s="3"/>
      <c r="Y77" s="3"/>
      <c r="Z77" s="3"/>
    </row>
    <row r="78" ht="14.25" customHeight="1">
      <c r="A78" s="4"/>
      <c r="B78" s="4"/>
      <c r="C78" s="1"/>
      <c r="D78" s="4"/>
      <c r="E78" s="5"/>
      <c r="F78" s="1"/>
      <c r="G78" s="4"/>
      <c r="H78" s="4"/>
      <c r="I78" s="4"/>
      <c r="J78" s="4"/>
      <c r="K78" s="4"/>
      <c r="L78" s="4"/>
      <c r="M78" s="4"/>
      <c r="N78" s="6"/>
      <c r="O78" s="4"/>
      <c r="P78" s="4"/>
      <c r="Q78" s="4"/>
      <c r="R78" s="4"/>
      <c r="S78" s="4"/>
      <c r="T78" s="4"/>
      <c r="U78" s="5"/>
      <c r="V78" s="5"/>
      <c r="W78" s="3"/>
      <c r="X78" s="3"/>
      <c r="Y78" s="3"/>
      <c r="Z78" s="3"/>
    </row>
    <row r="79" ht="14.25" customHeight="1">
      <c r="A79" s="4"/>
      <c r="B79" s="4"/>
      <c r="C79" s="1"/>
      <c r="D79" s="4"/>
      <c r="E79" s="5"/>
      <c r="F79" s="1"/>
      <c r="G79" s="4"/>
      <c r="H79" s="4"/>
      <c r="I79" s="4"/>
      <c r="J79" s="4"/>
      <c r="K79" s="4"/>
      <c r="L79" s="4"/>
      <c r="M79" s="4"/>
      <c r="N79" s="6"/>
      <c r="O79" s="4"/>
      <c r="P79" s="4"/>
      <c r="Q79" s="4"/>
      <c r="R79" s="4"/>
      <c r="S79" s="4"/>
      <c r="T79" s="4"/>
      <c r="U79" s="5"/>
      <c r="V79" s="5"/>
      <c r="W79" s="3"/>
      <c r="X79" s="3"/>
      <c r="Y79" s="3"/>
      <c r="Z79" s="3"/>
    </row>
    <row r="80" ht="14.25" customHeight="1">
      <c r="A80" s="4"/>
      <c r="B80" s="4"/>
      <c r="C80" s="1"/>
      <c r="D80" s="4"/>
      <c r="E80" s="5"/>
      <c r="F80" s="1"/>
      <c r="G80" s="4"/>
      <c r="H80" s="4"/>
      <c r="I80" s="4"/>
      <c r="J80" s="4"/>
      <c r="K80" s="4"/>
      <c r="L80" s="4"/>
      <c r="M80" s="4"/>
      <c r="N80" s="6"/>
      <c r="O80" s="4"/>
      <c r="P80" s="4"/>
      <c r="Q80" s="4"/>
      <c r="R80" s="4"/>
      <c r="S80" s="4"/>
      <c r="T80" s="4"/>
      <c r="U80" s="5"/>
      <c r="V80" s="5"/>
      <c r="W80" s="3"/>
      <c r="X80" s="3"/>
      <c r="Y80" s="3"/>
      <c r="Z80" s="3"/>
    </row>
    <row r="81" ht="14.25" customHeight="1">
      <c r="A81" s="4"/>
      <c r="B81" s="4"/>
      <c r="C81" s="1"/>
      <c r="D81" s="4"/>
      <c r="E81" s="5"/>
      <c r="F81" s="1"/>
      <c r="G81" s="4"/>
      <c r="H81" s="4"/>
      <c r="I81" s="4"/>
      <c r="J81" s="4"/>
      <c r="K81" s="4"/>
      <c r="L81" s="4"/>
      <c r="M81" s="4"/>
      <c r="N81" s="6"/>
      <c r="O81" s="4"/>
      <c r="P81" s="4"/>
      <c r="Q81" s="4"/>
      <c r="R81" s="4"/>
      <c r="S81" s="4"/>
      <c r="T81" s="4"/>
      <c r="U81" s="5"/>
      <c r="V81" s="5"/>
      <c r="W81" s="3"/>
      <c r="X81" s="3"/>
      <c r="Y81" s="3"/>
      <c r="Z81" s="3"/>
    </row>
    <row r="82" ht="14.25" customHeight="1">
      <c r="A82" s="4"/>
      <c r="B82" s="4"/>
      <c r="C82" s="1"/>
      <c r="D82" s="4"/>
      <c r="E82" s="5"/>
      <c r="F82" s="1"/>
      <c r="G82" s="4"/>
      <c r="H82" s="4"/>
      <c r="I82" s="4"/>
      <c r="J82" s="4"/>
      <c r="K82" s="4"/>
      <c r="L82" s="4"/>
      <c r="M82" s="4"/>
      <c r="N82" s="6"/>
      <c r="O82" s="4"/>
      <c r="P82" s="4"/>
      <c r="Q82" s="4"/>
      <c r="R82" s="4"/>
      <c r="S82" s="4"/>
      <c r="T82" s="4"/>
      <c r="U82" s="5"/>
      <c r="V82" s="5"/>
      <c r="W82" s="3"/>
      <c r="X82" s="3"/>
      <c r="Y82" s="3"/>
      <c r="Z82" s="3"/>
    </row>
    <row r="83" ht="14.25" customHeight="1">
      <c r="A83" s="4"/>
      <c r="B83" s="4"/>
      <c r="C83" s="1"/>
      <c r="D83" s="4"/>
      <c r="E83" s="5"/>
      <c r="F83" s="1"/>
      <c r="G83" s="4"/>
      <c r="H83" s="4"/>
      <c r="I83" s="4"/>
      <c r="J83" s="4"/>
      <c r="K83" s="4"/>
      <c r="L83" s="4"/>
      <c r="M83" s="4"/>
      <c r="N83" s="6"/>
      <c r="O83" s="4"/>
      <c r="P83" s="4"/>
      <c r="Q83" s="4"/>
      <c r="R83" s="4"/>
      <c r="S83" s="4"/>
      <c r="T83" s="4"/>
      <c r="U83" s="5"/>
      <c r="V83" s="5"/>
      <c r="W83" s="3"/>
      <c r="X83" s="3"/>
      <c r="Y83" s="3"/>
      <c r="Z83" s="3"/>
    </row>
    <row r="84" ht="14.25" customHeight="1">
      <c r="A84" s="4"/>
      <c r="B84" s="4"/>
      <c r="C84" s="1"/>
      <c r="D84" s="4"/>
      <c r="E84" s="5"/>
      <c r="F84" s="1"/>
      <c r="G84" s="4"/>
      <c r="H84" s="4"/>
      <c r="I84" s="4"/>
      <c r="J84" s="4"/>
      <c r="K84" s="4"/>
      <c r="L84" s="4"/>
      <c r="M84" s="4"/>
      <c r="N84" s="6"/>
      <c r="O84" s="4"/>
      <c r="P84" s="4"/>
      <c r="Q84" s="4"/>
      <c r="R84" s="4"/>
      <c r="S84" s="4"/>
      <c r="T84" s="4"/>
      <c r="U84" s="5"/>
      <c r="V84" s="5"/>
      <c r="W84" s="3"/>
      <c r="X84" s="3"/>
      <c r="Y84" s="3"/>
      <c r="Z84" s="3"/>
    </row>
    <row r="85" ht="14.25" customHeight="1">
      <c r="A85" s="4"/>
      <c r="B85" s="4"/>
      <c r="C85" s="1"/>
      <c r="D85" s="4"/>
      <c r="E85" s="5"/>
      <c r="F85" s="1"/>
      <c r="G85" s="4"/>
      <c r="H85" s="4"/>
      <c r="I85" s="4"/>
      <c r="J85" s="4"/>
      <c r="K85" s="4"/>
      <c r="L85" s="4"/>
      <c r="M85" s="4"/>
      <c r="N85" s="6"/>
      <c r="O85" s="4"/>
      <c r="P85" s="4"/>
      <c r="Q85" s="4"/>
      <c r="R85" s="4"/>
      <c r="S85" s="4"/>
      <c r="T85" s="4"/>
      <c r="U85" s="5"/>
      <c r="V85" s="5"/>
      <c r="W85" s="3"/>
      <c r="X85" s="3"/>
      <c r="Y85" s="3"/>
      <c r="Z85" s="3"/>
    </row>
    <row r="86" ht="14.25" customHeight="1">
      <c r="A86" s="4"/>
      <c r="B86" s="4"/>
      <c r="C86" s="1"/>
      <c r="D86" s="4"/>
      <c r="E86" s="5"/>
      <c r="F86" s="1"/>
      <c r="G86" s="4"/>
      <c r="H86" s="4"/>
      <c r="I86" s="4"/>
      <c r="J86" s="4"/>
      <c r="K86" s="4"/>
      <c r="L86" s="4"/>
      <c r="M86" s="4"/>
      <c r="N86" s="6"/>
      <c r="O86" s="4"/>
      <c r="P86" s="4"/>
      <c r="Q86" s="4"/>
      <c r="R86" s="4"/>
      <c r="S86" s="4"/>
      <c r="T86" s="4"/>
      <c r="U86" s="5"/>
      <c r="V86" s="5"/>
      <c r="W86" s="3"/>
      <c r="X86" s="3"/>
      <c r="Y86" s="3"/>
      <c r="Z86" s="3"/>
    </row>
    <row r="87" ht="14.25" customHeight="1">
      <c r="A87" s="4"/>
      <c r="B87" s="4"/>
      <c r="C87" s="1"/>
      <c r="D87" s="4"/>
      <c r="E87" s="5"/>
      <c r="F87" s="1"/>
      <c r="G87" s="4"/>
      <c r="H87" s="4"/>
      <c r="I87" s="4"/>
      <c r="J87" s="4"/>
      <c r="K87" s="4"/>
      <c r="L87" s="4"/>
      <c r="M87" s="4"/>
      <c r="N87" s="6"/>
      <c r="O87" s="4"/>
      <c r="P87" s="4"/>
      <c r="Q87" s="4"/>
      <c r="R87" s="4"/>
      <c r="S87" s="4"/>
      <c r="T87" s="4"/>
      <c r="U87" s="5"/>
      <c r="V87" s="5"/>
      <c r="W87" s="3"/>
      <c r="X87" s="3"/>
      <c r="Y87" s="3"/>
      <c r="Z87" s="3"/>
    </row>
    <row r="88" ht="14.25" customHeight="1">
      <c r="A88" s="4"/>
      <c r="B88" s="4"/>
      <c r="C88" s="1"/>
      <c r="D88" s="4"/>
      <c r="E88" s="5"/>
      <c r="F88" s="1"/>
      <c r="G88" s="4"/>
      <c r="H88" s="4"/>
      <c r="I88" s="4"/>
      <c r="J88" s="4"/>
      <c r="K88" s="4"/>
      <c r="L88" s="4"/>
      <c r="M88" s="4"/>
      <c r="N88" s="6"/>
      <c r="O88" s="4"/>
      <c r="P88" s="4"/>
      <c r="Q88" s="4"/>
      <c r="R88" s="4"/>
      <c r="S88" s="4"/>
      <c r="T88" s="4"/>
      <c r="U88" s="5"/>
      <c r="V88" s="5"/>
      <c r="W88" s="3"/>
      <c r="X88" s="3"/>
      <c r="Y88" s="3"/>
      <c r="Z88" s="3"/>
    </row>
    <row r="89" ht="14.25" customHeight="1">
      <c r="A89" s="4"/>
      <c r="B89" s="4"/>
      <c r="C89" s="1"/>
      <c r="D89" s="4"/>
      <c r="E89" s="5"/>
      <c r="F89" s="1"/>
      <c r="G89" s="4"/>
      <c r="H89" s="4"/>
      <c r="I89" s="4"/>
      <c r="J89" s="4"/>
      <c r="K89" s="4"/>
      <c r="L89" s="4"/>
      <c r="M89" s="4"/>
      <c r="N89" s="6"/>
      <c r="O89" s="4"/>
      <c r="P89" s="4"/>
      <c r="Q89" s="4"/>
      <c r="R89" s="4"/>
      <c r="S89" s="4"/>
      <c r="T89" s="4"/>
      <c r="U89" s="5"/>
      <c r="V89" s="5"/>
      <c r="W89" s="3"/>
      <c r="X89" s="3"/>
      <c r="Y89" s="3"/>
      <c r="Z89" s="3"/>
    </row>
    <row r="90" ht="14.25" customHeight="1">
      <c r="A90" s="4"/>
      <c r="B90" s="4"/>
      <c r="C90" s="1"/>
      <c r="D90" s="4"/>
      <c r="E90" s="5"/>
      <c r="F90" s="1"/>
      <c r="G90" s="4"/>
      <c r="H90" s="4"/>
      <c r="I90" s="4"/>
      <c r="J90" s="4"/>
      <c r="K90" s="4"/>
      <c r="L90" s="4"/>
      <c r="M90" s="4"/>
      <c r="N90" s="6"/>
      <c r="O90" s="4"/>
      <c r="P90" s="4"/>
      <c r="Q90" s="4"/>
      <c r="R90" s="4"/>
      <c r="S90" s="4"/>
      <c r="T90" s="4"/>
      <c r="U90" s="5"/>
      <c r="V90" s="5"/>
      <c r="W90" s="3"/>
      <c r="X90" s="3"/>
      <c r="Y90" s="3"/>
      <c r="Z90" s="3"/>
    </row>
    <row r="91" ht="14.25" customHeight="1">
      <c r="A91" s="4"/>
      <c r="B91" s="4"/>
      <c r="C91" s="1"/>
      <c r="D91" s="4"/>
      <c r="E91" s="5"/>
      <c r="F91" s="1"/>
      <c r="G91" s="4"/>
      <c r="H91" s="4"/>
      <c r="I91" s="4"/>
      <c r="J91" s="4"/>
      <c r="K91" s="4"/>
      <c r="L91" s="4"/>
      <c r="M91" s="4"/>
      <c r="N91" s="6"/>
      <c r="O91" s="4"/>
      <c r="P91" s="4"/>
      <c r="Q91" s="4"/>
      <c r="R91" s="4"/>
      <c r="S91" s="4"/>
      <c r="T91" s="4"/>
      <c r="U91" s="5"/>
      <c r="V91" s="5"/>
      <c r="W91" s="3"/>
      <c r="X91" s="3"/>
      <c r="Y91" s="3"/>
      <c r="Z91" s="3"/>
    </row>
    <row r="92" ht="14.25" customHeight="1">
      <c r="A92" s="4"/>
      <c r="B92" s="4"/>
      <c r="C92" s="1"/>
      <c r="D92" s="4"/>
      <c r="E92" s="5"/>
      <c r="F92" s="1"/>
      <c r="G92" s="4"/>
      <c r="H92" s="4"/>
      <c r="I92" s="4"/>
      <c r="J92" s="4"/>
      <c r="K92" s="4"/>
      <c r="L92" s="4"/>
      <c r="M92" s="4"/>
      <c r="N92" s="6"/>
      <c r="O92" s="4"/>
      <c r="P92" s="4"/>
      <c r="Q92" s="4"/>
      <c r="R92" s="4"/>
      <c r="S92" s="4"/>
      <c r="T92" s="4"/>
      <c r="U92" s="5"/>
      <c r="V92" s="5"/>
      <c r="W92" s="3"/>
      <c r="X92" s="3"/>
      <c r="Y92" s="3"/>
      <c r="Z92" s="3"/>
    </row>
    <row r="93" ht="14.25" customHeight="1">
      <c r="A93" s="4"/>
      <c r="B93" s="4"/>
      <c r="C93" s="1"/>
      <c r="D93" s="4"/>
      <c r="E93" s="5"/>
      <c r="F93" s="1"/>
      <c r="G93" s="4"/>
      <c r="H93" s="4"/>
      <c r="I93" s="4"/>
      <c r="J93" s="4"/>
      <c r="K93" s="4"/>
      <c r="L93" s="4"/>
      <c r="M93" s="4"/>
      <c r="N93" s="6"/>
      <c r="O93" s="4"/>
      <c r="P93" s="4"/>
      <c r="Q93" s="4"/>
      <c r="R93" s="4"/>
      <c r="S93" s="4"/>
      <c r="T93" s="4"/>
      <c r="U93" s="5"/>
      <c r="V93" s="5"/>
      <c r="W93" s="3"/>
      <c r="X93" s="3"/>
      <c r="Y93" s="3"/>
      <c r="Z93" s="3"/>
    </row>
    <row r="94" ht="14.25" customHeight="1">
      <c r="A94" s="4"/>
      <c r="B94" s="4"/>
      <c r="C94" s="1"/>
      <c r="D94" s="4"/>
      <c r="E94" s="5"/>
      <c r="F94" s="1"/>
      <c r="G94" s="4"/>
      <c r="H94" s="4"/>
      <c r="I94" s="4"/>
      <c r="J94" s="4"/>
      <c r="K94" s="4"/>
      <c r="L94" s="4"/>
      <c r="M94" s="4"/>
      <c r="N94" s="6"/>
      <c r="O94" s="4"/>
      <c r="P94" s="4"/>
      <c r="Q94" s="4"/>
      <c r="R94" s="4"/>
      <c r="S94" s="4"/>
      <c r="T94" s="4"/>
      <c r="U94" s="5"/>
      <c r="V94" s="5"/>
      <c r="W94" s="3"/>
      <c r="X94" s="3"/>
      <c r="Y94" s="3"/>
      <c r="Z94" s="3"/>
    </row>
    <row r="95" ht="14.25" customHeight="1">
      <c r="A95" s="4"/>
      <c r="B95" s="4"/>
      <c r="C95" s="1"/>
      <c r="D95" s="4"/>
      <c r="E95" s="5"/>
      <c r="F95" s="1"/>
      <c r="G95" s="4"/>
      <c r="H95" s="4"/>
      <c r="I95" s="4"/>
      <c r="J95" s="4"/>
      <c r="K95" s="4"/>
      <c r="L95" s="4"/>
      <c r="M95" s="4"/>
      <c r="N95" s="4"/>
      <c r="O95" s="4"/>
      <c r="P95" s="4"/>
      <c r="Q95" s="4"/>
      <c r="R95" s="4"/>
      <c r="S95" s="4"/>
      <c r="T95" s="4"/>
      <c r="U95" s="5"/>
      <c r="V95" s="5"/>
      <c r="W95" s="3"/>
      <c r="X95" s="3"/>
      <c r="Y95" s="3"/>
      <c r="Z95" s="3"/>
    </row>
    <row r="96" ht="14.25" customHeight="1">
      <c r="A96" s="4"/>
      <c r="B96" s="4"/>
      <c r="C96" s="1"/>
      <c r="D96" s="4"/>
      <c r="E96" s="5"/>
      <c r="F96" s="1"/>
      <c r="G96" s="4"/>
      <c r="H96" s="4"/>
      <c r="I96" s="4"/>
      <c r="J96" s="4"/>
      <c r="K96" s="4"/>
      <c r="L96" s="4"/>
      <c r="M96" s="4"/>
      <c r="N96" s="4"/>
      <c r="O96" s="4"/>
      <c r="P96" s="4"/>
      <c r="Q96" s="4"/>
      <c r="R96" s="4"/>
      <c r="S96" s="4"/>
      <c r="T96" s="4"/>
      <c r="U96" s="5"/>
      <c r="V96" s="5"/>
      <c r="W96" s="3"/>
      <c r="X96" s="3"/>
      <c r="Y96" s="3"/>
      <c r="Z96" s="3"/>
    </row>
    <row r="97" ht="14.25" customHeight="1">
      <c r="A97" s="4"/>
      <c r="B97" s="4"/>
      <c r="C97" s="1"/>
      <c r="D97" s="4"/>
      <c r="E97" s="5"/>
      <c r="F97" s="1"/>
      <c r="G97" s="4"/>
      <c r="H97" s="4"/>
      <c r="I97" s="4"/>
      <c r="J97" s="4"/>
      <c r="K97" s="4"/>
      <c r="L97" s="4"/>
      <c r="M97" s="4"/>
      <c r="N97" s="4"/>
      <c r="O97" s="4"/>
      <c r="P97" s="4"/>
      <c r="Q97" s="4"/>
      <c r="R97" s="4"/>
      <c r="S97" s="4"/>
      <c r="T97" s="4"/>
      <c r="U97" s="5"/>
      <c r="V97" s="5"/>
      <c r="W97" s="3"/>
      <c r="X97" s="3"/>
      <c r="Y97" s="3"/>
      <c r="Z97" s="3"/>
    </row>
    <row r="98" ht="14.25" customHeight="1">
      <c r="A98" s="4"/>
      <c r="B98" s="4"/>
      <c r="C98" s="1"/>
      <c r="D98" s="4"/>
      <c r="E98" s="5"/>
      <c r="F98" s="1"/>
      <c r="G98" s="4"/>
      <c r="H98" s="4"/>
      <c r="I98" s="4"/>
      <c r="J98" s="4"/>
      <c r="K98" s="4"/>
      <c r="L98" s="4"/>
      <c r="M98" s="4"/>
      <c r="N98" s="4"/>
      <c r="O98" s="4"/>
      <c r="P98" s="4"/>
      <c r="Q98" s="4"/>
      <c r="R98" s="4"/>
      <c r="S98" s="4"/>
      <c r="T98" s="4"/>
      <c r="U98" s="5"/>
      <c r="V98" s="5"/>
      <c r="W98" s="3"/>
      <c r="X98" s="3"/>
      <c r="Y98" s="3"/>
      <c r="Z98" s="3"/>
    </row>
    <row r="99" ht="14.25" customHeight="1">
      <c r="A99" s="4"/>
      <c r="B99" s="4"/>
      <c r="C99" s="1"/>
      <c r="D99" s="4"/>
      <c r="E99" s="5"/>
      <c r="F99" s="1"/>
      <c r="G99" s="4"/>
      <c r="H99" s="4"/>
      <c r="I99" s="4"/>
      <c r="J99" s="4"/>
      <c r="K99" s="4"/>
      <c r="L99" s="4"/>
      <c r="M99" s="4"/>
      <c r="N99" s="4"/>
      <c r="O99" s="4"/>
      <c r="P99" s="4"/>
      <c r="Q99" s="4"/>
      <c r="R99" s="4"/>
      <c r="S99" s="4"/>
      <c r="T99" s="4"/>
      <c r="U99" s="5"/>
      <c r="V99" s="5"/>
      <c r="W99" s="3"/>
      <c r="X99" s="3"/>
      <c r="Y99" s="3"/>
      <c r="Z99" s="3"/>
    </row>
    <row r="100" ht="14.25" customHeight="1">
      <c r="A100" s="4"/>
      <c r="B100" s="4"/>
      <c r="C100" s="1"/>
      <c r="D100" s="4"/>
      <c r="E100" s="5"/>
      <c r="F100" s="1"/>
      <c r="G100" s="4"/>
      <c r="H100" s="4"/>
      <c r="I100" s="4"/>
      <c r="J100" s="4"/>
      <c r="K100" s="4"/>
      <c r="L100" s="4"/>
      <c r="M100" s="4"/>
      <c r="N100" s="6"/>
      <c r="O100" s="4"/>
      <c r="P100" s="4"/>
      <c r="Q100" s="4"/>
      <c r="R100" s="4"/>
      <c r="S100" s="4"/>
      <c r="T100" s="4"/>
      <c r="U100" s="5"/>
      <c r="V100" s="5"/>
      <c r="W100" s="3"/>
      <c r="X100" s="3"/>
      <c r="Y100" s="3"/>
      <c r="Z100" s="3"/>
    </row>
    <row r="101" ht="14.25" customHeight="1">
      <c r="A101" s="4"/>
      <c r="B101" s="4"/>
      <c r="C101" s="1"/>
      <c r="D101" s="4"/>
      <c r="E101" s="5"/>
      <c r="F101" s="1"/>
      <c r="G101" s="4"/>
      <c r="H101" s="4"/>
      <c r="I101" s="4"/>
      <c r="J101" s="4"/>
      <c r="K101" s="4"/>
      <c r="L101" s="4"/>
      <c r="M101" s="4"/>
      <c r="N101" s="6"/>
      <c r="O101" s="4"/>
      <c r="P101" s="4"/>
      <c r="Q101" s="4"/>
      <c r="R101" s="4"/>
      <c r="S101" s="4"/>
      <c r="T101" s="4"/>
      <c r="U101" s="5"/>
      <c r="V101" s="5"/>
      <c r="W101" s="3"/>
      <c r="X101" s="3"/>
      <c r="Y101" s="3"/>
      <c r="Z101" s="3"/>
    </row>
    <row r="102" ht="14.25" customHeight="1">
      <c r="A102" s="4"/>
      <c r="B102" s="4"/>
      <c r="C102" s="1"/>
      <c r="D102" s="4"/>
      <c r="E102" s="5"/>
      <c r="F102" s="1"/>
      <c r="G102" s="4"/>
      <c r="H102" s="4"/>
      <c r="I102" s="4"/>
      <c r="J102" s="4"/>
      <c r="K102" s="4"/>
      <c r="L102" s="4"/>
      <c r="M102" s="4"/>
      <c r="N102" s="6"/>
      <c r="O102" s="4"/>
      <c r="P102" s="4"/>
      <c r="Q102" s="4"/>
      <c r="R102" s="4"/>
      <c r="S102" s="4"/>
      <c r="T102" s="4"/>
      <c r="U102" s="5"/>
      <c r="V102" s="5"/>
      <c r="W102" s="3"/>
      <c r="X102" s="3"/>
      <c r="Y102" s="3"/>
      <c r="Z102" s="3"/>
    </row>
    <row r="103" ht="14.25" customHeight="1">
      <c r="A103" s="4"/>
      <c r="B103" s="4"/>
      <c r="C103" s="1"/>
      <c r="D103" s="4"/>
      <c r="E103" s="5"/>
      <c r="F103" s="1"/>
      <c r="G103" s="4"/>
      <c r="H103" s="4"/>
      <c r="I103" s="4"/>
      <c r="J103" s="4"/>
      <c r="K103" s="4"/>
      <c r="L103" s="4"/>
      <c r="M103" s="4"/>
      <c r="N103" s="6"/>
      <c r="O103" s="4"/>
      <c r="P103" s="4"/>
      <c r="Q103" s="4"/>
      <c r="R103" s="4"/>
      <c r="S103" s="4"/>
      <c r="T103" s="4"/>
      <c r="U103" s="5"/>
      <c r="V103" s="5"/>
      <c r="W103" s="3"/>
      <c r="X103" s="3"/>
      <c r="Y103" s="3"/>
      <c r="Z103" s="3"/>
    </row>
    <row r="104" ht="14.25" customHeight="1">
      <c r="A104" s="4"/>
      <c r="B104" s="4"/>
      <c r="C104" s="1"/>
      <c r="D104" s="4"/>
      <c r="E104" s="5"/>
      <c r="F104" s="1"/>
      <c r="G104" s="4"/>
      <c r="H104" s="4"/>
      <c r="I104" s="4"/>
      <c r="J104" s="4"/>
      <c r="K104" s="4"/>
      <c r="L104" s="4"/>
      <c r="M104" s="4"/>
      <c r="N104" s="6"/>
      <c r="O104" s="4"/>
      <c r="P104" s="4"/>
      <c r="Q104" s="4"/>
      <c r="R104" s="4"/>
      <c r="S104" s="4"/>
      <c r="T104" s="4"/>
      <c r="U104" s="5"/>
      <c r="V104" s="5"/>
      <c r="W104" s="3"/>
      <c r="X104" s="3"/>
      <c r="Y104" s="3"/>
      <c r="Z104" s="3"/>
    </row>
    <row r="105" ht="14.25" customHeight="1">
      <c r="A105" s="4"/>
      <c r="B105" s="4"/>
      <c r="C105" s="1"/>
      <c r="D105" s="4"/>
      <c r="E105" s="5"/>
      <c r="F105" s="1"/>
      <c r="G105" s="4"/>
      <c r="H105" s="4"/>
      <c r="I105" s="4"/>
      <c r="J105" s="4"/>
      <c r="K105" s="4"/>
      <c r="L105" s="4"/>
      <c r="M105" s="4"/>
      <c r="N105" s="6"/>
      <c r="O105" s="4"/>
      <c r="P105" s="4"/>
      <c r="Q105" s="4"/>
      <c r="R105" s="4"/>
      <c r="S105" s="4"/>
      <c r="T105" s="4"/>
      <c r="U105" s="5"/>
      <c r="V105" s="5"/>
      <c r="W105" s="3"/>
      <c r="X105" s="3"/>
      <c r="Y105" s="3"/>
      <c r="Z105" s="3"/>
    </row>
    <row r="106" ht="14.25" customHeight="1">
      <c r="A106" s="4"/>
      <c r="B106" s="4"/>
      <c r="C106" s="1"/>
      <c r="D106" s="4"/>
      <c r="E106" s="5"/>
      <c r="F106" s="1"/>
      <c r="G106" s="4"/>
      <c r="H106" s="4"/>
      <c r="I106" s="4"/>
      <c r="J106" s="4"/>
      <c r="K106" s="4"/>
      <c r="L106" s="4"/>
      <c r="M106" s="4"/>
      <c r="N106" s="6"/>
      <c r="O106" s="4"/>
      <c r="P106" s="4"/>
      <c r="Q106" s="4"/>
      <c r="R106" s="4"/>
      <c r="S106" s="4"/>
      <c r="T106" s="4"/>
      <c r="U106" s="5"/>
      <c r="V106" s="5"/>
      <c r="W106" s="3"/>
      <c r="X106" s="3"/>
      <c r="Y106" s="3"/>
      <c r="Z106" s="3"/>
    </row>
    <row r="107" ht="14.25" customHeight="1">
      <c r="A107" s="4"/>
      <c r="B107" s="4"/>
      <c r="C107" s="1"/>
      <c r="D107" s="4"/>
      <c r="E107" s="5"/>
      <c r="F107" s="1"/>
      <c r="G107" s="4"/>
      <c r="H107" s="4"/>
      <c r="I107" s="4"/>
      <c r="J107" s="4"/>
      <c r="K107" s="4"/>
      <c r="L107" s="4"/>
      <c r="M107" s="4"/>
      <c r="N107" s="6"/>
      <c r="O107" s="4"/>
      <c r="P107" s="4"/>
      <c r="Q107" s="4"/>
      <c r="R107" s="4"/>
      <c r="S107" s="4"/>
      <c r="T107" s="4"/>
      <c r="U107" s="5"/>
      <c r="V107" s="5"/>
      <c r="W107" s="3"/>
      <c r="X107" s="3"/>
      <c r="Y107" s="3"/>
      <c r="Z107" s="3"/>
    </row>
    <row r="108" ht="14.25" customHeight="1">
      <c r="A108" s="4"/>
      <c r="B108" s="4"/>
      <c r="C108" s="1"/>
      <c r="D108" s="4"/>
      <c r="E108" s="5"/>
      <c r="F108" s="1"/>
      <c r="G108" s="4"/>
      <c r="H108" s="4"/>
      <c r="I108" s="4"/>
      <c r="J108" s="4"/>
      <c r="K108" s="4"/>
      <c r="L108" s="4"/>
      <c r="M108" s="4"/>
      <c r="N108" s="6"/>
      <c r="O108" s="4"/>
      <c r="P108" s="4"/>
      <c r="Q108" s="4"/>
      <c r="R108" s="4"/>
      <c r="S108" s="4"/>
      <c r="T108" s="4"/>
      <c r="U108" s="5"/>
      <c r="V108" s="5"/>
      <c r="W108" s="3"/>
      <c r="X108" s="3"/>
      <c r="Y108" s="3"/>
      <c r="Z108" s="3"/>
    </row>
    <row r="109" ht="14.25" customHeight="1">
      <c r="A109" s="4"/>
      <c r="B109" s="4"/>
      <c r="C109" s="1"/>
      <c r="D109" s="4"/>
      <c r="E109" s="5"/>
      <c r="F109" s="1"/>
      <c r="G109" s="4"/>
      <c r="H109" s="4"/>
      <c r="I109" s="4"/>
      <c r="J109" s="4"/>
      <c r="K109" s="4"/>
      <c r="L109" s="4"/>
      <c r="M109" s="4"/>
      <c r="N109" s="6"/>
      <c r="O109" s="4"/>
      <c r="P109" s="4"/>
      <c r="Q109" s="4"/>
      <c r="R109" s="4"/>
      <c r="S109" s="4"/>
      <c r="T109" s="4"/>
      <c r="U109" s="5"/>
      <c r="V109" s="5"/>
      <c r="W109" s="3"/>
      <c r="X109" s="3"/>
      <c r="Y109" s="3"/>
      <c r="Z109" s="3"/>
    </row>
    <row r="110" ht="14.25" customHeight="1">
      <c r="A110" s="4"/>
      <c r="B110" s="4"/>
      <c r="C110" s="1"/>
      <c r="D110" s="4"/>
      <c r="E110" s="5"/>
      <c r="F110" s="1"/>
      <c r="G110" s="4"/>
      <c r="H110" s="4"/>
      <c r="I110" s="4"/>
      <c r="J110" s="4"/>
      <c r="K110" s="4"/>
      <c r="L110" s="4"/>
      <c r="M110" s="4"/>
      <c r="N110" s="6"/>
      <c r="O110" s="4"/>
      <c r="P110" s="4"/>
      <c r="Q110" s="4"/>
      <c r="R110" s="4"/>
      <c r="S110" s="4"/>
      <c r="T110" s="4"/>
      <c r="U110" s="5"/>
      <c r="V110" s="5"/>
      <c r="W110" s="3"/>
      <c r="X110" s="3"/>
      <c r="Y110" s="3"/>
      <c r="Z110" s="3"/>
    </row>
    <row r="111" ht="14.25" customHeight="1">
      <c r="A111" s="4"/>
      <c r="B111" s="4"/>
      <c r="C111" s="1"/>
      <c r="D111" s="4"/>
      <c r="E111" s="5"/>
      <c r="F111" s="1"/>
      <c r="G111" s="4"/>
      <c r="H111" s="4"/>
      <c r="I111" s="4"/>
      <c r="J111" s="4"/>
      <c r="K111" s="4"/>
      <c r="L111" s="4"/>
      <c r="M111" s="4"/>
      <c r="N111" s="6"/>
      <c r="O111" s="4"/>
      <c r="P111" s="4"/>
      <c r="Q111" s="4"/>
      <c r="R111" s="4"/>
      <c r="S111" s="4"/>
      <c r="T111" s="4"/>
      <c r="U111" s="5"/>
      <c r="V111" s="5"/>
      <c r="W111" s="3"/>
      <c r="X111" s="3"/>
      <c r="Y111" s="3"/>
      <c r="Z111" s="3"/>
    </row>
    <row r="112" ht="14.25" customHeight="1">
      <c r="A112" s="4"/>
      <c r="B112" s="4"/>
      <c r="C112" s="1"/>
      <c r="D112" s="4"/>
      <c r="E112" s="5"/>
      <c r="F112" s="1"/>
      <c r="G112" s="4"/>
      <c r="H112" s="4"/>
      <c r="I112" s="4"/>
      <c r="J112" s="4"/>
      <c r="K112" s="4"/>
      <c r="L112" s="4"/>
      <c r="M112" s="4"/>
      <c r="N112" s="6"/>
      <c r="O112" s="4"/>
      <c r="P112" s="4"/>
      <c r="Q112" s="4"/>
      <c r="R112" s="4"/>
      <c r="S112" s="4"/>
      <c r="T112" s="4"/>
      <c r="U112" s="5"/>
      <c r="V112" s="5"/>
      <c r="W112" s="3"/>
      <c r="X112" s="3"/>
      <c r="Y112" s="3"/>
      <c r="Z112" s="3"/>
    </row>
    <row r="113" ht="14.25" customHeight="1">
      <c r="A113" s="4"/>
      <c r="B113" s="4"/>
      <c r="C113" s="1"/>
      <c r="D113" s="4"/>
      <c r="E113" s="5"/>
      <c r="F113" s="1"/>
      <c r="G113" s="4"/>
      <c r="H113" s="4"/>
      <c r="I113" s="4"/>
      <c r="J113" s="4"/>
      <c r="K113" s="4"/>
      <c r="L113" s="4"/>
      <c r="M113" s="4"/>
      <c r="N113" s="6"/>
      <c r="O113" s="4"/>
      <c r="P113" s="4"/>
      <c r="Q113" s="4"/>
      <c r="R113" s="4"/>
      <c r="S113" s="4"/>
      <c r="T113" s="4"/>
      <c r="U113" s="5"/>
      <c r="V113" s="5"/>
      <c r="W113" s="3"/>
      <c r="X113" s="3"/>
      <c r="Y113" s="3"/>
      <c r="Z113" s="3"/>
    </row>
    <row r="114" ht="14.25" customHeight="1">
      <c r="A114" s="4"/>
      <c r="B114" s="4"/>
      <c r="C114" s="1"/>
      <c r="D114" s="4"/>
      <c r="E114" s="5"/>
      <c r="F114" s="1"/>
      <c r="G114" s="4"/>
      <c r="H114" s="4"/>
      <c r="I114" s="4"/>
      <c r="J114" s="4"/>
      <c r="K114" s="4"/>
      <c r="L114" s="4"/>
      <c r="M114" s="4"/>
      <c r="N114" s="4"/>
      <c r="O114" s="4"/>
      <c r="P114" s="4"/>
      <c r="Q114" s="4"/>
      <c r="R114" s="4"/>
      <c r="S114" s="4"/>
      <c r="T114" s="4"/>
      <c r="U114" s="5"/>
      <c r="V114" s="5"/>
      <c r="W114" s="3"/>
      <c r="X114" s="3"/>
      <c r="Y114" s="3"/>
      <c r="Z114" s="3"/>
    </row>
    <row r="115" ht="14.25" customHeight="1">
      <c r="A115" s="4"/>
      <c r="B115" s="4"/>
      <c r="C115" s="1"/>
      <c r="D115" s="4"/>
      <c r="E115" s="5"/>
      <c r="F115" s="1"/>
      <c r="G115" s="4"/>
      <c r="H115" s="4"/>
      <c r="I115" s="4"/>
      <c r="J115" s="4"/>
      <c r="K115" s="4"/>
      <c r="L115" s="4"/>
      <c r="M115" s="4"/>
      <c r="N115" s="4"/>
      <c r="O115" s="4"/>
      <c r="P115" s="4"/>
      <c r="Q115" s="4"/>
      <c r="R115" s="4"/>
      <c r="S115" s="4"/>
      <c r="T115" s="4"/>
      <c r="U115" s="5"/>
      <c r="V115" s="5"/>
      <c r="W115" s="3"/>
      <c r="X115" s="3"/>
      <c r="Y115" s="3"/>
      <c r="Z115" s="3"/>
    </row>
    <row r="116" ht="14.25" customHeight="1">
      <c r="A116" s="4"/>
      <c r="B116" s="4"/>
      <c r="C116" s="1"/>
      <c r="D116" s="4"/>
      <c r="E116" s="5"/>
      <c r="F116" s="1"/>
      <c r="G116" s="4"/>
      <c r="H116" s="4"/>
      <c r="I116" s="4"/>
      <c r="J116" s="4"/>
      <c r="K116" s="4"/>
      <c r="L116" s="4"/>
      <c r="M116" s="4"/>
      <c r="N116" s="4"/>
      <c r="O116" s="4"/>
      <c r="P116" s="4"/>
      <c r="Q116" s="4"/>
      <c r="R116" s="4"/>
      <c r="S116" s="4"/>
      <c r="T116" s="4"/>
      <c r="U116" s="5"/>
      <c r="V116" s="5"/>
      <c r="W116" s="3"/>
      <c r="X116" s="3"/>
      <c r="Y116" s="3"/>
      <c r="Z116" s="3"/>
    </row>
    <row r="117" ht="14.25" customHeight="1">
      <c r="A117" s="4"/>
      <c r="B117" s="4"/>
      <c r="C117" s="1"/>
      <c r="D117" s="4"/>
      <c r="E117" s="5"/>
      <c r="F117" s="1"/>
      <c r="G117" s="4"/>
      <c r="H117" s="4"/>
      <c r="I117" s="4"/>
      <c r="J117" s="4"/>
      <c r="K117" s="4"/>
      <c r="L117" s="4"/>
      <c r="M117" s="4"/>
      <c r="N117" s="4"/>
      <c r="O117" s="4"/>
      <c r="P117" s="4"/>
      <c r="Q117" s="4"/>
      <c r="R117" s="4"/>
      <c r="S117" s="4"/>
      <c r="T117" s="4"/>
      <c r="U117" s="5"/>
      <c r="V117" s="5"/>
      <c r="W117" s="3"/>
      <c r="X117" s="3"/>
      <c r="Y117" s="3"/>
      <c r="Z117" s="3"/>
    </row>
    <row r="118" ht="14.25" customHeight="1">
      <c r="A118" s="4"/>
      <c r="B118" s="4"/>
      <c r="C118" s="1"/>
      <c r="D118" s="4"/>
      <c r="E118" s="5"/>
      <c r="F118" s="1"/>
      <c r="G118" s="4"/>
      <c r="H118" s="4"/>
      <c r="I118" s="4"/>
      <c r="J118" s="4"/>
      <c r="K118" s="4"/>
      <c r="L118" s="4"/>
      <c r="M118" s="4"/>
      <c r="N118" s="4"/>
      <c r="O118" s="4"/>
      <c r="P118" s="4"/>
      <c r="Q118" s="4"/>
      <c r="R118" s="4"/>
      <c r="S118" s="4"/>
      <c r="T118" s="4"/>
      <c r="U118" s="5"/>
      <c r="V118" s="5"/>
      <c r="W118" s="3"/>
      <c r="X118" s="3"/>
      <c r="Y118" s="3"/>
      <c r="Z118" s="3"/>
    </row>
    <row r="119" ht="14.25" customHeight="1">
      <c r="A119" s="4"/>
      <c r="B119" s="4"/>
      <c r="C119" s="1"/>
      <c r="D119" s="4"/>
      <c r="E119" s="5"/>
      <c r="F119" s="1"/>
      <c r="G119" s="4"/>
      <c r="H119" s="4"/>
      <c r="I119" s="4"/>
      <c r="J119" s="4"/>
      <c r="K119" s="4"/>
      <c r="L119" s="4"/>
      <c r="M119" s="4"/>
      <c r="N119" s="4"/>
      <c r="O119" s="4"/>
      <c r="P119" s="4"/>
      <c r="Q119" s="4"/>
      <c r="R119" s="4"/>
      <c r="S119" s="4"/>
      <c r="T119" s="4"/>
      <c r="U119" s="5"/>
      <c r="V119" s="5"/>
      <c r="W119" s="3"/>
      <c r="X119" s="3"/>
      <c r="Y119" s="3"/>
      <c r="Z119" s="3"/>
    </row>
    <row r="120" ht="14.25" customHeight="1">
      <c r="A120" s="4"/>
      <c r="B120" s="4"/>
      <c r="C120" s="1"/>
      <c r="D120" s="4"/>
      <c r="E120" s="5"/>
      <c r="F120" s="1"/>
      <c r="G120" s="4"/>
      <c r="H120" s="4"/>
      <c r="I120" s="4"/>
      <c r="J120" s="4"/>
      <c r="K120" s="4"/>
      <c r="L120" s="4"/>
      <c r="M120" s="4"/>
      <c r="N120" s="4"/>
      <c r="O120" s="4"/>
      <c r="P120" s="4"/>
      <c r="Q120" s="4"/>
      <c r="R120" s="4"/>
      <c r="S120" s="4"/>
      <c r="T120" s="4"/>
      <c r="U120" s="5"/>
      <c r="V120" s="5"/>
      <c r="W120" s="3"/>
      <c r="X120" s="3"/>
      <c r="Y120" s="3"/>
      <c r="Z120" s="3"/>
    </row>
    <row r="121" ht="14.25" customHeight="1">
      <c r="A121" s="4"/>
      <c r="B121" s="4"/>
      <c r="C121" s="1"/>
      <c r="D121" s="4"/>
      <c r="E121" s="5"/>
      <c r="F121" s="1"/>
      <c r="G121" s="4"/>
      <c r="H121" s="4"/>
      <c r="I121" s="4"/>
      <c r="J121" s="4"/>
      <c r="K121" s="4"/>
      <c r="L121" s="4"/>
      <c r="M121" s="4"/>
      <c r="N121" s="4"/>
      <c r="O121" s="4"/>
      <c r="P121" s="4"/>
      <c r="Q121" s="4"/>
      <c r="R121" s="4"/>
      <c r="S121" s="4"/>
      <c r="T121" s="4"/>
      <c r="U121" s="5"/>
      <c r="V121" s="5"/>
      <c r="W121" s="3"/>
      <c r="X121" s="3"/>
      <c r="Y121" s="3"/>
      <c r="Z121" s="3"/>
    </row>
    <row r="122" ht="14.25" customHeight="1">
      <c r="A122" s="4"/>
      <c r="B122" s="4"/>
      <c r="C122" s="1"/>
      <c r="D122" s="4"/>
      <c r="E122" s="5"/>
      <c r="F122" s="1"/>
      <c r="G122" s="4"/>
      <c r="H122" s="4"/>
      <c r="I122" s="4"/>
      <c r="J122" s="4"/>
      <c r="K122" s="4"/>
      <c r="L122" s="4"/>
      <c r="M122" s="4"/>
      <c r="N122" s="4"/>
      <c r="O122" s="4"/>
      <c r="P122" s="4"/>
      <c r="Q122" s="4"/>
      <c r="R122" s="4"/>
      <c r="S122" s="4"/>
      <c r="T122" s="4"/>
      <c r="U122" s="5"/>
      <c r="V122" s="5"/>
      <c r="W122" s="3"/>
      <c r="X122" s="3"/>
      <c r="Y122" s="3"/>
      <c r="Z122" s="3"/>
    </row>
    <row r="123" ht="14.25" customHeight="1">
      <c r="A123" s="4"/>
      <c r="B123" s="4"/>
      <c r="C123" s="1"/>
      <c r="D123" s="4"/>
      <c r="E123" s="5"/>
      <c r="F123" s="1"/>
      <c r="G123" s="4"/>
      <c r="H123" s="4"/>
      <c r="I123" s="4"/>
      <c r="J123" s="4"/>
      <c r="K123" s="4"/>
      <c r="L123" s="4"/>
      <c r="M123" s="4"/>
      <c r="N123" s="4"/>
      <c r="O123" s="4"/>
      <c r="P123" s="4"/>
      <c r="Q123" s="4"/>
      <c r="R123" s="4"/>
      <c r="S123" s="4"/>
      <c r="T123" s="4"/>
      <c r="U123" s="5"/>
      <c r="V123" s="5"/>
      <c r="W123" s="3"/>
      <c r="X123" s="3"/>
      <c r="Y123" s="3"/>
      <c r="Z123" s="3"/>
    </row>
    <row r="124" ht="14.25" customHeight="1">
      <c r="A124" s="4"/>
      <c r="B124" s="4"/>
      <c r="C124" s="1"/>
      <c r="D124" s="4"/>
      <c r="E124" s="5"/>
      <c r="F124" s="1"/>
      <c r="G124" s="4"/>
      <c r="H124" s="4"/>
      <c r="I124" s="4"/>
      <c r="J124" s="4"/>
      <c r="K124" s="4"/>
      <c r="L124" s="4"/>
      <c r="M124" s="4"/>
      <c r="N124" s="4"/>
      <c r="O124" s="4"/>
      <c r="P124" s="4"/>
      <c r="Q124" s="4"/>
      <c r="R124" s="4"/>
      <c r="S124" s="4"/>
      <c r="T124" s="4"/>
      <c r="U124" s="5"/>
      <c r="V124" s="5"/>
      <c r="W124" s="3"/>
      <c r="X124" s="3"/>
      <c r="Y124" s="3"/>
      <c r="Z124" s="3"/>
    </row>
    <row r="125" ht="14.25" customHeight="1">
      <c r="A125" s="4"/>
      <c r="B125" s="4"/>
      <c r="C125" s="1"/>
      <c r="D125" s="4"/>
      <c r="E125" s="5"/>
      <c r="F125" s="1"/>
      <c r="G125" s="4"/>
      <c r="H125" s="4"/>
      <c r="I125" s="4"/>
      <c r="J125" s="4"/>
      <c r="K125" s="4"/>
      <c r="L125" s="4"/>
      <c r="M125" s="4"/>
      <c r="N125" s="4"/>
      <c r="O125" s="4"/>
      <c r="P125" s="4"/>
      <c r="Q125" s="4"/>
      <c r="R125" s="4"/>
      <c r="S125" s="4"/>
      <c r="T125" s="4"/>
      <c r="U125" s="5"/>
      <c r="V125" s="5"/>
      <c r="W125" s="3"/>
      <c r="X125" s="3"/>
      <c r="Y125" s="3"/>
      <c r="Z125" s="3"/>
    </row>
    <row r="126" ht="14.25" customHeight="1">
      <c r="A126" s="4"/>
      <c r="B126" s="4"/>
      <c r="C126" s="1"/>
      <c r="D126" s="4"/>
      <c r="E126" s="5"/>
      <c r="F126" s="1"/>
      <c r="G126" s="4"/>
      <c r="H126" s="4"/>
      <c r="I126" s="4"/>
      <c r="J126" s="4"/>
      <c r="K126" s="4"/>
      <c r="L126" s="4"/>
      <c r="M126" s="4"/>
      <c r="N126" s="4"/>
      <c r="O126" s="4"/>
      <c r="P126" s="4"/>
      <c r="Q126" s="4"/>
      <c r="R126" s="4"/>
      <c r="S126" s="4"/>
      <c r="T126" s="4"/>
      <c r="U126" s="5"/>
      <c r="V126" s="5"/>
      <c r="W126" s="3"/>
      <c r="X126" s="3"/>
      <c r="Y126" s="3"/>
      <c r="Z126" s="3"/>
    </row>
    <row r="127" ht="14.25" customHeight="1">
      <c r="A127" s="4"/>
      <c r="B127" s="4"/>
      <c r="C127" s="1"/>
      <c r="D127" s="4"/>
      <c r="E127" s="5"/>
      <c r="F127" s="1"/>
      <c r="G127" s="4"/>
      <c r="H127" s="4"/>
      <c r="I127" s="4"/>
      <c r="J127" s="4"/>
      <c r="K127" s="4"/>
      <c r="L127" s="4"/>
      <c r="M127" s="4"/>
      <c r="N127" s="4"/>
      <c r="O127" s="4"/>
      <c r="P127" s="4"/>
      <c r="Q127" s="4"/>
      <c r="R127" s="4"/>
      <c r="S127" s="4"/>
      <c r="T127" s="4"/>
      <c r="U127" s="5"/>
      <c r="V127" s="5"/>
      <c r="W127" s="3"/>
      <c r="X127" s="3"/>
      <c r="Y127" s="3"/>
      <c r="Z127" s="3"/>
    </row>
    <row r="128" ht="14.25" customHeight="1">
      <c r="A128" s="4"/>
      <c r="B128" s="4"/>
      <c r="C128" s="1"/>
      <c r="D128" s="4"/>
      <c r="E128" s="5"/>
      <c r="F128" s="1"/>
      <c r="G128" s="4"/>
      <c r="H128" s="4"/>
      <c r="I128" s="4"/>
      <c r="J128" s="4"/>
      <c r="K128" s="4"/>
      <c r="L128" s="4"/>
      <c r="M128" s="4"/>
      <c r="N128" s="4"/>
      <c r="O128" s="4"/>
      <c r="P128" s="4"/>
      <c r="Q128" s="4"/>
      <c r="R128" s="4"/>
      <c r="S128" s="4"/>
      <c r="T128" s="4"/>
      <c r="U128" s="5"/>
      <c r="V128" s="5"/>
      <c r="W128" s="3"/>
      <c r="X128" s="3"/>
      <c r="Y128" s="3"/>
      <c r="Z128" s="3"/>
    </row>
    <row r="129" ht="14.25" customHeight="1">
      <c r="A129" s="4"/>
      <c r="B129" s="4"/>
      <c r="C129" s="1"/>
      <c r="D129" s="4"/>
      <c r="E129" s="5"/>
      <c r="F129" s="1"/>
      <c r="G129" s="4"/>
      <c r="H129" s="4"/>
      <c r="I129" s="4"/>
      <c r="J129" s="4"/>
      <c r="K129" s="4"/>
      <c r="L129" s="4"/>
      <c r="M129" s="4"/>
      <c r="N129" s="4"/>
      <c r="O129" s="4"/>
      <c r="P129" s="4"/>
      <c r="Q129" s="6"/>
      <c r="R129" s="6"/>
      <c r="S129" s="6"/>
      <c r="T129" s="6"/>
      <c r="U129" s="5"/>
      <c r="V129" s="5"/>
      <c r="W129" s="3"/>
      <c r="X129" s="3"/>
      <c r="Y129" s="3"/>
      <c r="Z129" s="3"/>
    </row>
    <row r="130" ht="14.25" customHeight="1">
      <c r="A130" s="4"/>
      <c r="B130" s="4"/>
      <c r="C130" s="1"/>
      <c r="D130" s="4"/>
      <c r="E130" s="5"/>
      <c r="F130" s="1"/>
      <c r="G130" s="4"/>
      <c r="H130" s="4"/>
      <c r="I130" s="4"/>
      <c r="J130" s="4"/>
      <c r="K130" s="4"/>
      <c r="L130" s="4"/>
      <c r="M130" s="4"/>
      <c r="N130" s="4"/>
      <c r="O130" s="4"/>
      <c r="P130" s="4"/>
      <c r="Q130" s="6"/>
      <c r="R130" s="6"/>
      <c r="S130" s="6"/>
      <c r="T130" s="6"/>
      <c r="U130" s="5"/>
      <c r="V130" s="5"/>
      <c r="W130" s="3"/>
      <c r="X130" s="3"/>
      <c r="Y130" s="3"/>
      <c r="Z130" s="3"/>
    </row>
    <row r="131" ht="14.25" customHeight="1">
      <c r="A131" s="4"/>
      <c r="B131" s="4"/>
      <c r="C131" s="1"/>
      <c r="D131" s="4"/>
      <c r="E131" s="5"/>
      <c r="F131" s="1"/>
      <c r="G131" s="4"/>
      <c r="H131" s="4"/>
      <c r="I131" s="4"/>
      <c r="J131" s="4"/>
      <c r="K131" s="4"/>
      <c r="L131" s="4"/>
      <c r="M131" s="4"/>
      <c r="N131" s="4"/>
      <c r="O131" s="4"/>
      <c r="P131" s="4"/>
      <c r="Q131" s="6"/>
      <c r="R131" s="6"/>
      <c r="S131" s="6"/>
      <c r="T131" s="6"/>
      <c r="U131" s="5"/>
      <c r="V131" s="5"/>
      <c r="W131" s="3"/>
      <c r="X131" s="3"/>
      <c r="Y131" s="3"/>
      <c r="Z131" s="3"/>
    </row>
    <row r="132" ht="14.25" customHeight="1">
      <c r="A132" s="4"/>
      <c r="B132" s="4"/>
      <c r="C132" s="1"/>
      <c r="D132" s="4"/>
      <c r="E132" s="5"/>
      <c r="F132" s="1"/>
      <c r="G132" s="4"/>
      <c r="H132" s="4"/>
      <c r="I132" s="4"/>
      <c r="J132" s="4"/>
      <c r="K132" s="4"/>
      <c r="L132" s="4"/>
      <c r="M132" s="4"/>
      <c r="N132" s="4"/>
      <c r="O132" s="4"/>
      <c r="P132" s="4"/>
      <c r="Q132" s="6"/>
      <c r="R132" s="6"/>
      <c r="S132" s="6"/>
      <c r="T132" s="6"/>
      <c r="U132" s="5"/>
      <c r="V132" s="5"/>
      <c r="W132" s="3"/>
      <c r="X132" s="3"/>
      <c r="Y132" s="3"/>
      <c r="Z132" s="3"/>
    </row>
    <row r="133" ht="14.25" customHeight="1">
      <c r="A133" s="4"/>
      <c r="B133" s="4"/>
      <c r="C133" s="1"/>
      <c r="D133" s="4"/>
      <c r="E133" s="5"/>
      <c r="F133" s="1"/>
      <c r="G133" s="4"/>
      <c r="H133" s="4"/>
      <c r="I133" s="4"/>
      <c r="J133" s="4"/>
      <c r="K133" s="4"/>
      <c r="L133" s="4"/>
      <c r="M133" s="4"/>
      <c r="N133" s="4"/>
      <c r="O133" s="4"/>
      <c r="P133" s="4"/>
      <c r="Q133" s="6"/>
      <c r="R133" s="6"/>
      <c r="S133" s="6"/>
      <c r="T133" s="6"/>
      <c r="U133" s="5"/>
      <c r="V133" s="5"/>
      <c r="W133" s="3"/>
      <c r="X133" s="3"/>
      <c r="Y133" s="3"/>
      <c r="Z133" s="3"/>
    </row>
    <row r="134" ht="14.25" customHeight="1">
      <c r="A134" s="4"/>
      <c r="B134" s="4"/>
      <c r="C134" s="1"/>
      <c r="D134" s="4"/>
      <c r="E134" s="5"/>
      <c r="F134" s="1"/>
      <c r="G134" s="4"/>
      <c r="H134" s="4"/>
      <c r="I134" s="4"/>
      <c r="J134" s="4"/>
      <c r="K134" s="4"/>
      <c r="L134" s="4"/>
      <c r="M134" s="4"/>
      <c r="N134" s="4"/>
      <c r="O134" s="4"/>
      <c r="P134" s="4"/>
      <c r="Q134" s="6"/>
      <c r="R134" s="6"/>
      <c r="S134" s="6"/>
      <c r="T134" s="6"/>
      <c r="U134" s="5"/>
      <c r="V134" s="5"/>
      <c r="W134" s="3"/>
      <c r="X134" s="3"/>
      <c r="Y134" s="3"/>
      <c r="Z134" s="3"/>
    </row>
    <row r="135" ht="14.25" customHeight="1">
      <c r="A135" s="4"/>
      <c r="B135" s="4"/>
      <c r="C135" s="1"/>
      <c r="D135" s="4"/>
      <c r="E135" s="5"/>
      <c r="F135" s="1"/>
      <c r="G135" s="4"/>
      <c r="H135" s="4"/>
      <c r="I135" s="4"/>
      <c r="J135" s="4"/>
      <c r="K135" s="4"/>
      <c r="L135" s="4"/>
      <c r="M135" s="4"/>
      <c r="N135" s="4"/>
      <c r="O135" s="4"/>
      <c r="P135" s="4"/>
      <c r="Q135" s="6"/>
      <c r="R135" s="6"/>
      <c r="S135" s="6"/>
      <c r="T135" s="6"/>
      <c r="U135" s="5"/>
      <c r="V135" s="5"/>
      <c r="W135" s="3"/>
      <c r="X135" s="3"/>
      <c r="Y135" s="3"/>
      <c r="Z135" s="3"/>
    </row>
    <row r="136" ht="14.25" customHeight="1">
      <c r="A136" s="4"/>
      <c r="B136" s="4"/>
      <c r="C136" s="1"/>
      <c r="D136" s="4"/>
      <c r="E136" s="5"/>
      <c r="F136" s="1"/>
      <c r="G136" s="4"/>
      <c r="H136" s="4"/>
      <c r="I136" s="4"/>
      <c r="J136" s="4"/>
      <c r="K136" s="4"/>
      <c r="L136" s="4"/>
      <c r="M136" s="4"/>
      <c r="N136" s="4"/>
      <c r="O136" s="4"/>
      <c r="P136" s="4"/>
      <c r="Q136" s="6"/>
      <c r="R136" s="6"/>
      <c r="S136" s="6"/>
      <c r="T136" s="6"/>
      <c r="U136" s="5"/>
      <c r="V136" s="5"/>
      <c r="W136" s="3"/>
      <c r="X136" s="3"/>
      <c r="Y136" s="3"/>
      <c r="Z136" s="3"/>
    </row>
    <row r="137" ht="14.25" customHeight="1">
      <c r="A137" s="4"/>
      <c r="B137" s="4"/>
      <c r="C137" s="1"/>
      <c r="D137" s="4"/>
      <c r="E137" s="5"/>
      <c r="F137" s="1"/>
      <c r="G137" s="4"/>
      <c r="H137" s="4"/>
      <c r="I137" s="4"/>
      <c r="J137" s="4"/>
      <c r="K137" s="4"/>
      <c r="L137" s="4"/>
      <c r="M137" s="4"/>
      <c r="N137" s="4"/>
      <c r="O137" s="4"/>
      <c r="P137" s="4"/>
      <c r="Q137" s="6"/>
      <c r="R137" s="6"/>
      <c r="S137" s="6"/>
      <c r="T137" s="6"/>
      <c r="U137" s="5"/>
      <c r="V137" s="5"/>
      <c r="W137" s="3"/>
      <c r="X137" s="3"/>
      <c r="Y137" s="3"/>
      <c r="Z137" s="3"/>
    </row>
    <row r="138" ht="14.25" customHeight="1">
      <c r="A138" s="4"/>
      <c r="B138" s="4"/>
      <c r="C138" s="1"/>
      <c r="D138" s="4"/>
      <c r="E138" s="5"/>
      <c r="F138" s="1"/>
      <c r="G138" s="4"/>
      <c r="H138" s="4"/>
      <c r="I138" s="4"/>
      <c r="J138" s="4"/>
      <c r="K138" s="4"/>
      <c r="L138" s="4"/>
      <c r="M138" s="4"/>
      <c r="N138" s="4"/>
      <c r="O138" s="4"/>
      <c r="P138" s="4"/>
      <c r="Q138" s="6"/>
      <c r="R138" s="6"/>
      <c r="S138" s="6"/>
      <c r="T138" s="6"/>
      <c r="U138" s="5"/>
      <c r="V138" s="5"/>
      <c r="W138" s="3"/>
      <c r="X138" s="3"/>
      <c r="Y138" s="3"/>
      <c r="Z138" s="3"/>
    </row>
    <row r="139" ht="14.25" customHeight="1">
      <c r="A139" s="4"/>
      <c r="B139" s="4"/>
      <c r="C139" s="1"/>
      <c r="D139" s="4"/>
      <c r="E139" s="5"/>
      <c r="F139" s="1"/>
      <c r="G139" s="4"/>
      <c r="H139" s="4"/>
      <c r="I139" s="4"/>
      <c r="J139" s="4"/>
      <c r="K139" s="4"/>
      <c r="L139" s="4"/>
      <c r="M139" s="4"/>
      <c r="N139" s="4"/>
      <c r="O139" s="4"/>
      <c r="P139" s="4"/>
      <c r="Q139" s="6"/>
      <c r="R139" s="6"/>
      <c r="S139" s="6"/>
      <c r="T139" s="6"/>
      <c r="U139" s="5"/>
      <c r="V139" s="5"/>
      <c r="W139" s="3"/>
      <c r="X139" s="3"/>
      <c r="Y139" s="3"/>
      <c r="Z139" s="3"/>
    </row>
    <row r="140" ht="14.25" customHeight="1">
      <c r="A140" s="4"/>
      <c r="B140" s="4"/>
      <c r="C140" s="1"/>
      <c r="D140" s="4"/>
      <c r="E140" s="5"/>
      <c r="F140" s="1"/>
      <c r="G140" s="4"/>
      <c r="H140" s="4"/>
      <c r="I140" s="4"/>
      <c r="J140" s="4"/>
      <c r="K140" s="4"/>
      <c r="L140" s="4"/>
      <c r="M140" s="4"/>
      <c r="N140" s="4"/>
      <c r="O140" s="4"/>
      <c r="P140" s="4"/>
      <c r="Q140" s="6"/>
      <c r="R140" s="6"/>
      <c r="S140" s="6"/>
      <c r="T140" s="6"/>
      <c r="U140" s="5"/>
      <c r="V140" s="5"/>
      <c r="W140" s="3"/>
      <c r="X140" s="3"/>
      <c r="Y140" s="3"/>
      <c r="Z140" s="3"/>
    </row>
    <row r="141" ht="14.25" customHeight="1">
      <c r="A141" s="4"/>
      <c r="B141" s="4"/>
      <c r="C141" s="1"/>
      <c r="D141" s="4"/>
      <c r="E141" s="5"/>
      <c r="F141" s="1"/>
      <c r="G141" s="4"/>
      <c r="H141" s="4"/>
      <c r="I141" s="4"/>
      <c r="J141" s="4"/>
      <c r="K141" s="4"/>
      <c r="L141" s="4"/>
      <c r="M141" s="4"/>
      <c r="N141" s="4"/>
      <c r="O141" s="4"/>
      <c r="P141" s="4"/>
      <c r="Q141" s="6"/>
      <c r="R141" s="6"/>
      <c r="S141" s="6"/>
      <c r="T141" s="6"/>
      <c r="U141" s="5"/>
      <c r="V141" s="5"/>
      <c r="W141" s="3"/>
      <c r="X141" s="3"/>
      <c r="Y141" s="3"/>
      <c r="Z141" s="3"/>
    </row>
    <row r="142" ht="14.25" customHeight="1">
      <c r="A142" s="4"/>
      <c r="B142" s="4"/>
      <c r="C142" s="1"/>
      <c r="D142" s="4"/>
      <c r="E142" s="5"/>
      <c r="F142" s="1"/>
      <c r="G142" s="4"/>
      <c r="H142" s="4"/>
      <c r="I142" s="4"/>
      <c r="J142" s="4"/>
      <c r="K142" s="4"/>
      <c r="L142" s="4"/>
      <c r="M142" s="4"/>
      <c r="N142" s="4"/>
      <c r="O142" s="4"/>
      <c r="P142" s="4"/>
      <c r="Q142" s="6"/>
      <c r="R142" s="6"/>
      <c r="S142" s="6"/>
      <c r="T142" s="6"/>
      <c r="U142" s="5"/>
      <c r="V142" s="5"/>
      <c r="W142" s="3"/>
      <c r="X142" s="3"/>
      <c r="Y142" s="3"/>
      <c r="Z142" s="3"/>
    </row>
    <row r="143" ht="14.25" customHeight="1">
      <c r="A143" s="4"/>
      <c r="B143" s="4"/>
      <c r="C143" s="1"/>
      <c r="D143" s="4"/>
      <c r="E143" s="5"/>
      <c r="F143" s="1"/>
      <c r="G143" s="4"/>
      <c r="H143" s="4"/>
      <c r="I143" s="4"/>
      <c r="J143" s="4"/>
      <c r="K143" s="4"/>
      <c r="L143" s="4"/>
      <c r="M143" s="4"/>
      <c r="N143" s="4"/>
      <c r="O143" s="4"/>
      <c r="P143" s="4"/>
      <c r="Q143" s="6"/>
      <c r="R143" s="6"/>
      <c r="S143" s="6"/>
      <c r="T143" s="6"/>
      <c r="U143" s="5"/>
      <c r="V143" s="5"/>
      <c r="W143" s="3"/>
      <c r="X143" s="3"/>
      <c r="Y143" s="3"/>
      <c r="Z143" s="3"/>
    </row>
    <row r="144" ht="14.25" customHeight="1">
      <c r="A144" s="4"/>
      <c r="B144" s="4"/>
      <c r="C144" s="1"/>
      <c r="D144" s="4"/>
      <c r="E144" s="5"/>
      <c r="F144" s="1"/>
      <c r="G144" s="4"/>
      <c r="H144" s="4"/>
      <c r="I144" s="4"/>
      <c r="J144" s="4"/>
      <c r="K144" s="4"/>
      <c r="L144" s="4"/>
      <c r="M144" s="4"/>
      <c r="N144" s="4"/>
      <c r="O144" s="4"/>
      <c r="P144" s="4"/>
      <c r="Q144" s="6"/>
      <c r="R144" s="6"/>
      <c r="S144" s="6"/>
      <c r="T144" s="6"/>
      <c r="U144" s="5"/>
      <c r="V144" s="5"/>
      <c r="W144" s="3"/>
      <c r="X144" s="3"/>
      <c r="Y144" s="3"/>
      <c r="Z144" s="3"/>
    </row>
    <row r="145" ht="14.25" customHeight="1">
      <c r="A145" s="4"/>
      <c r="B145" s="4"/>
      <c r="C145" s="1"/>
      <c r="D145" s="4"/>
      <c r="E145" s="5"/>
      <c r="F145" s="1"/>
      <c r="G145" s="4"/>
      <c r="H145" s="4"/>
      <c r="I145" s="4"/>
      <c r="J145" s="4"/>
      <c r="K145" s="4"/>
      <c r="L145" s="4"/>
      <c r="M145" s="4"/>
      <c r="N145" s="4"/>
      <c r="O145" s="4"/>
      <c r="P145" s="4"/>
      <c r="Q145" s="6"/>
      <c r="R145" s="6"/>
      <c r="S145" s="6"/>
      <c r="T145" s="6"/>
      <c r="U145" s="5"/>
      <c r="V145" s="5"/>
      <c r="W145" s="3"/>
      <c r="X145" s="3"/>
      <c r="Y145" s="3"/>
      <c r="Z145" s="3"/>
    </row>
    <row r="146" ht="14.25" customHeight="1">
      <c r="A146" s="4"/>
      <c r="B146" s="4"/>
      <c r="C146" s="1"/>
      <c r="D146" s="4"/>
      <c r="E146" s="5"/>
      <c r="F146" s="1"/>
      <c r="G146" s="4"/>
      <c r="H146" s="4"/>
      <c r="I146" s="4"/>
      <c r="J146" s="4"/>
      <c r="K146" s="4"/>
      <c r="L146" s="4"/>
      <c r="M146" s="4"/>
      <c r="N146" s="4"/>
      <c r="O146" s="4"/>
      <c r="P146" s="4"/>
      <c r="Q146" s="6"/>
      <c r="R146" s="6"/>
      <c r="S146" s="6"/>
      <c r="T146" s="6"/>
      <c r="U146" s="5"/>
      <c r="V146" s="5"/>
      <c r="W146" s="3"/>
      <c r="X146" s="3"/>
      <c r="Y146" s="3"/>
      <c r="Z146" s="3"/>
    </row>
    <row r="147" ht="14.25" customHeight="1">
      <c r="A147" s="4"/>
      <c r="B147" s="4"/>
      <c r="C147" s="1"/>
      <c r="D147" s="4"/>
      <c r="E147" s="5"/>
      <c r="F147" s="1"/>
      <c r="G147" s="4"/>
      <c r="H147" s="4"/>
      <c r="I147" s="4"/>
      <c r="J147" s="4"/>
      <c r="K147" s="4"/>
      <c r="L147" s="4"/>
      <c r="M147" s="4"/>
      <c r="N147" s="4"/>
      <c r="O147" s="4"/>
      <c r="P147" s="4"/>
      <c r="Q147" s="6"/>
      <c r="R147" s="6"/>
      <c r="S147" s="6"/>
      <c r="T147" s="6"/>
      <c r="U147" s="5"/>
      <c r="V147" s="5"/>
      <c r="W147" s="3"/>
      <c r="X147" s="3"/>
      <c r="Y147" s="3"/>
      <c r="Z147" s="3"/>
    </row>
    <row r="148" ht="14.25" customHeight="1">
      <c r="A148" s="4"/>
      <c r="B148" s="4"/>
      <c r="C148" s="1"/>
      <c r="D148" s="4"/>
      <c r="E148" s="5"/>
      <c r="F148" s="1"/>
      <c r="G148" s="4"/>
      <c r="H148" s="4"/>
      <c r="I148" s="4"/>
      <c r="J148" s="4"/>
      <c r="K148" s="4"/>
      <c r="L148" s="4"/>
      <c r="M148" s="4"/>
      <c r="N148" s="4"/>
      <c r="O148" s="4"/>
      <c r="P148" s="4"/>
      <c r="Q148" s="6"/>
      <c r="R148" s="6"/>
      <c r="S148" s="6"/>
      <c r="T148" s="6"/>
      <c r="U148" s="5"/>
      <c r="V148" s="5"/>
      <c r="W148" s="3"/>
      <c r="X148" s="3"/>
      <c r="Y148" s="3"/>
      <c r="Z148" s="3"/>
    </row>
    <row r="149" ht="14.25" customHeight="1">
      <c r="A149" s="4"/>
      <c r="B149" s="4"/>
      <c r="C149" s="1"/>
      <c r="D149" s="4"/>
      <c r="E149" s="5"/>
      <c r="F149" s="1"/>
      <c r="G149" s="4"/>
      <c r="H149" s="4"/>
      <c r="I149" s="4"/>
      <c r="J149" s="4"/>
      <c r="K149" s="4"/>
      <c r="L149" s="4"/>
      <c r="M149" s="4"/>
      <c r="N149" s="4"/>
      <c r="O149" s="4"/>
      <c r="P149" s="4"/>
      <c r="Q149" s="6"/>
      <c r="R149" s="6"/>
      <c r="S149" s="6"/>
      <c r="T149" s="6"/>
      <c r="U149" s="5"/>
      <c r="V149" s="5"/>
      <c r="W149" s="3"/>
      <c r="X149" s="3"/>
      <c r="Y149" s="3"/>
      <c r="Z149" s="3"/>
    </row>
    <row r="150" ht="14.25" customHeight="1">
      <c r="A150" s="4"/>
      <c r="B150" s="4"/>
      <c r="C150" s="1"/>
      <c r="D150" s="4"/>
      <c r="E150" s="5"/>
      <c r="F150" s="1"/>
      <c r="G150" s="4"/>
      <c r="H150" s="4"/>
      <c r="I150" s="4"/>
      <c r="J150" s="4"/>
      <c r="K150" s="4"/>
      <c r="L150" s="4"/>
      <c r="M150" s="4"/>
      <c r="N150" s="4"/>
      <c r="O150" s="4"/>
      <c r="P150" s="4"/>
      <c r="Q150" s="6"/>
      <c r="R150" s="6"/>
      <c r="S150" s="6"/>
      <c r="T150" s="6"/>
      <c r="U150" s="5"/>
      <c r="V150" s="5"/>
      <c r="W150" s="3"/>
      <c r="X150" s="3"/>
      <c r="Y150" s="3"/>
      <c r="Z150" s="3"/>
    </row>
    <row r="151" ht="14.25" customHeight="1">
      <c r="A151" s="4"/>
      <c r="B151" s="4"/>
      <c r="C151" s="1"/>
      <c r="D151" s="4"/>
      <c r="E151" s="5"/>
      <c r="F151" s="1"/>
      <c r="G151" s="4"/>
      <c r="H151" s="4"/>
      <c r="I151" s="4"/>
      <c r="J151" s="4"/>
      <c r="K151" s="4"/>
      <c r="L151" s="4"/>
      <c r="M151" s="4"/>
      <c r="N151" s="4"/>
      <c r="O151" s="4"/>
      <c r="P151" s="4"/>
      <c r="Q151" s="6"/>
      <c r="R151" s="6"/>
      <c r="S151" s="6"/>
      <c r="T151" s="6"/>
      <c r="U151" s="5"/>
      <c r="V151" s="5"/>
      <c r="W151" s="3"/>
      <c r="X151" s="3"/>
      <c r="Y151" s="3"/>
      <c r="Z151" s="3"/>
    </row>
    <row r="152" ht="14.25" customHeight="1">
      <c r="A152" s="4"/>
      <c r="B152" s="4"/>
      <c r="C152" s="1"/>
      <c r="D152" s="4"/>
      <c r="E152" s="5"/>
      <c r="F152" s="1"/>
      <c r="G152" s="4"/>
      <c r="H152" s="4"/>
      <c r="I152" s="4"/>
      <c r="J152" s="4"/>
      <c r="K152" s="4"/>
      <c r="L152" s="4"/>
      <c r="M152" s="4"/>
      <c r="N152" s="4"/>
      <c r="O152" s="4"/>
      <c r="P152" s="4"/>
      <c r="Q152" s="6"/>
      <c r="R152" s="6"/>
      <c r="S152" s="6"/>
      <c r="T152" s="6"/>
      <c r="U152" s="5"/>
      <c r="V152" s="5"/>
      <c r="W152" s="3"/>
      <c r="X152" s="3"/>
      <c r="Y152" s="3"/>
      <c r="Z152" s="3"/>
    </row>
    <row r="153" ht="14.25" customHeight="1">
      <c r="A153" s="4"/>
      <c r="B153" s="4"/>
      <c r="C153" s="1"/>
      <c r="D153" s="4"/>
      <c r="E153" s="5"/>
      <c r="F153" s="1"/>
      <c r="G153" s="4"/>
      <c r="H153" s="4"/>
      <c r="I153" s="4"/>
      <c r="J153" s="4"/>
      <c r="K153" s="4"/>
      <c r="L153" s="4"/>
      <c r="M153" s="4"/>
      <c r="N153" s="4"/>
      <c r="O153" s="4"/>
      <c r="P153" s="4"/>
      <c r="Q153" s="6"/>
      <c r="R153" s="6"/>
      <c r="S153" s="6"/>
      <c r="T153" s="6"/>
      <c r="U153" s="5"/>
      <c r="V153" s="5"/>
      <c r="W153" s="3"/>
      <c r="X153" s="3"/>
      <c r="Y153" s="3"/>
      <c r="Z153" s="3"/>
    </row>
    <row r="154" ht="14.25" customHeight="1">
      <c r="A154" s="4"/>
      <c r="B154" s="4"/>
      <c r="C154" s="1"/>
      <c r="D154" s="4"/>
      <c r="E154" s="5"/>
      <c r="F154" s="1"/>
      <c r="G154" s="4"/>
      <c r="H154" s="4"/>
      <c r="I154" s="4"/>
      <c r="J154" s="4"/>
      <c r="K154" s="4"/>
      <c r="L154" s="4"/>
      <c r="M154" s="4"/>
      <c r="N154" s="4"/>
      <c r="O154" s="4"/>
      <c r="P154" s="4"/>
      <c r="Q154" s="6"/>
      <c r="R154" s="6"/>
      <c r="S154" s="6"/>
      <c r="T154" s="6"/>
      <c r="U154" s="5"/>
      <c r="V154" s="5"/>
      <c r="W154" s="3"/>
      <c r="X154" s="3"/>
      <c r="Y154" s="3"/>
      <c r="Z154" s="3"/>
    </row>
    <row r="155" ht="14.25" customHeight="1">
      <c r="A155" s="4"/>
      <c r="B155" s="4"/>
      <c r="C155" s="1"/>
      <c r="D155" s="4"/>
      <c r="E155" s="5"/>
      <c r="F155" s="1"/>
      <c r="G155" s="4"/>
      <c r="H155" s="4"/>
      <c r="I155" s="4"/>
      <c r="J155" s="4"/>
      <c r="K155" s="4"/>
      <c r="L155" s="4"/>
      <c r="M155" s="4"/>
      <c r="N155" s="4"/>
      <c r="O155" s="4"/>
      <c r="P155" s="4"/>
      <c r="Q155" s="6"/>
      <c r="R155" s="6"/>
      <c r="S155" s="6"/>
      <c r="T155" s="6"/>
      <c r="U155" s="5"/>
      <c r="V155" s="5"/>
      <c r="W155" s="3"/>
      <c r="X155" s="3"/>
      <c r="Y155" s="3"/>
      <c r="Z155" s="3"/>
    </row>
    <row r="156" ht="14.25" customHeight="1">
      <c r="A156" s="4"/>
      <c r="B156" s="4"/>
      <c r="C156" s="1"/>
      <c r="D156" s="4"/>
      <c r="E156" s="5"/>
      <c r="F156" s="1"/>
      <c r="G156" s="4"/>
      <c r="H156" s="4"/>
      <c r="I156" s="4"/>
      <c r="J156" s="4"/>
      <c r="K156" s="4"/>
      <c r="L156" s="4"/>
      <c r="M156" s="4"/>
      <c r="N156" s="4"/>
      <c r="O156" s="4"/>
      <c r="P156" s="4"/>
      <c r="Q156" s="6"/>
      <c r="R156" s="6"/>
      <c r="S156" s="6"/>
      <c r="T156" s="6"/>
      <c r="U156" s="5"/>
      <c r="V156" s="5"/>
      <c r="W156" s="3"/>
      <c r="X156" s="3"/>
      <c r="Y156" s="3"/>
      <c r="Z156" s="3"/>
    </row>
    <row r="157" ht="14.25" customHeight="1">
      <c r="A157" s="4"/>
      <c r="B157" s="4"/>
      <c r="C157" s="1"/>
      <c r="D157" s="4"/>
      <c r="E157" s="5"/>
      <c r="F157" s="1"/>
      <c r="G157" s="4"/>
      <c r="H157" s="4"/>
      <c r="I157" s="4"/>
      <c r="J157" s="4"/>
      <c r="K157" s="4"/>
      <c r="L157" s="4"/>
      <c r="M157" s="4"/>
      <c r="N157" s="4"/>
      <c r="O157" s="4"/>
      <c r="P157" s="4"/>
      <c r="Q157" s="6"/>
      <c r="R157" s="6"/>
      <c r="S157" s="6"/>
      <c r="T157" s="6"/>
      <c r="U157" s="5"/>
      <c r="V157" s="5"/>
      <c r="W157" s="3"/>
      <c r="X157" s="3"/>
      <c r="Y157" s="3"/>
      <c r="Z157" s="3"/>
    </row>
    <row r="158" ht="14.25" customHeight="1">
      <c r="A158" s="4"/>
      <c r="B158" s="4"/>
      <c r="C158" s="1"/>
      <c r="D158" s="4"/>
      <c r="E158" s="5"/>
      <c r="F158" s="1"/>
      <c r="G158" s="4"/>
      <c r="H158" s="4"/>
      <c r="I158" s="4"/>
      <c r="J158" s="4"/>
      <c r="K158" s="4"/>
      <c r="L158" s="4"/>
      <c r="M158" s="4"/>
      <c r="N158" s="4"/>
      <c r="O158" s="4"/>
      <c r="P158" s="4"/>
      <c r="Q158" s="6"/>
      <c r="R158" s="6"/>
      <c r="S158" s="6"/>
      <c r="T158" s="6"/>
      <c r="U158" s="5"/>
      <c r="V158" s="5"/>
      <c r="W158" s="3"/>
      <c r="X158" s="3"/>
      <c r="Y158" s="3"/>
      <c r="Z158" s="3"/>
    </row>
    <row r="159" ht="14.25" customHeight="1">
      <c r="A159" s="4"/>
      <c r="B159" s="4"/>
      <c r="C159" s="1"/>
      <c r="D159" s="4"/>
      <c r="E159" s="5"/>
      <c r="F159" s="1"/>
      <c r="G159" s="4"/>
      <c r="H159" s="4"/>
      <c r="I159" s="4"/>
      <c r="J159" s="4"/>
      <c r="K159" s="4"/>
      <c r="L159" s="4"/>
      <c r="M159" s="4"/>
      <c r="N159" s="4"/>
      <c r="O159" s="4"/>
      <c r="P159" s="4"/>
      <c r="Q159" s="6"/>
      <c r="R159" s="6"/>
      <c r="S159" s="6"/>
      <c r="T159" s="6"/>
      <c r="U159" s="5"/>
      <c r="V159" s="5"/>
      <c r="W159" s="3"/>
      <c r="X159" s="3"/>
      <c r="Y159" s="3"/>
      <c r="Z159" s="3"/>
    </row>
    <row r="160" ht="14.25" customHeight="1">
      <c r="A160" s="4"/>
      <c r="B160" s="4"/>
      <c r="C160" s="1"/>
      <c r="D160" s="4"/>
      <c r="E160" s="5"/>
      <c r="F160" s="1"/>
      <c r="G160" s="4"/>
      <c r="H160" s="4"/>
      <c r="I160" s="4"/>
      <c r="J160" s="4"/>
      <c r="K160" s="4"/>
      <c r="L160" s="4"/>
      <c r="M160" s="4"/>
      <c r="N160" s="4"/>
      <c r="O160" s="4"/>
      <c r="P160" s="4"/>
      <c r="Q160" s="6"/>
      <c r="R160" s="6"/>
      <c r="S160" s="6"/>
      <c r="T160" s="6"/>
      <c r="U160" s="5"/>
      <c r="V160" s="5"/>
      <c r="W160" s="3"/>
      <c r="X160" s="3"/>
      <c r="Y160" s="3"/>
      <c r="Z160" s="3"/>
    </row>
    <row r="161" ht="14.25" customHeight="1">
      <c r="A161" s="4"/>
      <c r="B161" s="4"/>
      <c r="C161" s="1"/>
      <c r="D161" s="4"/>
      <c r="E161" s="5"/>
      <c r="F161" s="1"/>
      <c r="G161" s="4"/>
      <c r="H161" s="4"/>
      <c r="I161" s="4"/>
      <c r="J161" s="4"/>
      <c r="K161" s="4"/>
      <c r="L161" s="4"/>
      <c r="M161" s="4"/>
      <c r="N161" s="4"/>
      <c r="O161" s="4"/>
      <c r="P161" s="4"/>
      <c r="Q161" s="6"/>
      <c r="R161" s="6"/>
      <c r="S161" s="6"/>
      <c r="T161" s="6"/>
      <c r="U161" s="5"/>
      <c r="V161" s="5"/>
      <c r="W161" s="3"/>
      <c r="X161" s="3"/>
      <c r="Y161" s="3"/>
      <c r="Z161" s="3"/>
    </row>
    <row r="162" ht="14.25" customHeight="1">
      <c r="A162" s="8"/>
      <c r="B162" s="4"/>
      <c r="C162" s="1"/>
      <c r="D162" s="4"/>
      <c r="E162" s="4"/>
      <c r="F162" s="1"/>
      <c r="G162" s="4"/>
      <c r="H162" s="4"/>
      <c r="I162" s="4"/>
      <c r="J162" s="4"/>
      <c r="K162" s="4"/>
      <c r="L162" s="4"/>
      <c r="M162" s="4"/>
      <c r="N162" s="4"/>
      <c r="O162" s="4"/>
      <c r="P162" s="4"/>
      <c r="Q162" s="5"/>
      <c r="R162" s="5"/>
      <c r="S162" s="5"/>
      <c r="T162" s="5"/>
      <c r="U162" s="5"/>
      <c r="V162" s="5"/>
      <c r="W162" s="3"/>
      <c r="X162" s="3"/>
      <c r="Y162" s="3"/>
      <c r="Z162" s="3"/>
    </row>
    <row r="163" ht="14.25" customHeight="1">
      <c r="A163" s="8"/>
      <c r="B163" s="4"/>
      <c r="C163" s="1"/>
      <c r="D163" s="4"/>
      <c r="E163" s="4"/>
      <c r="F163" s="1"/>
      <c r="G163" s="4"/>
      <c r="H163" s="4"/>
      <c r="I163" s="4"/>
      <c r="J163" s="4"/>
      <c r="K163" s="4"/>
      <c r="L163" s="4"/>
      <c r="M163" s="4"/>
      <c r="N163" s="4"/>
      <c r="O163" s="4"/>
      <c r="P163" s="4"/>
      <c r="Q163" s="5"/>
      <c r="R163" s="5"/>
      <c r="S163" s="5"/>
      <c r="T163" s="5"/>
      <c r="U163" s="5"/>
      <c r="V163" s="5"/>
      <c r="W163" s="3"/>
      <c r="X163" s="3"/>
      <c r="Y163" s="3"/>
      <c r="Z163" s="3"/>
    </row>
    <row r="164" ht="14.25" customHeight="1">
      <c r="A164" s="8"/>
      <c r="B164" s="4"/>
      <c r="C164" s="1"/>
      <c r="D164" s="4"/>
      <c r="E164" s="4"/>
      <c r="F164" s="1"/>
      <c r="G164" s="4"/>
      <c r="H164" s="4"/>
      <c r="I164" s="4"/>
      <c r="J164" s="4"/>
      <c r="K164" s="4"/>
      <c r="L164" s="4"/>
      <c r="M164" s="4"/>
      <c r="N164" s="4"/>
      <c r="O164" s="4"/>
      <c r="P164" s="4"/>
      <c r="Q164" s="5"/>
      <c r="R164" s="5"/>
      <c r="S164" s="5"/>
      <c r="T164" s="5"/>
      <c r="U164" s="5"/>
      <c r="V164" s="5"/>
      <c r="W164" s="3"/>
      <c r="X164" s="3"/>
      <c r="Y164" s="3"/>
      <c r="Z164" s="3"/>
    </row>
    <row r="165" ht="14.25" customHeight="1">
      <c r="A165" s="8"/>
      <c r="B165" s="4"/>
      <c r="C165" s="1"/>
      <c r="D165" s="4"/>
      <c r="E165" s="4"/>
      <c r="F165" s="1"/>
      <c r="G165" s="4"/>
      <c r="H165" s="4"/>
      <c r="I165" s="4"/>
      <c r="J165" s="4"/>
      <c r="K165" s="4"/>
      <c r="L165" s="4"/>
      <c r="M165" s="4"/>
      <c r="N165" s="4"/>
      <c r="O165" s="4"/>
      <c r="P165" s="4"/>
      <c r="Q165" s="5"/>
      <c r="R165" s="5"/>
      <c r="S165" s="5"/>
      <c r="T165" s="5"/>
      <c r="U165" s="5"/>
      <c r="V165" s="5"/>
      <c r="W165" s="3"/>
      <c r="X165" s="3"/>
      <c r="Y165" s="3"/>
      <c r="Z165" s="3"/>
    </row>
    <row r="166" ht="14.25" customHeight="1">
      <c r="A166" s="8"/>
      <c r="B166" s="4"/>
      <c r="C166" s="1"/>
      <c r="D166" s="4"/>
      <c r="E166" s="4"/>
      <c r="F166" s="1"/>
      <c r="G166" s="4"/>
      <c r="H166" s="4"/>
      <c r="I166" s="4"/>
      <c r="J166" s="4"/>
      <c r="K166" s="4"/>
      <c r="L166" s="4"/>
      <c r="M166" s="4"/>
      <c r="N166" s="4"/>
      <c r="O166" s="4"/>
      <c r="P166" s="4"/>
      <c r="Q166" s="5"/>
      <c r="R166" s="5"/>
      <c r="S166" s="5"/>
      <c r="T166" s="5"/>
      <c r="U166" s="5"/>
      <c r="V166" s="5"/>
      <c r="W166" s="3"/>
      <c r="X166" s="3"/>
      <c r="Y166" s="3"/>
      <c r="Z166" s="3"/>
    </row>
    <row r="167" ht="14.25" customHeight="1">
      <c r="A167" s="8"/>
      <c r="B167" s="4"/>
      <c r="C167" s="1"/>
      <c r="D167" s="4"/>
      <c r="E167" s="4"/>
      <c r="F167" s="1"/>
      <c r="G167" s="4"/>
      <c r="H167" s="4"/>
      <c r="I167" s="4"/>
      <c r="J167" s="4"/>
      <c r="K167" s="4"/>
      <c r="L167" s="4"/>
      <c r="M167" s="4"/>
      <c r="N167" s="4"/>
      <c r="O167" s="4"/>
      <c r="P167" s="4"/>
      <c r="Q167" s="5"/>
      <c r="R167" s="5"/>
      <c r="S167" s="5"/>
      <c r="T167" s="5"/>
      <c r="U167" s="5"/>
      <c r="V167" s="5"/>
      <c r="W167" s="3"/>
      <c r="X167" s="3"/>
      <c r="Y167" s="3"/>
      <c r="Z167" s="3"/>
    </row>
    <row r="168" ht="14.25" customHeight="1">
      <c r="A168" s="8"/>
      <c r="B168" s="4"/>
      <c r="C168" s="1"/>
      <c r="D168" s="4"/>
      <c r="E168" s="4"/>
      <c r="F168" s="1"/>
      <c r="G168" s="4"/>
      <c r="H168" s="4"/>
      <c r="I168" s="4"/>
      <c r="J168" s="4"/>
      <c r="K168" s="4"/>
      <c r="L168" s="4"/>
      <c r="M168" s="4"/>
      <c r="N168" s="4"/>
      <c r="O168" s="4"/>
      <c r="P168" s="4"/>
      <c r="Q168" s="5"/>
      <c r="R168" s="5"/>
      <c r="S168" s="5"/>
      <c r="T168" s="5"/>
      <c r="U168" s="5"/>
      <c r="V168" s="5"/>
      <c r="W168" s="3"/>
      <c r="X168" s="3"/>
      <c r="Y168" s="3"/>
      <c r="Z168" s="3"/>
    </row>
    <row r="169" ht="14.25" customHeight="1">
      <c r="A169" s="8"/>
      <c r="B169" s="4"/>
      <c r="C169" s="1"/>
      <c r="D169" s="4"/>
      <c r="E169" s="4"/>
      <c r="F169" s="1"/>
      <c r="G169" s="4"/>
      <c r="H169" s="4"/>
      <c r="I169" s="4"/>
      <c r="J169" s="4"/>
      <c r="K169" s="4"/>
      <c r="L169" s="4"/>
      <c r="M169" s="4"/>
      <c r="N169" s="4"/>
      <c r="O169" s="4"/>
      <c r="P169" s="4"/>
      <c r="Q169" s="5"/>
      <c r="R169" s="5"/>
      <c r="S169" s="5"/>
      <c r="T169" s="5"/>
      <c r="U169" s="5"/>
      <c r="V169" s="5"/>
      <c r="W169" s="3"/>
      <c r="X169" s="3"/>
      <c r="Y169" s="3"/>
      <c r="Z169" s="3"/>
    </row>
    <row r="170" ht="14.25" customHeight="1">
      <c r="A170" s="8"/>
      <c r="B170" s="4"/>
      <c r="C170" s="1"/>
      <c r="D170" s="4"/>
      <c r="E170" s="4"/>
      <c r="F170" s="1"/>
      <c r="G170" s="4"/>
      <c r="H170" s="4"/>
      <c r="I170" s="4"/>
      <c r="J170" s="4"/>
      <c r="K170" s="4"/>
      <c r="L170" s="4"/>
      <c r="M170" s="4"/>
      <c r="N170" s="4"/>
      <c r="O170" s="4"/>
      <c r="P170" s="4"/>
      <c r="Q170" s="5"/>
      <c r="R170" s="5"/>
      <c r="S170" s="5"/>
      <c r="T170" s="5"/>
      <c r="U170" s="5"/>
      <c r="V170" s="5"/>
      <c r="W170" s="3"/>
      <c r="X170" s="3"/>
      <c r="Y170" s="3"/>
      <c r="Z170" s="3"/>
    </row>
    <row r="171" ht="14.25" customHeight="1">
      <c r="A171" s="8"/>
      <c r="B171" s="4"/>
      <c r="C171" s="1"/>
      <c r="D171" s="4"/>
      <c r="E171" s="4"/>
      <c r="F171" s="1"/>
      <c r="G171" s="4"/>
      <c r="H171" s="4"/>
      <c r="I171" s="4"/>
      <c r="J171" s="4"/>
      <c r="K171" s="4"/>
      <c r="L171" s="4"/>
      <c r="M171" s="4"/>
      <c r="N171" s="4"/>
      <c r="O171" s="4"/>
      <c r="P171" s="4"/>
      <c r="Q171" s="5"/>
      <c r="R171" s="5"/>
      <c r="S171" s="5"/>
      <c r="T171" s="5"/>
      <c r="U171" s="5"/>
      <c r="V171" s="5"/>
      <c r="W171" s="3"/>
      <c r="X171" s="3"/>
      <c r="Y171" s="3"/>
      <c r="Z171" s="3"/>
    </row>
    <row r="172" ht="14.25" customHeight="1">
      <c r="A172" s="8"/>
      <c r="B172" s="4"/>
      <c r="C172" s="1"/>
      <c r="D172" s="4"/>
      <c r="E172" s="4"/>
      <c r="F172" s="1"/>
      <c r="G172" s="4"/>
      <c r="H172" s="4"/>
      <c r="I172" s="4"/>
      <c r="J172" s="4"/>
      <c r="K172" s="4"/>
      <c r="L172" s="4"/>
      <c r="M172" s="4"/>
      <c r="N172" s="4"/>
      <c r="O172" s="4"/>
      <c r="P172" s="4"/>
      <c r="Q172" s="5"/>
      <c r="R172" s="5"/>
      <c r="S172" s="5"/>
      <c r="T172" s="5"/>
      <c r="U172" s="5"/>
      <c r="V172" s="5"/>
      <c r="W172" s="3"/>
      <c r="X172" s="3"/>
      <c r="Y172" s="3"/>
      <c r="Z172" s="3"/>
    </row>
    <row r="173" ht="14.25" customHeight="1">
      <c r="A173" s="8"/>
      <c r="B173" s="4"/>
      <c r="C173" s="1"/>
      <c r="D173" s="4"/>
      <c r="E173" s="4"/>
      <c r="F173" s="1"/>
      <c r="G173" s="4"/>
      <c r="H173" s="4"/>
      <c r="I173" s="4"/>
      <c r="J173" s="4"/>
      <c r="K173" s="4"/>
      <c r="L173" s="4"/>
      <c r="M173" s="4"/>
      <c r="N173" s="4"/>
      <c r="O173" s="4"/>
      <c r="P173" s="4"/>
      <c r="Q173" s="5"/>
      <c r="R173" s="5"/>
      <c r="S173" s="5"/>
      <c r="T173" s="5"/>
      <c r="U173" s="5"/>
      <c r="V173" s="5"/>
      <c r="W173" s="3"/>
      <c r="X173" s="3"/>
      <c r="Y173" s="3"/>
      <c r="Z173" s="3"/>
    </row>
    <row r="174" ht="14.25" customHeight="1">
      <c r="A174" s="8"/>
      <c r="B174" s="4"/>
      <c r="C174" s="1"/>
      <c r="D174" s="4"/>
      <c r="E174" s="4"/>
      <c r="F174" s="1"/>
      <c r="G174" s="4"/>
      <c r="H174" s="4"/>
      <c r="I174" s="4"/>
      <c r="J174" s="4"/>
      <c r="K174" s="4"/>
      <c r="L174" s="4"/>
      <c r="M174" s="4"/>
      <c r="N174" s="4"/>
      <c r="O174" s="4"/>
      <c r="P174" s="4"/>
      <c r="Q174" s="5"/>
      <c r="R174" s="5"/>
      <c r="S174" s="5"/>
      <c r="T174" s="5"/>
      <c r="U174" s="5"/>
      <c r="V174" s="5"/>
      <c r="W174" s="3"/>
      <c r="X174" s="3"/>
      <c r="Y174" s="3"/>
      <c r="Z174" s="3"/>
    </row>
    <row r="175" ht="14.25" customHeight="1">
      <c r="A175" s="8"/>
      <c r="B175" s="4"/>
      <c r="C175" s="1"/>
      <c r="D175" s="4"/>
      <c r="E175" s="4"/>
      <c r="F175" s="1"/>
      <c r="G175" s="4"/>
      <c r="H175" s="4"/>
      <c r="I175" s="4"/>
      <c r="J175" s="4"/>
      <c r="K175" s="4"/>
      <c r="L175" s="4"/>
      <c r="M175" s="4"/>
      <c r="N175" s="4"/>
      <c r="O175" s="4"/>
      <c r="P175" s="4"/>
      <c r="Q175" s="5"/>
      <c r="R175" s="5"/>
      <c r="S175" s="5"/>
      <c r="T175" s="5"/>
      <c r="U175" s="5"/>
      <c r="V175" s="5"/>
      <c r="W175" s="3"/>
      <c r="X175" s="3"/>
      <c r="Y175" s="3"/>
      <c r="Z175" s="3"/>
    </row>
    <row r="176" ht="14.25" customHeight="1">
      <c r="A176" s="8"/>
      <c r="B176" s="4"/>
      <c r="C176" s="1"/>
      <c r="D176" s="4"/>
      <c r="E176" s="4"/>
      <c r="F176" s="1"/>
      <c r="G176" s="4"/>
      <c r="H176" s="4"/>
      <c r="I176" s="4"/>
      <c r="J176" s="4"/>
      <c r="K176" s="4"/>
      <c r="L176" s="4"/>
      <c r="M176" s="4"/>
      <c r="N176" s="4"/>
      <c r="O176" s="4"/>
      <c r="P176" s="4"/>
      <c r="Q176" s="5"/>
      <c r="R176" s="5"/>
      <c r="S176" s="5"/>
      <c r="T176" s="5"/>
      <c r="U176" s="5"/>
      <c r="V176" s="5"/>
      <c r="W176" s="3"/>
      <c r="X176" s="3"/>
      <c r="Y176" s="3"/>
      <c r="Z176" s="3"/>
    </row>
    <row r="177" ht="14.25" customHeight="1">
      <c r="A177" s="8"/>
      <c r="B177" s="4"/>
      <c r="C177" s="1"/>
      <c r="D177" s="4"/>
      <c r="E177" s="4"/>
      <c r="F177" s="1"/>
      <c r="G177" s="4"/>
      <c r="H177" s="4"/>
      <c r="I177" s="4"/>
      <c r="J177" s="4"/>
      <c r="K177" s="4"/>
      <c r="L177" s="4"/>
      <c r="M177" s="4"/>
      <c r="N177" s="4"/>
      <c r="O177" s="4"/>
      <c r="P177" s="4"/>
      <c r="Q177" s="9"/>
      <c r="R177" s="9"/>
      <c r="S177" s="9"/>
      <c r="T177" s="9"/>
      <c r="U177" s="5"/>
      <c r="V177" s="5"/>
      <c r="W177" s="3"/>
      <c r="X177" s="3"/>
      <c r="Y177" s="3"/>
      <c r="Z177" s="3"/>
    </row>
    <row r="178" ht="14.25" customHeight="1">
      <c r="A178" s="8"/>
      <c r="B178" s="4"/>
      <c r="C178" s="1"/>
      <c r="D178" s="4"/>
      <c r="E178" s="4"/>
      <c r="F178" s="1"/>
      <c r="G178" s="4"/>
      <c r="H178" s="4"/>
      <c r="I178" s="4"/>
      <c r="J178" s="4"/>
      <c r="K178" s="4"/>
      <c r="L178" s="4"/>
      <c r="M178" s="4"/>
      <c r="N178" s="4"/>
      <c r="O178" s="4"/>
      <c r="P178" s="4"/>
      <c r="Q178" s="9"/>
      <c r="R178" s="9"/>
      <c r="S178" s="9"/>
      <c r="T178" s="9"/>
      <c r="U178" s="5"/>
      <c r="V178" s="5"/>
      <c r="W178" s="3"/>
      <c r="X178" s="3"/>
      <c r="Y178" s="3"/>
      <c r="Z178" s="3"/>
    </row>
    <row r="179" ht="14.25" customHeight="1">
      <c r="A179" s="8"/>
      <c r="B179" s="4"/>
      <c r="C179" s="1"/>
      <c r="D179" s="4"/>
      <c r="E179" s="4"/>
      <c r="F179" s="1"/>
      <c r="G179" s="4"/>
      <c r="H179" s="4"/>
      <c r="I179" s="4"/>
      <c r="J179" s="4"/>
      <c r="K179" s="4"/>
      <c r="L179" s="4"/>
      <c r="M179" s="4"/>
      <c r="N179" s="4"/>
      <c r="O179" s="4"/>
      <c r="P179" s="4"/>
      <c r="Q179" s="9"/>
      <c r="R179" s="9"/>
      <c r="S179" s="9"/>
      <c r="T179" s="9"/>
      <c r="U179" s="5"/>
      <c r="V179" s="5"/>
      <c r="W179" s="3"/>
      <c r="X179" s="3"/>
      <c r="Y179" s="3"/>
      <c r="Z179" s="3"/>
    </row>
    <row r="180" ht="14.25" customHeight="1">
      <c r="A180" s="8"/>
      <c r="B180" s="4"/>
      <c r="C180" s="1"/>
      <c r="D180" s="4"/>
      <c r="E180" s="4"/>
      <c r="F180" s="1"/>
      <c r="G180" s="4"/>
      <c r="H180" s="4"/>
      <c r="I180" s="4"/>
      <c r="J180" s="4"/>
      <c r="K180" s="4"/>
      <c r="L180" s="4"/>
      <c r="M180" s="4"/>
      <c r="N180" s="4"/>
      <c r="O180" s="4"/>
      <c r="P180" s="4"/>
      <c r="Q180" s="9"/>
      <c r="R180" s="9"/>
      <c r="S180" s="9"/>
      <c r="T180" s="9"/>
      <c r="U180" s="5"/>
      <c r="V180" s="5"/>
      <c r="W180" s="3"/>
      <c r="X180" s="3"/>
      <c r="Y180" s="3"/>
      <c r="Z180" s="3"/>
    </row>
    <row r="181" ht="14.25" customHeight="1">
      <c r="A181" s="8"/>
      <c r="B181" s="4"/>
      <c r="C181" s="1"/>
      <c r="D181" s="4"/>
      <c r="E181" s="4"/>
      <c r="F181" s="1"/>
      <c r="G181" s="4"/>
      <c r="H181" s="4"/>
      <c r="I181" s="4"/>
      <c r="J181" s="4"/>
      <c r="K181" s="4"/>
      <c r="L181" s="4"/>
      <c r="M181" s="4"/>
      <c r="N181" s="4"/>
      <c r="O181" s="4"/>
      <c r="P181" s="4"/>
      <c r="Q181" s="9"/>
      <c r="R181" s="9"/>
      <c r="S181" s="9"/>
      <c r="T181" s="9"/>
      <c r="U181" s="5"/>
      <c r="V181" s="5"/>
      <c r="W181" s="3"/>
      <c r="X181" s="3"/>
      <c r="Y181" s="3"/>
      <c r="Z181" s="3"/>
    </row>
    <row r="182" ht="14.25" customHeight="1">
      <c r="A182" s="8"/>
      <c r="B182" s="4"/>
      <c r="C182" s="1"/>
      <c r="D182" s="4"/>
      <c r="E182" s="4"/>
      <c r="F182" s="1"/>
      <c r="G182" s="4"/>
      <c r="H182" s="4"/>
      <c r="I182" s="4"/>
      <c r="J182" s="4"/>
      <c r="K182" s="4"/>
      <c r="L182" s="4"/>
      <c r="M182" s="4"/>
      <c r="N182" s="4"/>
      <c r="O182" s="4"/>
      <c r="P182" s="4"/>
      <c r="Q182" s="9"/>
      <c r="R182" s="9"/>
      <c r="S182" s="9"/>
      <c r="T182" s="9"/>
      <c r="U182" s="5"/>
      <c r="V182" s="5"/>
      <c r="W182" s="3"/>
      <c r="X182" s="3"/>
      <c r="Y182" s="3"/>
      <c r="Z182" s="3"/>
    </row>
    <row r="183" ht="14.25" customHeight="1">
      <c r="A183" s="8"/>
      <c r="B183" s="4"/>
      <c r="C183" s="1"/>
      <c r="D183" s="4"/>
      <c r="E183" s="4"/>
      <c r="F183" s="1"/>
      <c r="G183" s="4"/>
      <c r="H183" s="4"/>
      <c r="I183" s="4"/>
      <c r="J183" s="4"/>
      <c r="K183" s="4"/>
      <c r="L183" s="4"/>
      <c r="M183" s="4"/>
      <c r="N183" s="4"/>
      <c r="O183" s="4"/>
      <c r="P183" s="4"/>
      <c r="Q183" s="9"/>
      <c r="R183" s="9"/>
      <c r="S183" s="9"/>
      <c r="T183" s="9"/>
      <c r="U183" s="5"/>
      <c r="V183" s="5"/>
      <c r="W183" s="3"/>
      <c r="X183" s="3"/>
      <c r="Y183" s="3"/>
      <c r="Z183" s="3"/>
    </row>
    <row r="184" ht="14.25" customHeight="1">
      <c r="A184" s="8"/>
      <c r="B184" s="4"/>
      <c r="C184" s="1"/>
      <c r="D184" s="4"/>
      <c r="E184" s="4"/>
      <c r="F184" s="1"/>
      <c r="G184" s="4"/>
      <c r="H184" s="4"/>
      <c r="I184" s="4"/>
      <c r="J184" s="4"/>
      <c r="K184" s="4"/>
      <c r="L184" s="4"/>
      <c r="M184" s="4"/>
      <c r="N184" s="4"/>
      <c r="O184" s="4"/>
      <c r="P184" s="4"/>
      <c r="Q184" s="9"/>
      <c r="R184" s="9"/>
      <c r="S184" s="9"/>
      <c r="T184" s="9"/>
      <c r="U184" s="5"/>
      <c r="V184" s="5"/>
      <c r="W184" s="3"/>
      <c r="X184" s="3"/>
      <c r="Y184" s="3"/>
      <c r="Z184" s="3"/>
    </row>
    <row r="185" ht="14.25" customHeight="1">
      <c r="A185" s="8"/>
      <c r="B185" s="4"/>
      <c r="C185" s="1"/>
      <c r="D185" s="4"/>
      <c r="E185" s="4"/>
      <c r="F185" s="1"/>
      <c r="G185" s="4"/>
      <c r="H185" s="4"/>
      <c r="I185" s="4"/>
      <c r="J185" s="4"/>
      <c r="K185" s="4"/>
      <c r="L185" s="4"/>
      <c r="M185" s="4"/>
      <c r="N185" s="4"/>
      <c r="O185" s="4"/>
      <c r="P185" s="4"/>
      <c r="Q185" s="9"/>
      <c r="R185" s="9"/>
      <c r="S185" s="9"/>
      <c r="T185" s="9"/>
      <c r="U185" s="5"/>
      <c r="V185" s="5"/>
      <c r="W185" s="3"/>
      <c r="X185" s="3"/>
      <c r="Y185" s="3"/>
      <c r="Z185" s="3"/>
    </row>
    <row r="186" ht="14.25" customHeight="1">
      <c r="A186" s="8"/>
      <c r="B186" s="4"/>
      <c r="C186" s="1"/>
      <c r="D186" s="4"/>
      <c r="E186" s="4"/>
      <c r="F186" s="1"/>
      <c r="G186" s="4"/>
      <c r="H186" s="4"/>
      <c r="I186" s="4"/>
      <c r="J186" s="4"/>
      <c r="K186" s="4"/>
      <c r="L186" s="4"/>
      <c r="M186" s="4"/>
      <c r="N186" s="4"/>
      <c r="O186" s="4"/>
      <c r="P186" s="4"/>
      <c r="Q186" s="9"/>
      <c r="R186" s="9"/>
      <c r="S186" s="9"/>
      <c r="T186" s="9"/>
      <c r="U186" s="5"/>
      <c r="V186" s="5"/>
      <c r="W186" s="3"/>
      <c r="X186" s="3"/>
      <c r="Y186" s="3"/>
      <c r="Z186" s="3"/>
    </row>
    <row r="187" ht="14.25" customHeight="1">
      <c r="A187" s="8"/>
      <c r="B187" s="4"/>
      <c r="C187" s="1"/>
      <c r="D187" s="4"/>
      <c r="E187" s="4"/>
      <c r="F187" s="1"/>
      <c r="G187" s="4"/>
      <c r="H187" s="4"/>
      <c r="I187" s="4"/>
      <c r="J187" s="4"/>
      <c r="K187" s="4"/>
      <c r="L187" s="4"/>
      <c r="M187" s="4"/>
      <c r="N187" s="4"/>
      <c r="O187" s="4"/>
      <c r="P187" s="4"/>
      <c r="Q187" s="9"/>
      <c r="R187" s="9"/>
      <c r="S187" s="9"/>
      <c r="T187" s="9"/>
      <c r="U187" s="5"/>
      <c r="V187" s="5"/>
      <c r="W187" s="3"/>
      <c r="X187" s="3"/>
      <c r="Y187" s="3"/>
      <c r="Z187" s="3"/>
    </row>
    <row r="188" ht="14.25" customHeight="1">
      <c r="A188" s="8"/>
      <c r="B188" s="4"/>
      <c r="C188" s="1"/>
      <c r="D188" s="4"/>
      <c r="E188" s="4"/>
      <c r="F188" s="1"/>
      <c r="G188" s="4"/>
      <c r="H188" s="4"/>
      <c r="I188" s="4"/>
      <c r="J188" s="4"/>
      <c r="K188" s="4"/>
      <c r="L188" s="4"/>
      <c r="M188" s="4"/>
      <c r="N188" s="4"/>
      <c r="O188" s="4"/>
      <c r="P188" s="4"/>
      <c r="Q188" s="9"/>
      <c r="R188" s="9"/>
      <c r="S188" s="9"/>
      <c r="T188" s="9"/>
      <c r="U188" s="5"/>
      <c r="V188" s="5"/>
      <c r="W188" s="3"/>
      <c r="X188" s="3"/>
      <c r="Y188" s="3"/>
      <c r="Z188" s="3"/>
    </row>
    <row r="189" ht="14.25" customHeight="1">
      <c r="A189" s="8"/>
      <c r="B189" s="4"/>
      <c r="C189" s="1"/>
      <c r="D189" s="4"/>
      <c r="E189" s="4"/>
      <c r="F189" s="1"/>
      <c r="G189" s="4"/>
      <c r="H189" s="4"/>
      <c r="I189" s="4"/>
      <c r="J189" s="4"/>
      <c r="K189" s="4"/>
      <c r="L189" s="4"/>
      <c r="M189" s="4"/>
      <c r="N189" s="4"/>
      <c r="O189" s="4"/>
      <c r="P189" s="4"/>
      <c r="Q189" s="9"/>
      <c r="R189" s="9"/>
      <c r="S189" s="9"/>
      <c r="T189" s="9"/>
      <c r="U189" s="5"/>
      <c r="V189" s="5"/>
      <c r="W189" s="3"/>
      <c r="X189" s="3"/>
      <c r="Y189" s="3"/>
      <c r="Z189" s="3"/>
    </row>
    <row r="190" ht="14.25" customHeight="1">
      <c r="A190" s="8"/>
      <c r="B190" s="4"/>
      <c r="C190" s="1"/>
      <c r="D190" s="4"/>
      <c r="E190" s="4"/>
      <c r="F190" s="1"/>
      <c r="G190" s="4"/>
      <c r="H190" s="4"/>
      <c r="I190" s="4"/>
      <c r="J190" s="4"/>
      <c r="K190" s="4"/>
      <c r="L190" s="4"/>
      <c r="M190" s="4"/>
      <c r="N190" s="4"/>
      <c r="O190" s="4"/>
      <c r="P190" s="4"/>
      <c r="Q190" s="9"/>
      <c r="R190" s="9"/>
      <c r="S190" s="9"/>
      <c r="T190" s="9"/>
      <c r="U190" s="5"/>
      <c r="V190" s="5"/>
      <c r="W190" s="3"/>
      <c r="X190" s="3"/>
      <c r="Y190" s="3"/>
      <c r="Z190" s="3"/>
    </row>
    <row r="191" ht="14.25" customHeight="1">
      <c r="A191" s="8"/>
      <c r="B191" s="4"/>
      <c r="C191" s="1"/>
      <c r="D191" s="4"/>
      <c r="E191" s="4"/>
      <c r="F191" s="1"/>
      <c r="G191" s="4"/>
      <c r="H191" s="4"/>
      <c r="I191" s="4"/>
      <c r="J191" s="4"/>
      <c r="K191" s="4"/>
      <c r="L191" s="4"/>
      <c r="M191" s="4"/>
      <c r="N191" s="4"/>
      <c r="O191" s="4"/>
      <c r="P191" s="4"/>
      <c r="Q191" s="9"/>
      <c r="R191" s="9"/>
      <c r="S191" s="9"/>
      <c r="T191" s="9"/>
      <c r="U191" s="5"/>
      <c r="V191" s="5"/>
      <c r="W191" s="3"/>
      <c r="X191" s="3"/>
      <c r="Y191" s="3"/>
      <c r="Z191" s="3"/>
    </row>
    <row r="192" ht="14.25" customHeight="1">
      <c r="A192" s="8"/>
      <c r="B192" s="4"/>
      <c r="C192" s="1"/>
      <c r="D192" s="4"/>
      <c r="E192" s="4"/>
      <c r="F192" s="1"/>
      <c r="G192" s="4"/>
      <c r="H192" s="4"/>
      <c r="I192" s="4"/>
      <c r="J192" s="4"/>
      <c r="K192" s="4"/>
      <c r="L192" s="4"/>
      <c r="M192" s="4"/>
      <c r="N192" s="4"/>
      <c r="O192" s="4"/>
      <c r="P192" s="4"/>
      <c r="Q192" s="10"/>
      <c r="R192" s="10"/>
      <c r="S192" s="10"/>
      <c r="T192" s="10"/>
      <c r="U192" s="5"/>
      <c r="V192" s="5"/>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4.43"/>
    <col customWidth="1" min="2" max="2" width="12.71"/>
    <col customWidth="1" min="3" max="3" width="20.57"/>
    <col customWidth="1" min="4" max="4" width="15.57"/>
    <col customWidth="1" min="5" max="8" width="20.14"/>
    <col customWidth="1" min="9" max="9" width="25.86"/>
    <col customWidth="1" min="10" max="10" width="10.43"/>
    <col customWidth="1" min="11" max="21" width="10.71"/>
    <col customWidth="1" min="22" max="25" width="11.86"/>
    <col customWidth="1" min="26" max="26" width="12.29"/>
    <col customWidth="1" min="27" max="51" width="11.86"/>
    <col customWidth="1" min="52" max="52" width="10.71"/>
    <col customWidth="1" min="53" max="53" width="114.0"/>
    <col customWidth="1" min="54" max="54" width="50.43"/>
    <col customWidth="1" min="55" max="55" width="78.43"/>
    <col customWidth="1" min="56" max="56" width="8.71"/>
  </cols>
  <sheetData>
    <row r="1" ht="51.0" customHeight="1">
      <c r="A1" s="37" t="s">
        <v>1071</v>
      </c>
      <c r="B1" s="37" t="s">
        <v>1072</v>
      </c>
      <c r="C1" s="37" t="s">
        <v>1073</v>
      </c>
      <c r="D1" s="37" t="s">
        <v>812</v>
      </c>
      <c r="E1" s="37" t="s">
        <v>1074</v>
      </c>
      <c r="F1" s="37" t="s">
        <v>1075</v>
      </c>
      <c r="G1" s="37" t="s">
        <v>1076</v>
      </c>
      <c r="H1" s="37" t="s">
        <v>1077</v>
      </c>
      <c r="I1" s="37" t="s">
        <v>1078</v>
      </c>
      <c r="J1" s="38" t="s">
        <v>1079</v>
      </c>
      <c r="K1" s="37" t="s">
        <v>1080</v>
      </c>
      <c r="L1" s="37" t="s">
        <v>1081</v>
      </c>
      <c r="M1" s="37" t="s">
        <v>1082</v>
      </c>
      <c r="N1" s="37" t="s">
        <v>1083</v>
      </c>
      <c r="O1" s="37" t="s">
        <v>1084</v>
      </c>
      <c r="P1" s="37" t="s">
        <v>1085</v>
      </c>
      <c r="Q1" s="37" t="s">
        <v>1086</v>
      </c>
      <c r="R1" s="37" t="s">
        <v>1087</v>
      </c>
      <c r="S1" s="37" t="s">
        <v>1088</v>
      </c>
      <c r="T1" s="37" t="s">
        <v>1089</v>
      </c>
      <c r="U1" s="37" t="s">
        <v>1</v>
      </c>
      <c r="V1" s="39" t="s">
        <v>1090</v>
      </c>
      <c r="W1" s="39" t="s">
        <v>1091</v>
      </c>
      <c r="X1" s="39" t="s">
        <v>1092</v>
      </c>
      <c r="Y1" s="39" t="s">
        <v>1093</v>
      </c>
      <c r="Z1" s="39" t="s">
        <v>1094</v>
      </c>
      <c r="AA1" s="39" t="s">
        <v>1095</v>
      </c>
      <c r="AB1" s="40" t="s">
        <v>1096</v>
      </c>
      <c r="AC1" s="40" t="s">
        <v>1097</v>
      </c>
      <c r="AD1" s="40" t="s">
        <v>1098</v>
      </c>
      <c r="AE1" s="40" t="s">
        <v>1099</v>
      </c>
      <c r="AF1" s="40" t="s">
        <v>1100</v>
      </c>
      <c r="AG1" s="40" t="s">
        <v>1101</v>
      </c>
      <c r="AH1" s="41" t="s">
        <v>1102</v>
      </c>
      <c r="AI1" s="41" t="s">
        <v>1103</v>
      </c>
      <c r="AJ1" s="41" t="s">
        <v>1104</v>
      </c>
      <c r="AK1" s="41" t="s">
        <v>1105</v>
      </c>
      <c r="AL1" s="41" t="s">
        <v>1106</v>
      </c>
      <c r="AM1" s="41" t="s">
        <v>1107</v>
      </c>
      <c r="AN1" s="42" t="s">
        <v>1108</v>
      </c>
      <c r="AO1" s="42" t="s">
        <v>1109</v>
      </c>
      <c r="AP1" s="42" t="s">
        <v>1110</v>
      </c>
      <c r="AQ1" s="42" t="s">
        <v>1111</v>
      </c>
      <c r="AR1" s="42" t="s">
        <v>1112</v>
      </c>
      <c r="AS1" s="42" t="s">
        <v>1113</v>
      </c>
      <c r="AT1" s="43" t="s">
        <v>1114</v>
      </c>
      <c r="AU1" s="43" t="s">
        <v>1115</v>
      </c>
      <c r="AV1" s="43" t="s">
        <v>1116</v>
      </c>
      <c r="AW1" s="43" t="s">
        <v>1117</v>
      </c>
      <c r="AX1" s="43" t="s">
        <v>1118</v>
      </c>
      <c r="AY1" s="43" t="s">
        <v>1119</v>
      </c>
      <c r="AZ1" s="44" t="s">
        <v>1120</v>
      </c>
      <c r="BA1" s="37" t="s">
        <v>1121</v>
      </c>
      <c r="BB1" s="37" t="s">
        <v>1122</v>
      </c>
      <c r="BC1" s="37" t="s">
        <v>1123</v>
      </c>
      <c r="BD1" s="45" t="s">
        <v>1124</v>
      </c>
    </row>
    <row r="2" ht="12.75" customHeight="1">
      <c r="A2" s="13" t="s">
        <v>22</v>
      </c>
      <c r="B2" s="13" t="s">
        <v>22</v>
      </c>
      <c r="C2" s="22" t="s">
        <v>822</v>
      </c>
      <c r="D2" s="22" t="s">
        <v>1125</v>
      </c>
      <c r="E2" s="46">
        <v>3.2136E10</v>
      </c>
      <c r="F2" s="46" t="str">
        <f>IF(ISNUMBER(Table1[[#This Row],[2019 Scope 3 ]]),IF(Table1[[#This Row],[Net Earnings/Income (2019)]]-k_cost*Table1[[#This Row],[2019 Total Scope 1, 2 + 3]]&lt;0,"Y","N"),"NA")</f>
        <v>#ERROR!</v>
      </c>
      <c r="G2" s="47" t="str">
        <f>IF(ISNUMBER(Table1[[#This Row],[2019 Scope 3 ]]),IF(k_cost*Table1[[#This Row],[2019 Total Scope 1, 2 + 3]]/Table1[[#This Row],[Size (2019 Revenue)]]&gt;k_rev_max,"Y","N"),"NA")</f>
        <v>#ERROR!</v>
      </c>
      <c r="H2" s="47" t="str">
        <f>IF(OR(Table1[[#This Row],[Net earnings post carbon price @85/t]]="Y",Table1[[#This Row],[Carbon costs in % revenue]] = "Y"),"Y",IF(OR(Table1[[#This Row],[Net earnings post carbon price @85/t]]="NA",Table1[[#This Row],[Carbon costs in % revenue]]="NA"),"NA","N"))</f>
        <v>#ERROR!</v>
      </c>
      <c r="I2" s="46">
        <v>4.57E9</v>
      </c>
      <c r="J2" s="48">
        <v>1978.0</v>
      </c>
      <c r="K2" s="46" t="s">
        <v>1126</v>
      </c>
      <c r="L2" s="13" t="s">
        <v>1127</v>
      </c>
      <c r="M2" s="22" t="s">
        <v>1127</v>
      </c>
      <c r="P2" s="49">
        <v>9150000.0</v>
      </c>
      <c r="Q2" s="13" t="s">
        <v>1127</v>
      </c>
      <c r="R2" s="13" t="s">
        <v>1126</v>
      </c>
      <c r="S2" s="13">
        <v>2050.0</v>
      </c>
      <c r="T2" s="35" t="str">
        <f>IFERROR((Table1[[#This Row],[2019 Total Scope 1, 2 + 3]])/Table1[[#This Row],[2018 Total Scope 1, 2 + Scope 3]]-1,"NA")</f>
        <v>#ERROR!</v>
      </c>
      <c r="V2" s="50">
        <v>4050000.0</v>
      </c>
      <c r="W2" s="50">
        <v>1320000.0</v>
      </c>
      <c r="X2" s="50"/>
      <c r="Y2" s="50">
        <f t="shared" ref="Y2:Y70" si="1">IFERROR(V2+W2-X2,"")</f>
        <v>5370000</v>
      </c>
      <c r="Z2" s="50">
        <v>8920000.0</v>
      </c>
      <c r="AA2" s="50">
        <f t="shared" ref="AA2:AA101" si="2">IFERROR(Y2+Z2,"")</f>
        <v>14290000</v>
      </c>
      <c r="AB2" s="50">
        <v>4790000.0</v>
      </c>
      <c r="AC2" s="50">
        <v>1480000.0</v>
      </c>
      <c r="AD2" s="50"/>
      <c r="AE2" s="50">
        <f t="shared" ref="AE2:AE70" si="3">IFERROR(AB2+AC2-AD2,"")</f>
        <v>6270000</v>
      </c>
      <c r="AF2" s="50">
        <v>9530000.0</v>
      </c>
      <c r="AG2" s="50">
        <f t="shared" ref="AG2:AG101" si="4">IFERROR(AE2+AF2,"")</f>
        <v>15800000</v>
      </c>
      <c r="AH2" s="50">
        <v>3960000.0</v>
      </c>
      <c r="AI2" s="50">
        <v>1650000.0</v>
      </c>
      <c r="AJ2" s="50"/>
      <c r="AK2" s="50">
        <f t="shared" ref="AK2:AK70" si="5">IFERROR(AH2+AI2-AJ2,"")</f>
        <v>5610000</v>
      </c>
      <c r="AL2" s="50">
        <v>9280000.0</v>
      </c>
      <c r="AM2" s="50">
        <f t="shared" ref="AM2:AM101" si="6">IFERROR(AK2+AL2,"")</f>
        <v>14890000</v>
      </c>
      <c r="AN2" s="50">
        <v>4140000.0</v>
      </c>
      <c r="AO2" s="50">
        <v>1780000.0</v>
      </c>
      <c r="AP2" s="50"/>
      <c r="AQ2" s="50">
        <f t="shared" ref="AQ2:AQ42" si="7">IFERROR(AN2+AO2-AP2,"")</f>
        <v>5920000</v>
      </c>
      <c r="AR2" s="50">
        <v>9420000.0</v>
      </c>
      <c r="AS2" s="50">
        <f t="shared" ref="AS2:AS101" si="8">IFERROR(AQ2+AR2,"")</f>
        <v>15340000</v>
      </c>
      <c r="AT2" s="50">
        <v>3770000.0</v>
      </c>
      <c r="AU2" s="50">
        <v>1930000.0</v>
      </c>
      <c r="AV2" s="50"/>
      <c r="AW2" s="50">
        <f t="shared" ref="AW2:AW42" si="9">IFERROR(AT2+AU2-AV2,"")</f>
        <v>5700000</v>
      </c>
      <c r="AX2" s="50">
        <f>6860000+577000+621000+780000+254000+55800+356000</f>
        <v>9503800</v>
      </c>
      <c r="AY2" s="50">
        <f t="shared" ref="AY2:AY101" si="10">IFERROR(AW2+AX2,"")</f>
        <v>15203800</v>
      </c>
      <c r="AZ2" s="33" t="s">
        <v>1126</v>
      </c>
      <c r="BA2" s="51" t="s">
        <v>1128</v>
      </c>
      <c r="BD2" s="52"/>
    </row>
    <row r="3" ht="12.75" customHeight="1">
      <c r="A3" s="13" t="s">
        <v>59</v>
      </c>
      <c r="B3" s="22" t="s">
        <v>59</v>
      </c>
      <c r="C3" s="22" t="s">
        <v>829</v>
      </c>
      <c r="D3" s="22" t="s">
        <v>1129</v>
      </c>
      <c r="E3" s="53">
        <v>3.1904E10</v>
      </c>
      <c r="F3" s="46" t="str">
        <f>IF(ISNUMBER(Table1[[#This Row],[2019 Scope 3 ]]),IF(Table1[[#This Row],[Net Earnings/Income (2019)]]-k_cost*Table1[[#This Row],[2019 Total Scope 1, 2 + 3]]&lt;0,"Y","N"),"NA")</f>
        <v>#ERROR!</v>
      </c>
      <c r="G3" s="47" t="str">
        <f>IF(ISNUMBER(Table1[[#This Row],[2019 Scope 3 ]]),IF(k_cost*Table1[[#This Row],[2019 Total Scope 1, 2 + 3]]/Table1[[#This Row],[Size (2019 Revenue)]]&gt;k_rev_max,"Y","N"),"NA")</f>
        <v>#ERROR!</v>
      </c>
      <c r="H3" s="47" t="str">
        <f>IF(OR(Table1[[#This Row],[Net earnings post carbon price @85/t]]="Y",Table1[[#This Row],[Carbon costs in % revenue]] = "Y"),"Y",IF(OR(Table1[[#This Row],[Net earnings post carbon price @85/t]]="NA",Table1[[#This Row],[Carbon costs in % revenue]]="NA"),"NA","N"))</f>
        <v>#ERROR!</v>
      </c>
      <c r="I3" s="53">
        <v>3.687E9</v>
      </c>
      <c r="J3" s="48">
        <v>1929.0</v>
      </c>
      <c r="K3" s="22" t="s">
        <v>1126</v>
      </c>
      <c r="L3" s="22" t="s">
        <v>1127</v>
      </c>
      <c r="M3" s="22" t="s">
        <v>1127</v>
      </c>
      <c r="N3" s="22"/>
      <c r="O3" s="22"/>
      <c r="P3" s="49">
        <v>742000.0</v>
      </c>
      <c r="Q3" s="13" t="s">
        <v>1127</v>
      </c>
      <c r="R3" s="22" t="s">
        <v>1127</v>
      </c>
      <c r="S3" s="22" t="s">
        <v>1127</v>
      </c>
      <c r="T3" s="35" t="str">
        <f>IFERROR((Table1[[#This Row],[2019 Total Scope 1, 2 + 3]])/Table1[[#This Row],[2018 Total Scope 1, 2 + Scope 3]]-1,"NA")</f>
        <v>#ERROR!</v>
      </c>
      <c r="U3" s="22"/>
      <c r="V3" s="50">
        <v>533000.0</v>
      </c>
      <c r="W3" s="50">
        <v>439000.0</v>
      </c>
      <c r="X3" s="50"/>
      <c r="Y3" s="50">
        <f t="shared" si="1"/>
        <v>972000</v>
      </c>
      <c r="Z3" s="50">
        <f>8382000+2860000+290000+1501000+15000+332000+306000+508000+169000</f>
        <v>14363000</v>
      </c>
      <c r="AA3" s="50">
        <f t="shared" si="2"/>
        <v>15335000</v>
      </c>
      <c r="AB3" s="50">
        <v>525000.0</v>
      </c>
      <c r="AC3" s="50">
        <v>506000.0</v>
      </c>
      <c r="AD3" s="50"/>
      <c r="AE3" s="50">
        <f t="shared" si="3"/>
        <v>1031000</v>
      </c>
      <c r="AF3" s="50">
        <v>1.3678E7</v>
      </c>
      <c r="AG3" s="50">
        <f t="shared" si="4"/>
        <v>14709000</v>
      </c>
      <c r="AH3" s="50">
        <v>526000.0</v>
      </c>
      <c r="AI3" s="50">
        <v>506000.0</v>
      </c>
      <c r="AJ3" s="50"/>
      <c r="AK3" s="50">
        <f t="shared" si="5"/>
        <v>1032000</v>
      </c>
      <c r="AL3" s="50">
        <v>1.371E7</v>
      </c>
      <c r="AM3" s="50">
        <f t="shared" si="6"/>
        <v>14742000</v>
      </c>
      <c r="AN3" s="50">
        <v>516000.0</v>
      </c>
      <c r="AO3" s="50">
        <v>544000.0</v>
      </c>
      <c r="AP3" s="50"/>
      <c r="AQ3" s="50">
        <f t="shared" si="7"/>
        <v>1060000</v>
      </c>
      <c r="AR3" s="50">
        <v>1.4082E7</v>
      </c>
      <c r="AS3" s="50">
        <f t="shared" si="8"/>
        <v>15142000</v>
      </c>
      <c r="AT3" s="50" t="s">
        <v>1130</v>
      </c>
      <c r="AU3" s="50" t="s">
        <v>1130</v>
      </c>
      <c r="AV3" s="50"/>
      <c r="AW3" s="50" t="str">
        <f t="shared" si="9"/>
        <v/>
      </c>
      <c r="AX3" s="50" t="s">
        <v>1130</v>
      </c>
      <c r="AY3" s="50" t="str">
        <f t="shared" si="10"/>
        <v/>
      </c>
      <c r="AZ3" s="33" t="s">
        <v>1127</v>
      </c>
      <c r="BA3" s="54" t="s">
        <v>1131</v>
      </c>
      <c r="BD3" s="52"/>
    </row>
    <row r="4" ht="12.75" customHeight="1">
      <c r="A4" s="13" t="s">
        <v>64</v>
      </c>
      <c r="B4" s="22" t="s">
        <v>65</v>
      </c>
      <c r="C4" s="13" t="s">
        <v>829</v>
      </c>
      <c r="D4" s="22" t="s">
        <v>1132</v>
      </c>
      <c r="E4" s="53">
        <v>3.3266E10</v>
      </c>
      <c r="F4" s="46" t="str">
        <f>IF(ISNUMBER(Table1[[#This Row],[2019 Scope 3 ]]),IF(Table1[[#This Row],[Net Earnings/Income (2019)]]-k_cost*Table1[[#This Row],[2019 Total Scope 1, 2 + 3]]&lt;0,"Y","N"),"NA")</f>
        <v>#ERROR!</v>
      </c>
      <c r="G4" s="47" t="str">
        <f>IF(ISNUMBER(Table1[[#This Row],[2019 Scope 3 ]]),IF(k_cost*Table1[[#This Row],[2019 Total Scope 1, 2 + 3]]/Table1[[#This Row],[Size (2019 Revenue)]]&gt;k_rev_max,"Y","N"),"NA")</f>
        <v>#ERROR!</v>
      </c>
      <c r="H4" s="47" t="str">
        <f>IF(OR(Table1[[#This Row],[Net earnings post carbon price @85/t]]="Y",Table1[[#This Row],[Carbon costs in % revenue]] = "Y"),"Y",IF(OR(Table1[[#This Row],[Net earnings post carbon price @85/t]]="NA",Table1[[#This Row],[Carbon costs in % revenue]]="NA"),"NA","N"))</f>
        <v>#ERROR!</v>
      </c>
      <c r="I4" s="53">
        <v>5.697E9</v>
      </c>
      <c r="J4" s="48">
        <v>2013.0</v>
      </c>
      <c r="K4" s="22" t="s">
        <v>1126</v>
      </c>
      <c r="L4" s="22" t="s">
        <v>1127</v>
      </c>
      <c r="M4" s="22" t="s">
        <v>1127</v>
      </c>
      <c r="N4" s="22"/>
      <c r="O4" s="22"/>
      <c r="P4" s="49">
        <v>334482.0</v>
      </c>
      <c r="Q4" s="13" t="s">
        <v>1127</v>
      </c>
      <c r="R4" s="22" t="s">
        <v>1126</v>
      </c>
      <c r="S4" s="13">
        <v>2035.0</v>
      </c>
      <c r="T4" s="35" t="str">
        <f>IFERROR((Table1[[#This Row],[2019 Total Scope 1, 2 + 3]])/Table1[[#This Row],[2018 Total Scope 1, 2 + Scope 3]]-1,"NA")</f>
        <v>#ERROR!</v>
      </c>
      <c r="V4" s="50">
        <v>314421.0</v>
      </c>
      <c r="W4" s="50">
        <v>249777.0</v>
      </c>
      <c r="X4" s="50"/>
      <c r="Y4" s="50">
        <f t="shared" si="1"/>
        <v>564198</v>
      </c>
      <c r="Z4" s="50">
        <f>990981+20324+77371+5483+56303+183747</f>
        <v>1334209</v>
      </c>
      <c r="AA4" s="50">
        <f t="shared" si="2"/>
        <v>1898407</v>
      </c>
      <c r="AB4" s="50">
        <v>311000.0</v>
      </c>
      <c r="AC4" s="50">
        <v>271000.0</v>
      </c>
      <c r="AD4" s="50"/>
      <c r="AE4" s="50">
        <f t="shared" si="3"/>
        <v>582000</v>
      </c>
      <c r="AF4" s="50">
        <f>711499+17595+70284+5484+65924+177779</f>
        <v>1048565</v>
      </c>
      <c r="AG4" s="50">
        <f t="shared" si="4"/>
        <v>1630565</v>
      </c>
      <c r="AH4" s="50">
        <v>299000.0</v>
      </c>
      <c r="AI4" s="50">
        <v>284000.0</v>
      </c>
      <c r="AJ4" s="50"/>
      <c r="AK4" s="50">
        <f t="shared" si="5"/>
        <v>583000</v>
      </c>
      <c r="AL4" s="50">
        <f>652163+11640+53093+3956+106698+185438</f>
        <v>1012988</v>
      </c>
      <c r="AM4" s="50">
        <f t="shared" si="6"/>
        <v>1595988</v>
      </c>
      <c r="AN4" s="50">
        <v>297395.0</v>
      </c>
      <c r="AO4" s="50">
        <v>319692.0</v>
      </c>
      <c r="AP4" s="50"/>
      <c r="AQ4" s="50">
        <f t="shared" si="7"/>
        <v>617087</v>
      </c>
      <c r="AR4" s="50">
        <f>681914+13229+19813+2052+67536+124527+172</f>
        <v>909243</v>
      </c>
      <c r="AS4" s="50">
        <f t="shared" si="8"/>
        <v>1526330</v>
      </c>
      <c r="AT4" s="50">
        <v>318216.0</v>
      </c>
      <c r="AU4" s="50">
        <v>347250.0</v>
      </c>
      <c r="AV4" s="50"/>
      <c r="AW4" s="50">
        <f t="shared" si="9"/>
        <v>665466</v>
      </c>
      <c r="AX4" s="50">
        <f>619274+8239+20560+42819+9277+41030+102658+172</f>
        <v>844029</v>
      </c>
      <c r="AY4" s="50">
        <f t="shared" si="10"/>
        <v>1509495</v>
      </c>
      <c r="AZ4" s="33" t="s">
        <v>1127</v>
      </c>
      <c r="BA4" s="51" t="s">
        <v>1133</v>
      </c>
      <c r="BD4" s="52"/>
    </row>
    <row r="5" ht="12.75" customHeight="1">
      <c r="A5" s="13" t="s">
        <v>70</v>
      </c>
      <c r="B5" s="22" t="s">
        <v>70</v>
      </c>
      <c r="C5" s="13" t="s">
        <v>840</v>
      </c>
      <c r="D5" s="13" t="s">
        <v>1134</v>
      </c>
      <c r="E5" s="53">
        <v>4.32E10</v>
      </c>
      <c r="F5" s="46" t="str">
        <f>IF(ISNUMBER(Table1[[#This Row],[2019 Scope 3 ]]),IF(Table1[[#This Row],[Net Earnings/Income (2019)]]-k_cost*Table1[[#This Row],[2019 Total Scope 1, 2 + 3]]&lt;0,"Y","N"),"NA")</f>
        <v>#ERROR!</v>
      </c>
      <c r="G5" s="47" t="str">
        <f>IF(ISNUMBER(Table1[[#This Row],[2019 Scope 3 ]]),IF(k_cost*Table1[[#This Row],[2019 Total Scope 1, 2 + 3]]/Table1[[#This Row],[Size (2019 Revenue)]]&gt;k_rev_max,"Y","N"),"NA")</f>
        <v>#ERROR!</v>
      </c>
      <c r="H5" s="47" t="str">
        <f>IF(OR(Table1[[#This Row],[Net earnings post carbon price @85/t]]="Y",Table1[[#This Row],[Carbon costs in % revenue]] = "Y"),"Y",IF(OR(Table1[[#This Row],[Net earnings post carbon price @85/t]]="NA",Table1[[#This Row],[Carbon costs in % revenue]]="NA"),"NA","N"))</f>
        <v>#ERROR!</v>
      </c>
      <c r="I5" s="53">
        <v>4.78E9</v>
      </c>
      <c r="J5" s="48">
        <v>2001.0</v>
      </c>
      <c r="K5" s="22" t="s">
        <v>1126</v>
      </c>
      <c r="L5" s="22" t="s">
        <v>1127</v>
      </c>
      <c r="M5" s="13" t="s">
        <v>1126</v>
      </c>
      <c r="P5" s="49">
        <v>88000.0</v>
      </c>
      <c r="Q5" s="13" t="s">
        <v>1127</v>
      </c>
      <c r="R5" s="22" t="s">
        <v>1126</v>
      </c>
      <c r="S5" s="13">
        <v>2023.0</v>
      </c>
      <c r="T5" s="35" t="str">
        <f>IFERROR((Table1[[#This Row],[2019 Total Scope 1, 2 + 3]])/Table1[[#This Row],[2018 Total Scope 1, 2 + Scope 3]]-1,"NA")</f>
        <v>#ERROR!</v>
      </c>
      <c r="V5" s="50">
        <v>18923.0</v>
      </c>
      <c r="W5" s="50">
        <v>214680.0</v>
      </c>
      <c r="X5" s="50"/>
      <c r="Y5" s="50">
        <f t="shared" si="1"/>
        <v>233603</v>
      </c>
      <c r="Z5" s="50">
        <v>932653.0</v>
      </c>
      <c r="AA5" s="50">
        <f t="shared" si="2"/>
        <v>1166256</v>
      </c>
      <c r="AB5" s="50">
        <v>22183.0</v>
      </c>
      <c r="AC5" s="50">
        <v>218855.0</v>
      </c>
      <c r="AD5" s="50"/>
      <c r="AE5" s="50">
        <f t="shared" si="3"/>
        <v>241038</v>
      </c>
      <c r="AF5" s="50">
        <v>948756.0</v>
      </c>
      <c r="AG5" s="50">
        <f t="shared" si="4"/>
        <v>1189794</v>
      </c>
      <c r="AH5" s="50">
        <v>24095.0</v>
      </c>
      <c r="AI5" s="50">
        <v>243773.0</v>
      </c>
      <c r="AJ5" s="50"/>
      <c r="AK5" s="50">
        <f t="shared" si="5"/>
        <v>267868</v>
      </c>
      <c r="AL5" s="50">
        <v>974176.0</v>
      </c>
      <c r="AM5" s="50">
        <f t="shared" si="6"/>
        <v>1242044</v>
      </c>
      <c r="AN5" s="50">
        <v>27203.0</v>
      </c>
      <c r="AO5" s="50">
        <v>263050.0</v>
      </c>
      <c r="AP5" s="50"/>
      <c r="AQ5" s="50">
        <f t="shared" si="7"/>
        <v>290253</v>
      </c>
      <c r="AR5" s="50">
        <f>506841</f>
        <v>506841</v>
      </c>
      <c r="AS5" s="50">
        <f t="shared" si="8"/>
        <v>797094</v>
      </c>
      <c r="AT5" s="50">
        <v>26290.0</v>
      </c>
      <c r="AU5" s="50">
        <v>237239.0</v>
      </c>
      <c r="AV5" s="50"/>
      <c r="AW5" s="50">
        <f t="shared" si="9"/>
        <v>263529</v>
      </c>
      <c r="AX5" s="50">
        <v>449240.0</v>
      </c>
      <c r="AY5" s="50">
        <f t="shared" si="10"/>
        <v>712769</v>
      </c>
      <c r="AZ5" s="13" t="s">
        <v>1127</v>
      </c>
      <c r="BA5" s="51" t="s">
        <v>1135</v>
      </c>
      <c r="BB5" s="54" t="s">
        <v>1136</v>
      </c>
      <c r="BD5" s="52"/>
    </row>
    <row r="6" ht="12.75" customHeight="1">
      <c r="A6" s="22" t="s">
        <v>75</v>
      </c>
      <c r="B6" s="22" t="s">
        <v>76</v>
      </c>
      <c r="C6" s="22" t="s">
        <v>840</v>
      </c>
      <c r="D6" s="13" t="s">
        <v>849</v>
      </c>
      <c r="E6" s="46">
        <v>1.1171E10</v>
      </c>
      <c r="F6" s="46" t="str">
        <f>IF(ISNUMBER(Table1[[#This Row],[2019 Scope 3 ]]),IF(Table1[[#This Row],[Net Earnings/Income (2019)]]-k_cost*Table1[[#This Row],[2019 Total Scope 1, 2 + 3]]&lt;0,"Y","N"),"NA")</f>
        <v>#ERROR!</v>
      </c>
      <c r="G6" s="47" t="str">
        <f>IF(ISNUMBER(Table1[[#This Row],[2019 Scope 3 ]]),IF(k_cost*Table1[[#This Row],[2019 Total Scope 1, 2 + 3]]/Table1[[#This Row],[Size (2019 Revenue)]]&gt;k_rev_max,"Y","N"),"NA")</f>
        <v>#ERROR!</v>
      </c>
      <c r="H6" s="47" t="str">
        <f>IF(OR(Table1[[#This Row],[Net earnings post carbon price @85/t]]="Y",Table1[[#This Row],[Carbon costs in % revenue]] = "Y"),"Y",IF(OR(Table1[[#This Row],[Net earnings post carbon price @85/t]]="NA",Table1[[#This Row],[Carbon costs in % revenue]]="NA"),"NA","N"))</f>
        <v>#ERROR!</v>
      </c>
      <c r="I6" s="46">
        <v>2.951E9</v>
      </c>
      <c r="J6" s="48">
        <v>1986.0</v>
      </c>
      <c r="K6" s="46" t="s">
        <v>1126</v>
      </c>
      <c r="L6" s="13" t="s">
        <v>1127</v>
      </c>
      <c r="M6" s="22" t="s">
        <v>1126</v>
      </c>
      <c r="P6" s="49"/>
      <c r="Q6" s="13" t="s">
        <v>1127</v>
      </c>
      <c r="R6" s="13" t="s">
        <v>1126</v>
      </c>
      <c r="S6" s="13">
        <v>2035.0</v>
      </c>
      <c r="T6" s="35" t="str">
        <f>IFERROR((Table1[[#This Row],[2019 Total Scope 1, 2 + 3]])/Table1[[#This Row],[2018 Total Scope 1, 2 + Scope 3]]-1,"NA")</f>
        <v>#ERROR!</v>
      </c>
      <c r="V6" s="50">
        <v>11816.0</v>
      </c>
      <c r="W6" s="50">
        <v>43526.0</v>
      </c>
      <c r="X6" s="50"/>
      <c r="Y6" s="50">
        <f t="shared" si="1"/>
        <v>55342</v>
      </c>
      <c r="Z6" s="50">
        <f>358472+39706+14180+57.87+88959+42037</f>
        <v>543411.87</v>
      </c>
      <c r="AA6" s="50">
        <f t="shared" si="2"/>
        <v>598753.87</v>
      </c>
      <c r="AB6" s="50">
        <v>12119.0</v>
      </c>
      <c r="AC6" s="50">
        <v>47871.0</v>
      </c>
      <c r="AD6" s="50"/>
      <c r="AE6" s="50">
        <f t="shared" si="3"/>
        <v>59990</v>
      </c>
      <c r="AF6" s="55">
        <v>574034.0</v>
      </c>
      <c r="AG6" s="50">
        <f t="shared" si="4"/>
        <v>634024</v>
      </c>
      <c r="AH6" s="50">
        <v>12119.0</v>
      </c>
      <c r="AI6" s="50">
        <v>58874.0</v>
      </c>
      <c r="AJ6" s="50"/>
      <c r="AK6" s="50">
        <f t="shared" si="5"/>
        <v>70993</v>
      </c>
      <c r="AL6" s="50">
        <f>35952.82+16872.85+52.85+32512+9988+169+505</f>
        <v>96052.52</v>
      </c>
      <c r="AM6" s="50">
        <f t="shared" si="6"/>
        <v>167045.52</v>
      </c>
      <c r="AN6" s="50">
        <v>11082.0</v>
      </c>
      <c r="AO6" s="50">
        <v>58474.0</v>
      </c>
      <c r="AP6" s="50"/>
      <c r="AQ6" s="50">
        <f t="shared" si="7"/>
        <v>69556</v>
      </c>
      <c r="AR6" s="50"/>
      <c r="AS6" s="50">
        <f t="shared" si="8"/>
        <v>69556</v>
      </c>
      <c r="AT6" s="50" t="s">
        <v>1130</v>
      </c>
      <c r="AU6" s="50" t="s">
        <v>1130</v>
      </c>
      <c r="AV6" s="50"/>
      <c r="AW6" s="50" t="str">
        <f t="shared" si="9"/>
        <v/>
      </c>
      <c r="AX6" s="50" t="s">
        <v>1130</v>
      </c>
      <c r="AY6" s="50" t="str">
        <f t="shared" si="10"/>
        <v/>
      </c>
      <c r="AZ6" s="13" t="s">
        <v>1127</v>
      </c>
      <c r="BD6" s="52" t="s">
        <v>1137</v>
      </c>
    </row>
    <row r="7" ht="12.75" customHeight="1">
      <c r="A7" s="22" t="s">
        <v>81</v>
      </c>
      <c r="B7" s="22" t="s">
        <v>82</v>
      </c>
      <c r="C7" s="22" t="s">
        <v>850</v>
      </c>
      <c r="D7" s="13" t="s">
        <v>853</v>
      </c>
      <c r="E7" s="53">
        <v>4.4675E10</v>
      </c>
      <c r="F7" s="46" t="str">
        <f>IF(ISNUMBER(Table1[[#This Row],[2019 Scope 3 ]]),IF(Table1[[#This Row],[Net Earnings/Income (2019)]]-k_cost*Table1[[#This Row],[2019 Total Scope 1, 2 + 3]]&lt;0,"Y","N"),"NA")</f>
        <v>#ERROR!</v>
      </c>
      <c r="G7" s="47" t="str">
        <f>IF(ISNUMBER(Table1[[#This Row],[2019 Scope 3 ]]),IF(k_cost*Table1[[#This Row],[2019 Total Scope 1, 2 + 3]]/Table1[[#This Row],[Size (2019 Revenue)]]&gt;k_rev_max,"Y","N"),"NA")</f>
        <v>#ERROR!</v>
      </c>
      <c r="H7" s="47" t="str">
        <f>IF(OR(Table1[[#This Row],[Net earnings post carbon price @85/t]]="Y",Table1[[#This Row],[Carbon costs in % revenue]] = "Y"),"Y",IF(OR(Table1[[#This Row],[Net earnings post carbon price @85/t]]="NA",Table1[[#This Row],[Carbon costs in % revenue]]="NA"),"NA","N"))</f>
        <v>#ERROR!</v>
      </c>
      <c r="I7" s="53">
        <v>4.847E9</v>
      </c>
      <c r="J7" s="48">
        <v>1993.0</v>
      </c>
      <c r="K7" s="22" t="s">
        <v>1126</v>
      </c>
      <c r="L7" s="22" t="s">
        <v>1127</v>
      </c>
      <c r="M7" s="13" t="s">
        <v>1127</v>
      </c>
      <c r="P7" s="49"/>
      <c r="Q7" s="13" t="s">
        <v>1127</v>
      </c>
      <c r="R7" s="22" t="s">
        <v>1127</v>
      </c>
      <c r="S7" s="22" t="s">
        <v>1127</v>
      </c>
      <c r="T7" s="35" t="str">
        <f>IFERROR((Table1[[#This Row],[2019 Total Scope 1, 2 + 3]])/Table1[[#This Row],[2018 Total Scope 1, 2 + Scope 3]]-1,"NA")</f>
        <v>#ERROR!</v>
      </c>
      <c r="U7" s="22"/>
      <c r="V7" s="56">
        <v>39230.0</v>
      </c>
      <c r="W7" s="56">
        <v>74230.0</v>
      </c>
      <c r="X7" s="50"/>
      <c r="Y7" s="50">
        <f t="shared" si="1"/>
        <v>113460</v>
      </c>
      <c r="Z7" s="50">
        <f>10528+4343+3+446+8857+13412</f>
        <v>37589</v>
      </c>
      <c r="AA7" s="50">
        <f t="shared" si="2"/>
        <v>151049</v>
      </c>
      <c r="AB7" s="50">
        <v>45966.0</v>
      </c>
      <c r="AC7" s="50">
        <v>83887.0</v>
      </c>
      <c r="AD7" s="50"/>
      <c r="AE7" s="50">
        <f t="shared" si="3"/>
        <v>129853</v>
      </c>
      <c r="AF7" s="50">
        <v>13264.0</v>
      </c>
      <c r="AG7" s="50">
        <f t="shared" si="4"/>
        <v>143117</v>
      </c>
      <c r="AH7" s="50">
        <v>53818.0</v>
      </c>
      <c r="AI7" s="50">
        <v>91209.0</v>
      </c>
      <c r="AJ7" s="50"/>
      <c r="AK7" s="50">
        <f t="shared" si="5"/>
        <v>145027</v>
      </c>
      <c r="AL7" s="50">
        <v>20119.0</v>
      </c>
      <c r="AM7" s="50">
        <f t="shared" si="6"/>
        <v>165146</v>
      </c>
      <c r="AN7" s="50">
        <v>56521.0</v>
      </c>
      <c r="AO7" s="50">
        <v>104350.0</v>
      </c>
      <c r="AP7" s="50"/>
      <c r="AQ7" s="50">
        <f t="shared" si="7"/>
        <v>160871</v>
      </c>
      <c r="AR7" s="50">
        <v>19089.0</v>
      </c>
      <c r="AS7" s="50">
        <f t="shared" si="8"/>
        <v>179960</v>
      </c>
      <c r="AT7" s="50">
        <v>55709.0</v>
      </c>
      <c r="AU7" s="50">
        <v>111825.0</v>
      </c>
      <c r="AV7" s="50"/>
      <c r="AW7" s="50">
        <f t="shared" si="9"/>
        <v>167534</v>
      </c>
      <c r="AX7" s="50">
        <v>17345.0</v>
      </c>
      <c r="AY7" s="50">
        <f t="shared" si="10"/>
        <v>184879</v>
      </c>
      <c r="AZ7" s="13" t="s">
        <v>1127</v>
      </c>
      <c r="BA7" s="51" t="s">
        <v>1138</v>
      </c>
      <c r="BD7" s="52"/>
    </row>
    <row r="8" ht="12.75" customHeight="1">
      <c r="A8" s="13" t="s">
        <v>87</v>
      </c>
      <c r="B8" s="22" t="s">
        <v>88</v>
      </c>
      <c r="C8" s="13" t="s">
        <v>855</v>
      </c>
      <c r="D8" s="22" t="s">
        <v>1139</v>
      </c>
      <c r="E8" s="46">
        <v>1.61857E11</v>
      </c>
      <c r="F8" s="46" t="str">
        <f>IF(ISNUMBER(Table1[[#This Row],[2019 Scope 3 ]]),IF(Table1[[#This Row],[Net Earnings/Income (2019)]]-k_cost*Table1[[#This Row],[2019 Total Scope 1, 2 + 3]]&lt;0,"Y","N"),"NA")</f>
        <v>#ERROR!</v>
      </c>
      <c r="G8" s="47" t="str">
        <f>IF(ISNUMBER(Table1[[#This Row],[2019 Scope 3 ]]),IF(k_cost*Table1[[#This Row],[2019 Total Scope 1, 2 + 3]]/Table1[[#This Row],[Size (2019 Revenue)]]&gt;k_rev_max,"Y","N"),"NA")</f>
        <v>#ERROR!</v>
      </c>
      <c r="H8" s="47" t="str">
        <f>IF(OR(Table1[[#This Row],[Net earnings post carbon price @85/t]]="Y",Table1[[#This Row],[Carbon costs in % revenue]] = "Y"),"Y",IF(OR(Table1[[#This Row],[Net earnings post carbon price @85/t]]="NA",Table1[[#This Row],[Carbon costs in % revenue]]="NA"),"NA","N"))</f>
        <v>#ERROR!</v>
      </c>
      <c r="I8" s="46">
        <v>3.434E10</v>
      </c>
      <c r="J8" s="48">
        <v>2004.0</v>
      </c>
      <c r="K8" s="46" t="s">
        <v>1126</v>
      </c>
      <c r="L8" s="13" t="s">
        <v>1126</v>
      </c>
      <c r="M8" s="13" t="s">
        <v>1127</v>
      </c>
      <c r="N8" s="13">
        <v>2007.0</v>
      </c>
      <c r="O8" s="13">
        <v>2007.0</v>
      </c>
      <c r="P8" s="49"/>
      <c r="Q8" s="13" t="s">
        <v>1126</v>
      </c>
      <c r="R8" s="13" t="s">
        <v>1126</v>
      </c>
      <c r="S8" s="13">
        <v>2017.0</v>
      </c>
      <c r="T8" s="35" t="str">
        <f>IFERROR((Table1[[#This Row],[2019 Total Scope 1, 2 + 3]])/Table1[[#This Row],[2018 Total Scope 1, 2 + Scope 3]]-1,"NA")</f>
        <v>#ERROR!</v>
      </c>
      <c r="V8" s="56">
        <v>66686.0</v>
      </c>
      <c r="W8" s="56">
        <v>794267.0</v>
      </c>
      <c r="X8" s="50"/>
      <c r="Y8" s="50">
        <f t="shared" si="1"/>
        <v>860953</v>
      </c>
      <c r="Z8" s="50">
        <f>2158000+460000+369000+173000</f>
        <v>3160000</v>
      </c>
      <c r="AA8" s="50">
        <f t="shared" si="2"/>
        <v>4020953</v>
      </c>
      <c r="AB8" s="50">
        <v>63521.0</v>
      </c>
      <c r="AC8" s="50">
        <v>684236.0</v>
      </c>
      <c r="AD8" s="50">
        <v>1211224.0</v>
      </c>
      <c r="AE8" s="50">
        <f t="shared" si="3"/>
        <v>-463467</v>
      </c>
      <c r="AF8" s="50">
        <v>1.4279467E7</v>
      </c>
      <c r="AG8" s="50">
        <f t="shared" si="4"/>
        <v>13816000</v>
      </c>
      <c r="AH8" s="50">
        <v>66546.0</v>
      </c>
      <c r="AI8" s="50">
        <v>509334.0</v>
      </c>
      <c r="AJ8" s="50">
        <v>931943.0</v>
      </c>
      <c r="AK8" s="50">
        <f t="shared" si="5"/>
        <v>-356063</v>
      </c>
      <c r="AL8" s="50">
        <v>2719024.0</v>
      </c>
      <c r="AM8" s="50">
        <f t="shared" si="6"/>
        <v>2362961</v>
      </c>
      <c r="AN8" s="50">
        <v>66218.0</v>
      </c>
      <c r="AO8" s="50">
        <v>1518643.0</v>
      </c>
      <c r="AP8" s="50">
        <v>1898889.0</v>
      </c>
      <c r="AQ8" s="50">
        <f t="shared" si="7"/>
        <v>-314028</v>
      </c>
      <c r="AR8" s="50">
        <v>1292267.0</v>
      </c>
      <c r="AS8" s="50">
        <f t="shared" si="8"/>
        <v>978239</v>
      </c>
      <c r="AT8" s="50">
        <v>66991.0</v>
      </c>
      <c r="AU8" s="50">
        <v>1384427.0</v>
      </c>
      <c r="AV8" s="50">
        <v>2686101.0</v>
      </c>
      <c r="AW8" s="50">
        <f t="shared" si="9"/>
        <v>-1234683</v>
      </c>
      <c r="AX8" s="50">
        <v>1234683.0</v>
      </c>
      <c r="AY8" s="50">
        <f t="shared" si="10"/>
        <v>0</v>
      </c>
      <c r="AZ8" s="13" t="s">
        <v>1126</v>
      </c>
      <c r="BA8" s="51" t="s">
        <v>1140</v>
      </c>
      <c r="BC8" s="57"/>
      <c r="BD8" s="52"/>
    </row>
    <row r="9" ht="12.75" customHeight="1">
      <c r="A9" s="13" t="s">
        <v>93</v>
      </c>
      <c r="B9" s="22" t="s">
        <v>94</v>
      </c>
      <c r="C9" s="22" t="s">
        <v>860</v>
      </c>
      <c r="D9" s="13" t="s">
        <v>864</v>
      </c>
      <c r="E9" s="53">
        <v>2.5364E10</v>
      </c>
      <c r="F9" s="46" t="str">
        <f>IF(ISNUMBER(Table1[[#This Row],[2019 Scope 3 ]]),IF(Table1[[#This Row],[Net Earnings/Income (2019)]]-k_cost*Table1[[#This Row],[2019 Total Scope 1, 2 + 3]]&lt;0,"Y","N"),"NA")</f>
        <v>#ERROR!</v>
      </c>
      <c r="G9" s="47" t="str">
        <f>IF(ISNUMBER(Table1[[#This Row],[2019 Scope 3 ]]),IF(k_cost*Table1[[#This Row],[2019 Total Scope 1, 2 + 3]]/Table1[[#This Row],[Size (2019 Revenue)]]&gt;k_rev_max,"Y","N"),"NA")</f>
        <v>#ERROR!</v>
      </c>
      <c r="H9" s="47" t="str">
        <f>IF(OR(Table1[[#This Row],[Net earnings post carbon price @85/t]]="Y",Table1[[#This Row],[Carbon costs in % revenue]] = "Y"),"Y",IF(OR(Table1[[#This Row],[Net earnings post carbon price @85/t]]="NA",Table1[[#This Row],[Carbon costs in % revenue]]="NA"),"NA","N"))</f>
        <v>#ERROR!</v>
      </c>
      <c r="I9" s="53">
        <v>6.963E9</v>
      </c>
      <c r="J9" s="48">
        <v>1985.0</v>
      </c>
      <c r="K9" s="22" t="s">
        <v>1126</v>
      </c>
      <c r="L9" s="22" t="s">
        <v>1127</v>
      </c>
      <c r="M9" s="13" t="s">
        <v>1127</v>
      </c>
      <c r="P9" s="33">
        <v>4468432.0</v>
      </c>
      <c r="Q9" s="13" t="s">
        <v>1127</v>
      </c>
      <c r="R9" s="22" t="s">
        <v>1126</v>
      </c>
      <c r="S9" s="13">
        <v>2030.0</v>
      </c>
      <c r="T9" s="35" t="str">
        <f>IFERROR((Table1[[#This Row],[2019 Total Scope 1, 2 + 3]])/Table1[[#This Row],[2018 Total Scope 1, 2 + Scope 3]]-1,"NA")</f>
        <v>#ERROR!</v>
      </c>
      <c r="V9" s="50">
        <v>154507.0</v>
      </c>
      <c r="W9" s="50">
        <v>146909.0</v>
      </c>
      <c r="X9" s="50"/>
      <c r="Y9" s="50">
        <f t="shared" si="1"/>
        <v>301416</v>
      </c>
      <c r="Z9" s="50" t="s">
        <v>1130</v>
      </c>
      <c r="AA9" s="50" t="str">
        <f t="shared" si="2"/>
        <v/>
      </c>
      <c r="AB9" s="50">
        <v>162139.0</v>
      </c>
      <c r="AC9" s="50">
        <v>166706.0</v>
      </c>
      <c r="AD9" s="50"/>
      <c r="AE9" s="50">
        <f t="shared" si="3"/>
        <v>328845</v>
      </c>
      <c r="AF9" s="50">
        <v>5078448.0</v>
      </c>
      <c r="AG9" s="50">
        <f t="shared" si="4"/>
        <v>5407293</v>
      </c>
      <c r="AH9" s="50">
        <v>167695.0</v>
      </c>
      <c r="AI9" s="50">
        <v>168889.0</v>
      </c>
      <c r="AJ9" s="50"/>
      <c r="AK9" s="50">
        <f t="shared" si="5"/>
        <v>336584</v>
      </c>
      <c r="AL9" s="50">
        <v>5264365.0</v>
      </c>
      <c r="AM9" s="50">
        <f t="shared" si="6"/>
        <v>5600949</v>
      </c>
      <c r="AN9" s="50">
        <v>170442.0</v>
      </c>
      <c r="AO9" s="50">
        <v>206622.0</v>
      </c>
      <c r="AP9" s="50"/>
      <c r="AQ9" s="50">
        <f t="shared" si="7"/>
        <v>377064</v>
      </c>
      <c r="AR9" s="50">
        <f>1941444+126828+98679+165673+18158+10951+18622+243900+76389+172681</f>
        <v>2873325</v>
      </c>
      <c r="AS9" s="50">
        <f t="shared" si="8"/>
        <v>3250389</v>
      </c>
      <c r="AT9" s="50">
        <v>192293.0</v>
      </c>
      <c r="AU9" s="50">
        <v>204900.0</v>
      </c>
      <c r="AV9" s="50"/>
      <c r="AW9" s="50">
        <f t="shared" si="9"/>
        <v>397193</v>
      </c>
      <c r="AX9" s="50">
        <f>1946817+127179+59481+97537+30299+10641+19468+244575+76601+173159</f>
        <v>2785757</v>
      </c>
      <c r="AY9" s="50">
        <f t="shared" si="10"/>
        <v>3182950</v>
      </c>
      <c r="AZ9" s="13" t="s">
        <v>1127</v>
      </c>
      <c r="BA9" s="57" t="s">
        <v>1141</v>
      </c>
      <c r="BD9" s="52"/>
    </row>
    <row r="10" ht="12.75" customHeight="1">
      <c r="A10" s="13" t="s">
        <v>99</v>
      </c>
      <c r="B10" s="22" t="s">
        <v>100</v>
      </c>
      <c r="C10" s="22" t="s">
        <v>950</v>
      </c>
      <c r="D10" s="22" t="s">
        <v>923</v>
      </c>
      <c r="E10" s="46">
        <v>2.8E11</v>
      </c>
      <c r="F10" s="46" t="str">
        <f>IF(ISNUMBER(Table1[[#This Row],[2019 Scope 3 ]]),IF(Table1[[#This Row],[Net Earnings/Income (2019)]]-k_cost*Table1[[#This Row],[2019 Total Scope 1, 2 + 3]]&lt;0,"Y","N"),"NA")</f>
        <v>#ERROR!</v>
      </c>
      <c r="G10" s="47" t="str">
        <f>IF(ISNUMBER(Table1[[#This Row],[2019 Scope 3 ]]),IF(k_cost*Table1[[#This Row],[2019 Total Scope 1, 2 + 3]]/Table1[[#This Row],[Size (2019 Revenue)]]&gt;k_rev_max,"Y","N"),"NA")</f>
        <v>#ERROR!</v>
      </c>
      <c r="H10" s="47" t="str">
        <f>IF(OR(Table1[[#This Row],[Net earnings post carbon price @85/t]]="Y",Table1[[#This Row],[Carbon costs in % revenue]] = "Y"),"Y",IF(OR(Table1[[#This Row],[Net earnings post carbon price @85/t]]="NA",Table1[[#This Row],[Carbon costs in % revenue]]="NA"),"NA","N"))</f>
        <v>#ERROR!</v>
      </c>
      <c r="I10" s="46">
        <v>1.1588E10</v>
      </c>
      <c r="J10" s="48">
        <v>1997.0</v>
      </c>
      <c r="K10" s="46" t="s">
        <v>1126</v>
      </c>
      <c r="L10" s="13" t="s">
        <v>1126</v>
      </c>
      <c r="M10" s="22" t="s">
        <v>1126</v>
      </c>
      <c r="N10" s="13">
        <v>2040.0</v>
      </c>
      <c r="O10" s="13">
        <v>2020.0</v>
      </c>
      <c r="R10" s="13" t="s">
        <v>1126</v>
      </c>
      <c r="S10" s="13">
        <v>2025.0</v>
      </c>
      <c r="T10" s="35" t="str">
        <f>IFERROR((Table1[[#This Row],[2019 Total Scope 1, 2 + 3]])/Table1[[#This Row],[2018 Total Scope 1, 2 + Scope 3]]-1,"NA")</f>
        <v>#ERROR!</v>
      </c>
      <c r="V10" s="50">
        <v>5760000.0</v>
      </c>
      <c r="W10" s="50">
        <v>5500000.0</v>
      </c>
      <c r="X10" s="50"/>
      <c r="Y10" s="50">
        <f t="shared" si="1"/>
        <v>11260000</v>
      </c>
      <c r="Z10" s="50">
        <v>3.991E7</v>
      </c>
      <c r="AA10" s="50">
        <f t="shared" si="2"/>
        <v>51170000</v>
      </c>
      <c r="AB10" s="50">
        <v>4980000.0</v>
      </c>
      <c r="AC10" s="50">
        <v>4710000.0</v>
      </c>
      <c r="AD10" s="50"/>
      <c r="AE10" s="50">
        <f t="shared" si="3"/>
        <v>9690000</v>
      </c>
      <c r="AF10" s="50">
        <v>3.471E7</v>
      </c>
      <c r="AG10" s="50">
        <f t="shared" si="4"/>
        <v>44400000</v>
      </c>
      <c r="AH10" s="50" t="s">
        <v>1130</v>
      </c>
      <c r="AI10" s="50" t="s">
        <v>1130</v>
      </c>
      <c r="AJ10" s="50"/>
      <c r="AK10" s="50" t="str">
        <f t="shared" si="5"/>
        <v/>
      </c>
      <c r="AL10" s="50" t="s">
        <v>1130</v>
      </c>
      <c r="AM10" s="50" t="str">
        <f t="shared" si="6"/>
        <v/>
      </c>
      <c r="AN10" s="50" t="s">
        <v>1130</v>
      </c>
      <c r="AO10" s="50" t="s">
        <v>1130</v>
      </c>
      <c r="AP10" s="50"/>
      <c r="AQ10" s="50" t="str">
        <f t="shared" si="7"/>
        <v/>
      </c>
      <c r="AR10" s="50" t="s">
        <v>1130</v>
      </c>
      <c r="AS10" s="50" t="str">
        <f t="shared" si="8"/>
        <v/>
      </c>
      <c r="AT10" s="50" t="s">
        <v>1130</v>
      </c>
      <c r="AU10" s="50" t="s">
        <v>1130</v>
      </c>
      <c r="AV10" s="50"/>
      <c r="AW10" s="50" t="str">
        <f t="shared" si="9"/>
        <v/>
      </c>
      <c r="AX10" s="50" t="s">
        <v>1130</v>
      </c>
      <c r="AY10" s="50" t="str">
        <f t="shared" si="10"/>
        <v/>
      </c>
      <c r="AZ10" s="13" t="s">
        <v>1126</v>
      </c>
      <c r="BA10" s="57" t="s">
        <v>1142</v>
      </c>
      <c r="BB10" s="57"/>
      <c r="BC10" s="57" t="s">
        <v>1143</v>
      </c>
      <c r="BD10" s="52"/>
    </row>
    <row r="11" ht="12.75" customHeight="1">
      <c r="A11" s="13" t="s">
        <v>102</v>
      </c>
      <c r="B11" s="13" t="s">
        <v>102</v>
      </c>
      <c r="C11" s="13" t="s">
        <v>850</v>
      </c>
      <c r="D11" s="13" t="s">
        <v>1144</v>
      </c>
      <c r="E11" s="53">
        <v>4.3556E10</v>
      </c>
      <c r="F11" s="46" t="str">
        <f>IF(ISNUMBER(Table1[[#This Row],[2019 Scope 3 ]]),IF(Table1[[#This Row],[Net Earnings/Income (2019)]]-k_cost*Table1[[#This Row],[2019 Total Scope 1, 2 + 3]]&lt;0,"Y","N"),"NA")</f>
        <v>#ERROR!</v>
      </c>
      <c r="G11" s="47" t="str">
        <f>IF(ISNUMBER(Table1[[#This Row],[2019 Scope 3 ]]),IF(k_cost*Table1[[#This Row],[2019 Total Scope 1, 2 + 3]]/Table1[[#This Row],[Size (2019 Revenue)]]&gt;k_rev_max,"Y","N"),"NA")</f>
        <v>#ERROR!</v>
      </c>
      <c r="H11" s="47" t="str">
        <f>IF(OR(Table1[[#This Row],[Net earnings post carbon price @85/t]]="Y",Table1[[#This Row],[Carbon costs in % revenue]] = "Y"),"Y",IF(OR(Table1[[#This Row],[Net earnings post carbon price @85/t]]="NA",Table1[[#This Row],[Carbon costs in % revenue]]="NA"),"NA","N"))</f>
        <v>#ERROR!</v>
      </c>
      <c r="I11" s="53">
        <v>6.921E9</v>
      </c>
      <c r="J11" s="48">
        <v>1850.0</v>
      </c>
      <c r="K11" s="22" t="s">
        <v>1126</v>
      </c>
      <c r="L11" s="22" t="s">
        <v>1126</v>
      </c>
      <c r="M11" s="13" t="s">
        <v>1127</v>
      </c>
      <c r="N11" s="13">
        <v>2018.0</v>
      </c>
      <c r="O11" s="13">
        <v>2018.0</v>
      </c>
      <c r="P11" s="33" t="s">
        <v>1127</v>
      </c>
      <c r="Q11" s="13" t="s">
        <v>1126</v>
      </c>
      <c r="R11" s="22" t="s">
        <v>1126</v>
      </c>
      <c r="S11" s="22">
        <v>2018.0</v>
      </c>
      <c r="T11" s="35" t="str">
        <f>IFERROR((Table1[[#This Row],[2019 Total Scope 1, 2 + 3]])/Table1[[#This Row],[2018 Total Scope 1, 2 + Scope 3]]-1,"NA")</f>
        <v>#ERROR!</v>
      </c>
      <c r="U11" s="22"/>
      <c r="V11" s="50">
        <v>24363.0</v>
      </c>
      <c r="W11" s="50">
        <v>3153.0</v>
      </c>
      <c r="X11" s="50"/>
      <c r="Y11" s="50">
        <f t="shared" si="1"/>
        <v>27516</v>
      </c>
      <c r="Z11" s="50">
        <f>1956901+24863+30305+1719+51.679+138358+8000+9000</f>
        <v>2169197.679</v>
      </c>
      <c r="AA11" s="50">
        <f t="shared" si="2"/>
        <v>2196713.679</v>
      </c>
      <c r="AB11" s="50">
        <v>23981.0</v>
      </c>
      <c r="AC11" s="50">
        <v>2994.0</v>
      </c>
      <c r="AD11" s="50"/>
      <c r="AE11" s="50">
        <f t="shared" si="3"/>
        <v>26975</v>
      </c>
      <c r="AF11" s="50">
        <f>2090113+36041+28946+1710+47285+120309+8000+9000+135</f>
        <v>2341539</v>
      </c>
      <c r="AG11" s="50">
        <f t="shared" si="4"/>
        <v>2368514</v>
      </c>
      <c r="AH11" s="50">
        <v>24162.0</v>
      </c>
      <c r="AI11" s="50">
        <v>55273.0</v>
      </c>
      <c r="AJ11" s="50"/>
      <c r="AK11" s="50">
        <f t="shared" si="5"/>
        <v>79435</v>
      </c>
      <c r="AL11" s="50">
        <f>2028571+23807+30677+1314+34224+107396+8000+20000+156</f>
        <v>2254145</v>
      </c>
      <c r="AM11" s="50">
        <f t="shared" si="6"/>
        <v>2333580</v>
      </c>
      <c r="AN11" s="50">
        <v>25438.0</v>
      </c>
      <c r="AO11" s="50">
        <v>59115.0</v>
      </c>
      <c r="AP11" s="50"/>
      <c r="AQ11" s="50">
        <f t="shared" si="7"/>
        <v>84553</v>
      </c>
      <c r="AR11" s="50">
        <f>2110677+22382+30852+724+38364+122106+8000+22000+777</f>
        <v>2355882</v>
      </c>
      <c r="AS11" s="50">
        <f t="shared" si="8"/>
        <v>2440435</v>
      </c>
      <c r="AT11" s="50">
        <v>27352.0</v>
      </c>
      <c r="AU11" s="50">
        <v>98452.0</v>
      </c>
      <c r="AV11" s="50"/>
      <c r="AW11" s="50">
        <f t="shared" si="9"/>
        <v>125804</v>
      </c>
      <c r="AX11" s="50">
        <f>1128675+25937+34489+3230+1347+43092+118926+1800</f>
        <v>1357496</v>
      </c>
      <c r="AY11" s="50">
        <f t="shared" si="10"/>
        <v>1483300</v>
      </c>
      <c r="AZ11" s="13" t="s">
        <v>1127</v>
      </c>
      <c r="BA11" s="57"/>
      <c r="BD11" s="52"/>
    </row>
    <row r="12" ht="12.75" customHeight="1">
      <c r="A12" s="22" t="s">
        <v>107</v>
      </c>
      <c r="B12" s="22" t="s">
        <v>108</v>
      </c>
      <c r="C12" s="22" t="s">
        <v>850</v>
      </c>
      <c r="D12" s="22" t="s">
        <v>853</v>
      </c>
      <c r="E12" s="53">
        <v>4.975E10</v>
      </c>
      <c r="F12" s="46" t="str">
        <f>IF(ISNUMBER(Table1[[#This Row],[2019 Scope 3 ]]),IF(Table1[[#This Row],[Net Earnings/Income (2019)]]-k_cost*Table1[[#This Row],[2019 Total Scope 1, 2 + 3]]&lt;0,"Y","N"),"NA")</f>
        <v>#ERROR!</v>
      </c>
      <c r="G12" s="47" t="str">
        <f>IF(ISNUMBER(Table1[[#This Row],[2019 Scope 3 ]]),IF(k_cost*Table1[[#This Row],[2019 Total Scope 1, 2 + 3]]/Table1[[#This Row],[Size (2019 Revenue)]]&gt;k_rev_max,"Y","N"),"NA")</f>
        <v>#ERROR!</v>
      </c>
      <c r="H12" s="47" t="str">
        <f>IF(OR(Table1[[#This Row],[Net earnings post carbon price @85/t]]="Y",Table1[[#This Row],[Carbon costs in % revenue]] = "Y"),"Y",IF(OR(Table1[[#This Row],[Net earnings post carbon price @85/t]]="NA",Table1[[#This Row],[Carbon costs in % revenue]]="NA"),"NA","N"))</f>
        <v>#ERROR!</v>
      </c>
      <c r="I12" s="53">
        <v>3.3E9</v>
      </c>
      <c r="J12" s="48">
        <v>1969.0</v>
      </c>
      <c r="K12" s="22" t="s">
        <v>1126</v>
      </c>
      <c r="L12" s="22" t="s">
        <v>1127</v>
      </c>
      <c r="M12" s="13" t="s">
        <v>1127</v>
      </c>
      <c r="P12" s="33" t="s">
        <v>1127</v>
      </c>
      <c r="Q12" s="13" t="s">
        <v>1127</v>
      </c>
      <c r="R12" s="22" t="s">
        <v>1127</v>
      </c>
      <c r="S12" s="22" t="s">
        <v>1127</v>
      </c>
      <c r="T12" s="35" t="str">
        <f>IFERROR((Table1[[#This Row],[2019 Total Scope 1, 2 + 3]])/Table1[[#This Row],[2018 Total Scope 1, 2 + Scope 3]]-1,"NA")</f>
        <v>#ERROR!</v>
      </c>
      <c r="U12" s="22"/>
      <c r="V12" s="50">
        <v>17121.0</v>
      </c>
      <c r="W12" s="50">
        <v>93781.0</v>
      </c>
      <c r="X12" s="50"/>
      <c r="Y12" s="50">
        <f t="shared" si="1"/>
        <v>110902</v>
      </c>
      <c r="Z12" s="50" t="s">
        <v>1130</v>
      </c>
      <c r="AA12" s="50" t="str">
        <f t="shared" si="2"/>
        <v/>
      </c>
      <c r="AB12" s="50" t="s">
        <v>1130</v>
      </c>
      <c r="AC12" s="50">
        <v>8824.0</v>
      </c>
      <c r="AD12" s="50"/>
      <c r="AE12" s="50" t="str">
        <f t="shared" si="3"/>
        <v/>
      </c>
      <c r="AF12" s="50" t="s">
        <v>1130</v>
      </c>
      <c r="AG12" s="50" t="str">
        <f t="shared" si="4"/>
        <v/>
      </c>
      <c r="AH12" s="50" t="s">
        <v>1130</v>
      </c>
      <c r="AI12" s="50">
        <v>9781.0</v>
      </c>
      <c r="AJ12" s="50"/>
      <c r="AK12" s="50" t="str">
        <f t="shared" si="5"/>
        <v/>
      </c>
      <c r="AL12" s="50" t="s">
        <v>1130</v>
      </c>
      <c r="AM12" s="50" t="str">
        <f t="shared" si="6"/>
        <v/>
      </c>
      <c r="AN12" s="50" t="s">
        <v>1130</v>
      </c>
      <c r="AO12" s="50">
        <v>12135.0</v>
      </c>
      <c r="AP12" s="50"/>
      <c r="AQ12" s="50" t="str">
        <f t="shared" si="7"/>
        <v/>
      </c>
      <c r="AR12" s="50" t="s">
        <v>1130</v>
      </c>
      <c r="AS12" s="50" t="str">
        <f t="shared" si="8"/>
        <v/>
      </c>
      <c r="AT12" s="50" t="s">
        <v>1130</v>
      </c>
      <c r="AU12" s="50" t="s">
        <v>1130</v>
      </c>
      <c r="AV12" s="50"/>
      <c r="AW12" s="50" t="str">
        <f t="shared" si="9"/>
        <v/>
      </c>
      <c r="AX12" s="50" t="s">
        <v>1130</v>
      </c>
      <c r="AY12" s="50" t="str">
        <f t="shared" si="10"/>
        <v/>
      </c>
      <c r="AZ12" s="50" t="s">
        <v>1127</v>
      </c>
      <c r="BA12" s="51" t="s">
        <v>1145</v>
      </c>
      <c r="BB12" s="51" t="s">
        <v>1146</v>
      </c>
      <c r="BD12" s="52"/>
    </row>
    <row r="13" ht="12.75" customHeight="1">
      <c r="A13" s="22" t="s">
        <v>113</v>
      </c>
      <c r="B13" s="22" t="s">
        <v>113</v>
      </c>
      <c r="C13" s="22" t="s">
        <v>870</v>
      </c>
      <c r="D13" s="13" t="s">
        <v>870</v>
      </c>
      <c r="E13" s="53">
        <v>7.58E9</v>
      </c>
      <c r="F13" s="46" t="str">
        <f>IF(ISNUMBER(Table1[[#This Row],[2019 Scope 3 ]]),IF(Table1[[#This Row],[Net Earnings/Income (2019)]]-k_cost*Table1[[#This Row],[2019 Total Scope 1, 2 + 3]]&lt;0,"Y","N"),"NA")</f>
        <v>#ERROR!</v>
      </c>
      <c r="G13" s="47" t="str">
        <f>IF(ISNUMBER(Table1[[#This Row],[2019 Scope 3 ]]),IF(k_cost*Table1[[#This Row],[2019 Total Scope 1, 2 + 3]]/Table1[[#This Row],[Size (2019 Revenue)]]&gt;k_rev_max,"Y","N"),"NA")</f>
        <v>#ERROR!</v>
      </c>
      <c r="H13" s="47" t="str">
        <f>IF(OR(Table1[[#This Row],[Net earnings post carbon price @85/t]]="Y",Table1[[#This Row],[Carbon costs in % revenue]] = "Y"),"Y",IF(OR(Table1[[#This Row],[Net earnings post carbon price @85/t]]="NA",Table1[[#This Row],[Carbon costs in % revenue]]="NA"),"NA","N"))</f>
        <v>#ERROR!</v>
      </c>
      <c r="I13" s="53">
        <v>1.888E9</v>
      </c>
      <c r="J13" s="48">
        <v>1995.0</v>
      </c>
      <c r="K13" s="22" t="s">
        <v>1126</v>
      </c>
      <c r="L13" s="58" t="s">
        <v>1127</v>
      </c>
      <c r="M13" s="22" t="s">
        <v>1127</v>
      </c>
      <c r="P13" s="33" t="s">
        <v>1127</v>
      </c>
      <c r="R13" s="22" t="s">
        <v>1127</v>
      </c>
      <c r="S13" s="22" t="s">
        <v>1127</v>
      </c>
      <c r="T13" s="35" t="str">
        <f>IFERROR((Table1[[#This Row],[2019 Total Scope 1, 2 + 3]])/Table1[[#This Row],[2018 Total Scope 1, 2 + Scope 3]]-1,"NA")</f>
        <v>#ERROR!</v>
      </c>
      <c r="U13" s="22"/>
      <c r="V13" s="50">
        <v>556281.0</v>
      </c>
      <c r="W13" s="50">
        <v>1780621.0</v>
      </c>
      <c r="X13" s="50">
        <v>92145.0</v>
      </c>
      <c r="Y13" s="50">
        <f t="shared" si="1"/>
        <v>2244757</v>
      </c>
      <c r="Z13" s="50" t="s">
        <v>1130</v>
      </c>
      <c r="AA13" s="50" t="str">
        <f t="shared" si="2"/>
        <v/>
      </c>
      <c r="AB13" s="50">
        <v>615347.0</v>
      </c>
      <c r="AC13" s="50">
        <v>1796960.0</v>
      </c>
      <c r="AD13" s="50"/>
      <c r="AE13" s="50">
        <f t="shared" si="3"/>
        <v>2412307</v>
      </c>
      <c r="AF13" s="50" t="s">
        <v>1130</v>
      </c>
      <c r="AG13" s="50" t="str">
        <f t="shared" si="4"/>
        <v/>
      </c>
      <c r="AH13" s="50">
        <v>650755.0</v>
      </c>
      <c r="AI13" s="50">
        <v>1617395.0</v>
      </c>
      <c r="AJ13" s="50"/>
      <c r="AK13" s="50">
        <f t="shared" si="5"/>
        <v>2268150</v>
      </c>
      <c r="AL13" s="50" t="s">
        <v>1130</v>
      </c>
      <c r="AM13" s="50" t="str">
        <f t="shared" si="6"/>
        <v/>
      </c>
      <c r="AN13" s="50" t="s">
        <v>1130</v>
      </c>
      <c r="AO13" s="50" t="s">
        <v>1130</v>
      </c>
      <c r="AP13" s="50"/>
      <c r="AQ13" s="50" t="str">
        <f t="shared" si="7"/>
        <v/>
      </c>
      <c r="AR13" s="50" t="s">
        <v>1130</v>
      </c>
      <c r="AS13" s="50" t="str">
        <f t="shared" si="8"/>
        <v/>
      </c>
      <c r="AT13" s="50" t="s">
        <v>1130</v>
      </c>
      <c r="AU13" s="50" t="s">
        <v>1130</v>
      </c>
      <c r="AV13" s="50"/>
      <c r="AW13" s="50" t="str">
        <f t="shared" si="9"/>
        <v/>
      </c>
      <c r="AX13" s="50" t="s">
        <v>1130</v>
      </c>
      <c r="AY13" s="50" t="str">
        <f t="shared" si="10"/>
        <v/>
      </c>
      <c r="AZ13" s="13" t="s">
        <v>1127</v>
      </c>
      <c r="BA13" s="51" t="s">
        <v>1147</v>
      </c>
      <c r="BD13" s="52" t="s">
        <v>1148</v>
      </c>
    </row>
    <row r="14" ht="12.75" customHeight="1">
      <c r="A14" s="13" t="s">
        <v>118</v>
      </c>
      <c r="B14" s="22" t="s">
        <v>119</v>
      </c>
      <c r="C14" s="13" t="s">
        <v>829</v>
      </c>
      <c r="D14" s="13" t="s">
        <v>1132</v>
      </c>
      <c r="E14" s="53">
        <v>2.34E10</v>
      </c>
      <c r="F14" s="46" t="str">
        <f>IF(ISNUMBER(Table1[[#This Row],[2019 Scope 3 ]]),IF(Table1[[#This Row],[Net Earnings/Income (2019)]]-k_cost*Table1[[#This Row],[2019 Total Scope 1, 2 + 3]]&lt;0,"Y","N"),"NA")</f>
        <v>#ERROR!</v>
      </c>
      <c r="G14" s="47" t="str">
        <f>IF(ISNUMBER(Table1[[#This Row],[2019 Scope 3 ]]),IF(k_cost*Table1[[#This Row],[2019 Total Scope 1, 2 + 3]]/Table1[[#This Row],[Size (2019 Revenue)]]&gt;k_rev_max,"Y","N"),"NA")</f>
        <v>#ERROR!</v>
      </c>
      <c r="H14" s="47" t="str">
        <f>IF(OR(Table1[[#This Row],[Net earnings post carbon price @85/t]]="Y",Table1[[#This Row],[Carbon costs in % revenue]] = "Y"),"Y",IF(OR(Table1[[#This Row],[Net earnings post carbon price @85/t]]="NA",Table1[[#This Row],[Carbon costs in % revenue]]="NA"),"NA","N"))</f>
        <v>#ERROR!</v>
      </c>
      <c r="I14" s="53">
        <v>7.84E9</v>
      </c>
      <c r="J14" s="48">
        <v>1983.0</v>
      </c>
      <c r="K14" s="22" t="s">
        <v>1126</v>
      </c>
      <c r="L14" s="22" t="s">
        <v>1127</v>
      </c>
      <c r="M14" s="13" t="s">
        <v>1127</v>
      </c>
      <c r="P14" s="33"/>
      <c r="Q14" s="13" t="s">
        <v>1127</v>
      </c>
      <c r="R14" s="22" t="s">
        <v>1127</v>
      </c>
      <c r="S14" s="22" t="s">
        <v>1127</v>
      </c>
      <c r="T14" s="35" t="str">
        <f>IFERROR((Table1[[#This Row],[2019 Total Scope 1, 2 + 3]])/Table1[[#This Row],[2018 Total Scope 1, 2 + Scope 3]]-1,"NA")</f>
        <v>#ERROR!</v>
      </c>
      <c r="U14" s="22"/>
      <c r="V14" s="50">
        <v>135954.0</v>
      </c>
      <c r="W14" s="50">
        <v>160360.0</v>
      </c>
      <c r="X14" s="50"/>
      <c r="Y14" s="50">
        <f t="shared" si="1"/>
        <v>296314</v>
      </c>
      <c r="Z14" s="50">
        <f>2323917+258132+52554+22572+3454+56478+56210+52991+3047</f>
        <v>2829355</v>
      </c>
      <c r="AA14" s="50">
        <f t="shared" si="2"/>
        <v>3125669</v>
      </c>
      <c r="AB14" s="50">
        <v>160184.0</v>
      </c>
      <c r="AC14" s="50">
        <v>159848.0</v>
      </c>
      <c r="AD14" s="50"/>
      <c r="AE14" s="50">
        <f t="shared" si="3"/>
        <v>320032</v>
      </c>
      <c r="AF14" s="50">
        <f>2413684+263202+29187+33207+1405+59334+56483</f>
        <v>2856502</v>
      </c>
      <c r="AG14" s="50">
        <f t="shared" si="4"/>
        <v>3176534</v>
      </c>
      <c r="AH14" s="50">
        <v>163362.0</v>
      </c>
      <c r="AI14" s="50">
        <v>139035.0</v>
      </c>
      <c r="AJ14" s="50"/>
      <c r="AK14" s="50">
        <f t="shared" si="5"/>
        <v>302397</v>
      </c>
      <c r="AL14" s="50" t="s">
        <v>1130</v>
      </c>
      <c r="AM14" s="50" t="str">
        <f t="shared" si="6"/>
        <v/>
      </c>
      <c r="AN14" s="50">
        <v>116643.0</v>
      </c>
      <c r="AO14" s="50">
        <v>196000.0</v>
      </c>
      <c r="AP14" s="50"/>
      <c r="AQ14" s="50">
        <f t="shared" si="7"/>
        <v>312643</v>
      </c>
      <c r="AR14" s="50" t="s">
        <v>1130</v>
      </c>
      <c r="AS14" s="50" t="str">
        <f t="shared" si="8"/>
        <v/>
      </c>
      <c r="AT14" s="50">
        <v>125674.0</v>
      </c>
      <c r="AU14" s="50">
        <v>281940.0</v>
      </c>
      <c r="AV14" s="50"/>
      <c r="AW14" s="50">
        <f t="shared" si="9"/>
        <v>407614</v>
      </c>
      <c r="AX14" s="50" t="s">
        <v>1130</v>
      </c>
      <c r="AY14" s="50" t="str">
        <f t="shared" si="10"/>
        <v/>
      </c>
      <c r="AZ14" s="13" t="s">
        <v>1127</v>
      </c>
      <c r="BA14" s="51" t="s">
        <v>1149</v>
      </c>
      <c r="BD14" s="52"/>
    </row>
    <row r="15" ht="12.75" customHeight="1">
      <c r="A15" s="13" t="s">
        <v>124</v>
      </c>
      <c r="B15" s="22" t="s">
        <v>125</v>
      </c>
      <c r="C15" s="13" t="s">
        <v>840</v>
      </c>
      <c r="D15" s="22" t="s">
        <v>1150</v>
      </c>
      <c r="E15" s="46">
        <v>2.60174E11</v>
      </c>
      <c r="F15" s="46" t="str">
        <f>IF(ISNUMBER(Table1[[#This Row],[2019 Scope 3 ]]),IF(Table1[[#This Row],[Net Earnings/Income (2019)]]-k_cost*Table1[[#This Row],[2019 Total Scope 1, 2 + 3]]&lt;0,"Y","N"),"NA")</f>
        <v>#ERROR!</v>
      </c>
      <c r="G15" s="47" t="str">
        <f>IF(ISNUMBER(Table1[[#This Row],[2019 Scope 3 ]]),IF(k_cost*Table1[[#This Row],[2019 Total Scope 1, 2 + 3]]/Table1[[#This Row],[Size (2019 Revenue)]]&gt;k_rev_max,"Y","N"),"NA")</f>
        <v>#ERROR!</v>
      </c>
      <c r="H15" s="47" t="str">
        <f>IF(OR(Table1[[#This Row],[Net earnings post carbon price @85/t]]="Y",Table1[[#This Row],[Carbon costs in % revenue]] = "Y"),"Y",IF(OR(Table1[[#This Row],[Net earnings post carbon price @85/t]]="NA",Table1[[#This Row],[Carbon costs in % revenue]]="NA"),"NA","N"))</f>
        <v>#ERROR!</v>
      </c>
      <c r="I15" s="46">
        <v>5.5256E10</v>
      </c>
      <c r="J15" s="48">
        <v>1980.0</v>
      </c>
      <c r="K15" s="46" t="s">
        <v>1126</v>
      </c>
      <c r="L15" s="13" t="s">
        <v>1126</v>
      </c>
      <c r="M15" s="13" t="s">
        <v>1127</v>
      </c>
      <c r="N15" s="13">
        <v>2030.0</v>
      </c>
      <c r="O15" s="13">
        <v>2020.0</v>
      </c>
      <c r="P15" s="33">
        <v>1083243.0</v>
      </c>
      <c r="Q15" s="13" t="s">
        <v>1127</v>
      </c>
      <c r="R15" s="13" t="s">
        <v>1126</v>
      </c>
      <c r="S15" s="13">
        <v>2018.0</v>
      </c>
      <c r="T15" s="35" t="str">
        <f>IFERROR((Table1[[#This Row],[2019 Total Scope 1, 2 + 3]])/Table1[[#This Row],[2018 Total Scope 1, 2 + Scope 3]]-1,"NA")</f>
        <v>#ERROR!</v>
      </c>
      <c r="V15" s="50">
        <v>50549.0</v>
      </c>
      <c r="W15" s="50">
        <v>0.0</v>
      </c>
      <c r="X15" s="50"/>
      <c r="Y15" s="50">
        <f t="shared" si="1"/>
        <v>50549</v>
      </c>
      <c r="Z15" s="50">
        <f>18900000+486000+325500+194700+999000+4100000+60000</f>
        <v>25065200</v>
      </c>
      <c r="AA15" s="50">
        <f t="shared" si="2"/>
        <v>25115749</v>
      </c>
      <c r="AB15" s="50">
        <v>54590.0</v>
      </c>
      <c r="AC15" s="50">
        <v>8730.0</v>
      </c>
      <c r="AD15" s="50"/>
      <c r="AE15" s="50">
        <f t="shared" si="3"/>
        <v>63320</v>
      </c>
      <c r="AF15" s="50">
        <v>2.46E7</v>
      </c>
      <c r="AG15" s="50">
        <f t="shared" si="4"/>
        <v>24663320</v>
      </c>
      <c r="AH15" s="50">
        <v>45400.0</v>
      </c>
      <c r="AI15" s="50">
        <v>36250.0</v>
      </c>
      <c r="AJ15" s="50"/>
      <c r="AK15" s="50">
        <f t="shared" si="5"/>
        <v>81650</v>
      </c>
      <c r="AL15" s="50">
        <v>293440.0</v>
      </c>
      <c r="AM15" s="50">
        <f t="shared" si="6"/>
        <v>375090</v>
      </c>
      <c r="AN15" s="50">
        <v>34370.0</v>
      </c>
      <c r="AO15" s="50">
        <v>31000.0</v>
      </c>
      <c r="AP15" s="50"/>
      <c r="AQ15" s="50">
        <f t="shared" si="7"/>
        <v>65370</v>
      </c>
      <c r="AR15" s="50">
        <f>22800000+350000+117500+186400+830000+5000000+300000</f>
        <v>29583900</v>
      </c>
      <c r="AS15" s="50">
        <f t="shared" si="8"/>
        <v>29649270</v>
      </c>
      <c r="AT15" s="50">
        <v>28100.0</v>
      </c>
      <c r="AU15" s="50">
        <v>42460.0</v>
      </c>
      <c r="AV15" s="50"/>
      <c r="AW15" s="50">
        <f t="shared" si="9"/>
        <v>70560</v>
      </c>
      <c r="AX15" s="50" t="s">
        <v>1130</v>
      </c>
      <c r="AY15" s="50" t="str">
        <f t="shared" si="10"/>
        <v/>
      </c>
      <c r="AZ15" s="13" t="s">
        <v>1126</v>
      </c>
      <c r="BC15" s="22" t="s">
        <v>1151</v>
      </c>
      <c r="BD15" s="52"/>
    </row>
    <row r="16" ht="12.75" customHeight="1">
      <c r="A16" s="13" t="s">
        <v>130</v>
      </c>
      <c r="B16" s="22" t="s">
        <v>131</v>
      </c>
      <c r="C16" s="13" t="s">
        <v>855</v>
      </c>
      <c r="D16" s="13" t="s">
        <v>1152</v>
      </c>
      <c r="E16" s="46">
        <v>1.812E11</v>
      </c>
      <c r="F16" s="46" t="str">
        <f>IF(ISNUMBER(Table1[[#This Row],[2019 Scope 3 ]]),IF(Table1[[#This Row],[Net Earnings/Income (2019)]]-k_cost*Table1[[#This Row],[2019 Total Scope 1, 2 + 3]]&lt;0,"Y","N"),"NA")</f>
        <v>#ERROR!</v>
      </c>
      <c r="G16" s="47" t="str">
        <f>IF(ISNUMBER(Table1[[#This Row],[2019 Scope 3 ]]),IF(k_cost*Table1[[#This Row],[2019 Total Scope 1, 2 + 3]]/Table1[[#This Row],[Size (2019 Revenue)]]&gt;k_rev_max,"Y","N"),"NA")</f>
        <v>#ERROR!</v>
      </c>
      <c r="H16" s="47" t="str">
        <f>IF(OR(Table1[[#This Row],[Net earnings post carbon price @85/t]]="Y",Table1[[#This Row],[Carbon costs in % revenue]] = "Y"),"Y",IF(OR(Table1[[#This Row],[Net earnings post carbon price @85/t]]="NA",Table1[[#This Row],[Carbon costs in % revenue]]="NA"),"NA","N"))</f>
        <v>#ERROR!</v>
      </c>
      <c r="I16" s="46">
        <v>1.39E10</v>
      </c>
      <c r="J16" s="48">
        <v>1983.0</v>
      </c>
      <c r="K16" s="46" t="s">
        <v>1126</v>
      </c>
      <c r="L16" s="13" t="s">
        <v>1126</v>
      </c>
      <c r="M16" s="13" t="s">
        <v>1126</v>
      </c>
      <c r="N16" s="13">
        <v>2035.0</v>
      </c>
      <c r="O16" s="13">
        <v>2020.0</v>
      </c>
      <c r="P16" s="13" t="s">
        <v>1127</v>
      </c>
      <c r="Q16" s="13" t="s">
        <v>1126</v>
      </c>
      <c r="R16" s="13" t="s">
        <v>1127</v>
      </c>
      <c r="S16" s="13" t="s">
        <v>1127</v>
      </c>
      <c r="T16" s="35" t="str">
        <f>IFERROR((Table1[[#This Row],[2019 Total Scope 1, 2 + 3]])/Table1[[#This Row],[2018 Total Scope 1, 2 + Scope 3]]-1,"NA")</f>
        <v>#ERROR!</v>
      </c>
      <c r="V16" s="50">
        <v>990000.0</v>
      </c>
      <c r="W16" s="50">
        <v>5530000.0</v>
      </c>
      <c r="X16" s="50"/>
      <c r="Y16" s="50">
        <f t="shared" si="1"/>
        <v>6520000</v>
      </c>
      <c r="Z16" s="50">
        <v>3890000.0</v>
      </c>
      <c r="AA16" s="50">
        <f t="shared" si="2"/>
        <v>10410000</v>
      </c>
      <c r="AB16" s="50">
        <v>1020000.0</v>
      </c>
      <c r="AC16" s="50">
        <v>6660000.0</v>
      </c>
      <c r="AD16" s="50"/>
      <c r="AE16" s="50">
        <f t="shared" si="3"/>
        <v>7680000</v>
      </c>
      <c r="AF16" s="50">
        <v>4350000.0</v>
      </c>
      <c r="AG16" s="50">
        <f t="shared" si="4"/>
        <v>12030000</v>
      </c>
      <c r="AH16" s="50">
        <v>1070000.0</v>
      </c>
      <c r="AI16" s="50">
        <v>6950000.0</v>
      </c>
      <c r="AJ16" s="50"/>
      <c r="AK16" s="50">
        <f t="shared" si="5"/>
        <v>8020000</v>
      </c>
      <c r="AL16" s="50">
        <v>3620000.0</v>
      </c>
      <c r="AM16" s="50">
        <f t="shared" si="6"/>
        <v>11640000</v>
      </c>
      <c r="AN16" s="50">
        <v>1080000.0</v>
      </c>
      <c r="AO16" s="50">
        <v>7810000.0</v>
      </c>
      <c r="AP16" s="50"/>
      <c r="AQ16" s="50">
        <f t="shared" si="7"/>
        <v>8890000</v>
      </c>
      <c r="AR16" s="50">
        <v>3400000.0</v>
      </c>
      <c r="AS16" s="50">
        <f t="shared" si="8"/>
        <v>12290000</v>
      </c>
      <c r="AT16" s="50">
        <v>1070000.0</v>
      </c>
      <c r="AU16" s="50">
        <v>7690000.0</v>
      </c>
      <c r="AV16" s="50"/>
      <c r="AW16" s="50">
        <f t="shared" si="9"/>
        <v>8760000</v>
      </c>
      <c r="AX16" s="50">
        <v>3030000.0</v>
      </c>
      <c r="AY16" s="50">
        <f t="shared" si="10"/>
        <v>11790000</v>
      </c>
      <c r="AZ16" s="13" t="s">
        <v>1127</v>
      </c>
      <c r="BA16" s="51" t="s">
        <v>1153</v>
      </c>
      <c r="BC16" s="57" t="s">
        <v>1154</v>
      </c>
      <c r="BD16" s="52"/>
    </row>
    <row r="17" ht="12.75" customHeight="1">
      <c r="A17" s="13" t="s">
        <v>136</v>
      </c>
      <c r="B17" s="22" t="s">
        <v>136</v>
      </c>
      <c r="C17" s="13" t="s">
        <v>850</v>
      </c>
      <c r="D17" s="22" t="s">
        <v>868</v>
      </c>
      <c r="E17" s="46">
        <v>9.124E10</v>
      </c>
      <c r="F17" s="46" t="str">
        <f>IF(ISNUMBER(Table1[[#This Row],[2019 Scope 3 ]]),IF(Table1[[#This Row],[Net Earnings/Income (2019)]]-k_cost*Table1[[#This Row],[2019 Total Scope 1, 2 + 3]]&lt;0,"Y","N"),"NA")</f>
        <v>#ERROR!</v>
      </c>
      <c r="G17" s="47" t="str">
        <f>IF(ISNUMBER(Table1[[#This Row],[2019 Scope 3 ]]),IF(k_cost*Table1[[#This Row],[2019 Total Scope 1, 2 + 3]]/Table1[[#This Row],[Size (2019 Revenue)]]&gt;k_rev_max,"Y","N"),"NA")</f>
        <v>#ERROR!</v>
      </c>
      <c r="H17" s="47" t="str">
        <f>IF(OR(Table1[[#This Row],[Net earnings post carbon price @85/t]]="Y",Table1[[#This Row],[Carbon costs in % revenue]] = "Y"),"Y",IF(OR(Table1[[#This Row],[Net earnings post carbon price @85/t]]="NA",Table1[[#This Row],[Carbon costs in % revenue]]="NA"),"NA","N"))</f>
        <v>#ERROR!</v>
      </c>
      <c r="I17" s="46">
        <v>2.5998E10</v>
      </c>
      <c r="J17" s="48">
        <v>1998.0</v>
      </c>
      <c r="K17" s="46" t="s">
        <v>1126</v>
      </c>
      <c r="L17" s="13" t="s">
        <v>1126</v>
      </c>
      <c r="M17" s="13" t="s">
        <v>1127</v>
      </c>
      <c r="N17" s="13">
        <v>2020.0</v>
      </c>
      <c r="O17" s="13">
        <v>2016.0</v>
      </c>
      <c r="Q17" s="13" t="s">
        <v>1126</v>
      </c>
      <c r="R17" s="58" t="s">
        <v>1126</v>
      </c>
      <c r="S17" s="13">
        <v>2020.0</v>
      </c>
      <c r="T17" s="35" t="str">
        <f>IFERROR((Table1[[#This Row],[2019 Total Scope 1, 2 + 3]])/Table1[[#This Row],[2018 Total Scope 1, 2 + Scope 3]]-1,"NA")</f>
        <v>#ERROR!</v>
      </c>
      <c r="V17" s="50">
        <v>62639.0</v>
      </c>
      <c r="W17" s="50">
        <v>17523.0</v>
      </c>
      <c r="X17" s="50"/>
      <c r="Y17" s="50">
        <f t="shared" si="1"/>
        <v>80162</v>
      </c>
      <c r="Z17" s="50">
        <f>2329208+251336+161151+140215+22386+162457+378088+1400000+4000+19000</f>
        <v>4867841</v>
      </c>
      <c r="AA17" s="50">
        <f t="shared" si="2"/>
        <v>4948003</v>
      </c>
      <c r="AB17" s="50">
        <v>85145.0</v>
      </c>
      <c r="AC17" s="50">
        <v>108614.0</v>
      </c>
      <c r="AD17" s="50"/>
      <c r="AE17" s="50">
        <f t="shared" si="3"/>
        <v>193759</v>
      </c>
      <c r="AF17" s="50">
        <v>4819113.0</v>
      </c>
      <c r="AG17" s="50">
        <f t="shared" si="4"/>
        <v>5012872</v>
      </c>
      <c r="AH17" s="50">
        <v>82298.0</v>
      </c>
      <c r="AI17" s="50">
        <v>173512.0</v>
      </c>
      <c r="AJ17" s="50"/>
      <c r="AK17" s="50">
        <f t="shared" si="5"/>
        <v>255810</v>
      </c>
      <c r="AL17" s="50"/>
      <c r="AM17" s="50">
        <f t="shared" si="6"/>
        <v>255810</v>
      </c>
      <c r="AN17" s="50">
        <v>83473.0</v>
      </c>
      <c r="AO17" s="50">
        <v>369084.0</v>
      </c>
      <c r="AP17" s="50"/>
      <c r="AQ17" s="50">
        <f t="shared" si="7"/>
        <v>452557</v>
      </c>
      <c r="AR17" s="50">
        <f>1944781+312588+208087+15968+10761+154531+373481+1500000+5000+18000</f>
        <v>4543197</v>
      </c>
      <c r="AS17" s="50">
        <f t="shared" si="8"/>
        <v>4995754</v>
      </c>
      <c r="AT17" s="50">
        <v>98911.0</v>
      </c>
      <c r="AU17" s="50">
        <v>1036822.0</v>
      </c>
      <c r="AV17" s="50"/>
      <c r="AW17" s="50">
        <f t="shared" si="9"/>
        <v>1135733</v>
      </c>
      <c r="AX17" s="50">
        <f>1674213+85933+215561+14818+16525+184613+388595+900000+9000+24000</f>
        <v>3513258</v>
      </c>
      <c r="AY17" s="50">
        <f t="shared" si="10"/>
        <v>4648991</v>
      </c>
      <c r="AZ17" s="13" t="s">
        <v>1127</v>
      </c>
      <c r="BA17" s="57" t="s">
        <v>1155</v>
      </c>
      <c r="BB17" s="57" t="s">
        <v>1156</v>
      </c>
      <c r="BC17" s="57" t="s">
        <v>1157</v>
      </c>
      <c r="BD17" s="52" t="s">
        <v>1158</v>
      </c>
    </row>
    <row r="18" ht="12.75" customHeight="1">
      <c r="A18" s="22" t="s">
        <v>141</v>
      </c>
      <c r="B18" s="22" t="s">
        <v>142</v>
      </c>
      <c r="C18" s="22" t="s">
        <v>850</v>
      </c>
      <c r="D18" s="22" t="s">
        <v>853</v>
      </c>
      <c r="E18" s="46">
        <v>2.54616E11</v>
      </c>
      <c r="F18" s="46" t="str">
        <f>IF(ISNUMBER(Table1[[#This Row],[2019 Scope 3 ]]),IF(Table1[[#This Row],[Net Earnings/Income (2019)]]-k_cost*Table1[[#This Row],[2019 Total Scope 1, 2 + 3]]&lt;0,"Y","N"),"NA")</f>
        <v>#ERROR!</v>
      </c>
      <c r="G18" s="47" t="str">
        <f>IF(ISNUMBER(Table1[[#This Row],[2019 Scope 3 ]]),IF(k_cost*Table1[[#This Row],[2019 Total Scope 1, 2 + 3]]/Table1[[#This Row],[Size (2019 Revenue)]]&gt;k_rev_max,"Y","N"),"NA")</f>
        <v>#ERROR!</v>
      </c>
      <c r="H18" s="47" t="str">
        <f>IF(OR(Table1[[#This Row],[Net earnings post carbon price @85/t]]="Y",Table1[[#This Row],[Carbon costs in % revenue]] = "Y"),"Y",IF(OR(Table1[[#This Row],[Net earnings post carbon price @85/t]]="NA",Table1[[#This Row],[Carbon costs in % revenue]]="NA"),"NA","N"))</f>
        <v>#ERROR!</v>
      </c>
      <c r="I18" s="46">
        <v>8.1417E10</v>
      </c>
      <c r="J18" s="48">
        <v>1839.0</v>
      </c>
      <c r="K18" s="46" t="s">
        <v>1126</v>
      </c>
      <c r="L18" s="13" t="s">
        <v>1127</v>
      </c>
      <c r="M18" s="13" t="s">
        <v>1127</v>
      </c>
      <c r="P18" s="13" t="s">
        <v>1127</v>
      </c>
      <c r="Q18" s="13" t="s">
        <v>1127</v>
      </c>
      <c r="R18" s="13" t="s">
        <v>1127</v>
      </c>
      <c r="S18" s="13" t="s">
        <v>1127</v>
      </c>
      <c r="T18" s="35" t="str">
        <f>IFERROR((Table1[[#This Row],[2019 Total Scope 1, 2 + 3]])/Table1[[#This Row],[2018 Total Scope 1, 2 + Scope 3]]-1,"NA")</f>
        <v>#ERROR!</v>
      </c>
      <c r="V18" s="50" t="s">
        <v>1130</v>
      </c>
      <c r="W18" s="50" t="s">
        <v>1130</v>
      </c>
      <c r="X18" s="50"/>
      <c r="Y18" s="50" t="str">
        <f t="shared" si="1"/>
        <v/>
      </c>
      <c r="Z18" s="50" t="s">
        <v>1130</v>
      </c>
      <c r="AA18" s="50" t="str">
        <f t="shared" si="2"/>
        <v/>
      </c>
      <c r="AB18" s="50" t="s">
        <v>1130</v>
      </c>
      <c r="AC18" s="50" t="s">
        <v>1130</v>
      </c>
      <c r="AD18" s="50"/>
      <c r="AE18" s="50" t="str">
        <f t="shared" si="3"/>
        <v/>
      </c>
      <c r="AF18" s="50" t="s">
        <v>1130</v>
      </c>
      <c r="AG18" s="50" t="str">
        <f t="shared" si="4"/>
        <v/>
      </c>
      <c r="AH18" s="50" t="s">
        <v>1130</v>
      </c>
      <c r="AI18" s="50" t="s">
        <v>1130</v>
      </c>
      <c r="AJ18" s="50"/>
      <c r="AK18" s="50" t="str">
        <f t="shared" si="5"/>
        <v/>
      </c>
      <c r="AL18" s="50" t="s">
        <v>1130</v>
      </c>
      <c r="AM18" s="50" t="str">
        <f t="shared" si="6"/>
        <v/>
      </c>
      <c r="AN18" s="50" t="s">
        <v>1130</v>
      </c>
      <c r="AO18" s="50" t="s">
        <v>1130</v>
      </c>
      <c r="AP18" s="50"/>
      <c r="AQ18" s="50" t="str">
        <f t="shared" si="7"/>
        <v/>
      </c>
      <c r="AR18" s="50" t="s">
        <v>1130</v>
      </c>
      <c r="AS18" s="50" t="str">
        <f t="shared" si="8"/>
        <v/>
      </c>
      <c r="AT18" s="50" t="s">
        <v>1130</v>
      </c>
      <c r="AU18" s="50" t="s">
        <v>1130</v>
      </c>
      <c r="AV18" s="50"/>
      <c r="AW18" s="50" t="str">
        <f t="shared" si="9"/>
        <v/>
      </c>
      <c r="AX18" s="50" t="s">
        <v>1130</v>
      </c>
      <c r="AY18" s="50" t="str">
        <f t="shared" si="10"/>
        <v/>
      </c>
      <c r="AZ18" s="13" t="s">
        <v>1127</v>
      </c>
      <c r="BD18" s="52"/>
    </row>
    <row r="19" ht="12.75" customHeight="1">
      <c r="A19" s="22" t="s">
        <v>144</v>
      </c>
      <c r="B19" s="22" t="s">
        <v>145</v>
      </c>
      <c r="C19" s="22" t="s">
        <v>829</v>
      </c>
      <c r="D19" s="13" t="s">
        <v>1132</v>
      </c>
      <c r="E19" s="46">
        <v>1.35E10</v>
      </c>
      <c r="F19" s="46" t="str">
        <f>IF(ISNUMBER(Table1[[#This Row],[2019 Scope 3 ]]),IF(Table1[[#This Row],[Net Earnings/Income (2019)]]-k_cost*Table1[[#This Row],[2019 Total Scope 1, 2 + 3]]&lt;0,"Y","N"),"NA")</f>
        <v>#ERROR!</v>
      </c>
      <c r="G19" s="47" t="str">
        <f>IF(ISNUMBER(Table1[[#This Row],[2019 Scope 3 ]]),IF(k_cost*Table1[[#This Row],[2019 Total Scope 1, 2 + 3]]/Table1[[#This Row],[Size (2019 Revenue)]]&gt;k_rev_max,"Y","N"),"NA")</f>
        <v>#ERROR!</v>
      </c>
      <c r="H19" s="47" t="str">
        <f>IF(OR(Table1[[#This Row],[Net earnings post carbon price @85/t]]="Y",Table1[[#This Row],[Carbon costs in % revenue]] = "Y"),"Y",IF(OR(Table1[[#This Row],[Net earnings post carbon price @85/t]]="NA",Table1[[#This Row],[Carbon costs in % revenue]]="NA"),"NA","N"))</f>
        <v>#ERROR!</v>
      </c>
      <c r="I19" s="46">
        <v>4.4E9</v>
      </c>
      <c r="J19" s="48">
        <v>1978.0</v>
      </c>
      <c r="K19" s="46" t="s">
        <v>1126</v>
      </c>
      <c r="L19" s="13" t="s">
        <v>1126</v>
      </c>
      <c r="M19" s="13" t="s">
        <v>1126</v>
      </c>
      <c r="N19" s="13">
        <v>2015.0</v>
      </c>
      <c r="O19" s="13">
        <v>2015.0</v>
      </c>
      <c r="P19" s="13" t="s">
        <v>1127</v>
      </c>
      <c r="Q19" s="13" t="s">
        <v>1126</v>
      </c>
      <c r="R19" s="13" t="s">
        <v>1126</v>
      </c>
      <c r="S19" s="13">
        <v>2014.0</v>
      </c>
      <c r="T19" s="35" t="str">
        <f>IFERROR((Table1[[#This Row],[2019 Total Scope 1, 2 + 3]])/Table1[[#This Row],[2018 Total Scope 1, 2 + Scope 3]]-1,"NA")</f>
        <v>#ERROR!</v>
      </c>
      <c r="V19" s="50">
        <v>67031.0</v>
      </c>
      <c r="W19" s="50">
        <v>106.0</v>
      </c>
      <c r="X19" s="50"/>
      <c r="Y19" s="50">
        <f t="shared" si="1"/>
        <v>67137</v>
      </c>
      <c r="Z19" s="50">
        <f>334954+32759+10515+645+24083+9516+12065</f>
        <v>424537</v>
      </c>
      <c r="AA19" s="50">
        <f t="shared" si="2"/>
        <v>491674</v>
      </c>
      <c r="AB19" s="50">
        <v>68448.0</v>
      </c>
      <c r="AC19" s="50">
        <v>40172.0</v>
      </c>
      <c r="AD19" s="50">
        <v>76642.0</v>
      </c>
      <c r="AE19" s="50">
        <f t="shared" si="3"/>
        <v>31978</v>
      </c>
      <c r="AF19" s="50">
        <v>436265.0</v>
      </c>
      <c r="AG19" s="50">
        <f t="shared" si="4"/>
        <v>468243</v>
      </c>
      <c r="AH19" s="50">
        <v>61616.0</v>
      </c>
      <c r="AI19" s="50">
        <v>42408.0</v>
      </c>
      <c r="AJ19" s="50">
        <v>69783.0</v>
      </c>
      <c r="AK19" s="50">
        <f t="shared" si="5"/>
        <v>34241</v>
      </c>
      <c r="AL19" s="50">
        <v>436265.0</v>
      </c>
      <c r="AM19" s="50">
        <f t="shared" si="6"/>
        <v>470506</v>
      </c>
      <c r="AN19" s="50">
        <v>61970.0</v>
      </c>
      <c r="AO19" s="50">
        <v>45899.0</v>
      </c>
      <c r="AP19" s="50">
        <v>316917.0</v>
      </c>
      <c r="AQ19" s="50">
        <f t="shared" si="7"/>
        <v>-209048</v>
      </c>
      <c r="AR19" s="50">
        <v>254791.0</v>
      </c>
      <c r="AS19" s="50">
        <f t="shared" si="8"/>
        <v>45743</v>
      </c>
      <c r="AT19" s="50">
        <v>60179.0</v>
      </c>
      <c r="AU19" s="50">
        <v>38173.0</v>
      </c>
      <c r="AV19" s="50">
        <v>322563.0</v>
      </c>
      <c r="AW19" s="50">
        <f t="shared" si="9"/>
        <v>-224211</v>
      </c>
      <c r="AX19" s="50">
        <v>262358.0</v>
      </c>
      <c r="AY19" s="50">
        <f t="shared" si="10"/>
        <v>38147</v>
      </c>
      <c r="AZ19" s="13" t="s">
        <v>1127</v>
      </c>
      <c r="BD19" s="52"/>
    </row>
    <row r="20" ht="12.75" customHeight="1">
      <c r="A20" s="22" t="s">
        <v>150</v>
      </c>
      <c r="B20" s="22" t="s">
        <v>151</v>
      </c>
      <c r="C20" s="22" t="s">
        <v>850</v>
      </c>
      <c r="D20" s="22" t="s">
        <v>1159</v>
      </c>
      <c r="E20" s="46">
        <v>1.4539E10</v>
      </c>
      <c r="F20" s="46" t="str">
        <f>IF(ISNUMBER(Table1[[#This Row],[2019 Scope 3 ]]),IF(Table1[[#This Row],[Net Earnings/Income (2019)]]-k_cost*Table1[[#This Row],[2019 Total Scope 1, 2 + 3]]&lt;0,"Y","N"),"NA")</f>
        <v>#ERROR!</v>
      </c>
      <c r="G20" s="47" t="str">
        <f>IF(ISNUMBER(Table1[[#This Row],[2019 Scope 3 ]]),IF(k_cost*Table1[[#This Row],[2019 Total Scope 1, 2 + 3]]/Table1[[#This Row],[Size (2019 Revenue)]]&gt;k_rev_max,"Y","N"),"NA")</f>
        <v>#ERROR!</v>
      </c>
      <c r="H20" s="47" t="str">
        <f>IF(OR(Table1[[#This Row],[Net earnings post carbon price @85/t]]="Y",Table1[[#This Row],[Carbon costs in % revenue]] = "Y"),"Y",IF(OR(Table1[[#This Row],[Net earnings post carbon price @85/t]]="NA",Table1[[#This Row],[Carbon costs in % revenue]]="NA"),"NA","N"))</f>
        <v>#ERROR!</v>
      </c>
      <c r="I20" s="46">
        <v>4.484E9</v>
      </c>
      <c r="J20" s="48">
        <v>1988.0</v>
      </c>
      <c r="K20" s="46" t="s">
        <v>1126</v>
      </c>
      <c r="L20" s="13" t="s">
        <v>1127</v>
      </c>
      <c r="M20" s="13" t="s">
        <v>1127</v>
      </c>
      <c r="R20" s="13" t="s">
        <v>1126</v>
      </c>
      <c r="S20" s="13">
        <v>2020.0</v>
      </c>
      <c r="T20" s="35" t="str">
        <f>IFERROR((Table1[[#This Row],[2019 Total Scope 1, 2 + 3]])/Table1[[#This Row],[2018 Total Scope 1, 2 + Scope 3]]-1,"NA")</f>
        <v>#ERROR!</v>
      </c>
      <c r="V20" s="50">
        <v>5589.0</v>
      </c>
      <c r="W20" s="50">
        <v>0.0</v>
      </c>
      <c r="X20" s="50"/>
      <c r="Y20" s="50">
        <f t="shared" si="1"/>
        <v>5589</v>
      </c>
      <c r="Z20" s="50">
        <f>351950+15521+7865+2462+1162+39116+1161+777</f>
        <v>420014</v>
      </c>
      <c r="AA20" s="50">
        <f t="shared" si="2"/>
        <v>425603</v>
      </c>
      <c r="AB20" s="50">
        <v>4807.0</v>
      </c>
      <c r="AC20" s="50">
        <v>22043.0</v>
      </c>
      <c r="AD20" s="50">
        <v>0.0</v>
      </c>
      <c r="AE20" s="50">
        <f t="shared" si="3"/>
        <v>26850</v>
      </c>
      <c r="AF20" s="50">
        <f>2.9*15349</f>
        <v>44512.1</v>
      </c>
      <c r="AG20" s="50">
        <f t="shared" si="4"/>
        <v>71362.1</v>
      </c>
      <c r="AH20" s="50">
        <v>5016.0</v>
      </c>
      <c r="AI20" s="50">
        <v>22135.0</v>
      </c>
      <c r="AJ20" s="50">
        <v>0.0</v>
      </c>
      <c r="AK20" s="50">
        <f t="shared" si="5"/>
        <v>27151</v>
      </c>
      <c r="AL20" s="50">
        <f>2.8*13816</f>
        <v>38684.8</v>
      </c>
      <c r="AM20" s="50">
        <f t="shared" si="6"/>
        <v>65835.8</v>
      </c>
      <c r="AN20" s="50">
        <v>4281.0</v>
      </c>
      <c r="AO20" s="50">
        <v>26086.0</v>
      </c>
      <c r="AP20" s="50">
        <v>0.0</v>
      </c>
      <c r="AQ20" s="50">
        <f t="shared" si="7"/>
        <v>30367</v>
      </c>
      <c r="AR20" s="50">
        <f>3*13337</f>
        <v>40011</v>
      </c>
      <c r="AS20" s="50">
        <f t="shared" si="8"/>
        <v>70378</v>
      </c>
      <c r="AT20" s="50">
        <v>4846.0</v>
      </c>
      <c r="AU20" s="50">
        <v>28700.0</v>
      </c>
      <c r="AV20" s="50"/>
      <c r="AW20" s="50">
        <f t="shared" si="9"/>
        <v>33546</v>
      </c>
      <c r="AX20" s="50">
        <f>3.1*12994</f>
        <v>40281.4</v>
      </c>
      <c r="AY20" s="50">
        <f t="shared" si="10"/>
        <v>73827.4</v>
      </c>
      <c r="AZ20" s="13" t="s">
        <v>1127</v>
      </c>
      <c r="BB20" s="13" t="s">
        <v>1160</v>
      </c>
      <c r="BD20" s="52"/>
    </row>
    <row r="21" ht="12.75" customHeight="1">
      <c r="A21" s="22" t="s">
        <v>156</v>
      </c>
      <c r="B21" s="22" t="s">
        <v>156</v>
      </c>
      <c r="C21" s="22" t="s">
        <v>822</v>
      </c>
      <c r="D21" s="13" t="s">
        <v>1161</v>
      </c>
      <c r="E21" s="46">
        <v>7.6559E10</v>
      </c>
      <c r="F21" s="46" t="str">
        <f>IF(ISNUMBER(Table1[[#This Row],[2019 Scope 3 ]]),IF(Table1[[#This Row],[Net Earnings/Income (2019)]]-k_cost*Table1[[#This Row],[2019 Total Scope 1, 2 + 3]]&lt;0,"Y","N"),"NA")</f>
        <v>#ERROR!</v>
      </c>
      <c r="G21" s="47" t="str">
        <f>IF(ISNUMBER(Table1[[#This Row],[2019 Scope 3 ]]),IF(k_cost*Table1[[#This Row],[2019 Total Scope 1, 2 + 3]]/Table1[[#This Row],[Size (2019 Revenue)]]&gt;k_rev_max,"Y","N"),"NA")</f>
        <v>#ERROR!</v>
      </c>
      <c r="H21" s="47" t="str">
        <f>IF(OR(Table1[[#This Row],[Net earnings post carbon price @85/t]]="Y",Table1[[#This Row],[Carbon costs in % revenue]] = "Y"),"Y",IF(OR(Table1[[#This Row],[Net earnings post carbon price @85/t]]="NA",Table1[[#This Row],[Carbon costs in % revenue]]="NA"),"NA","N"))</f>
        <v>#ERROR!</v>
      </c>
      <c r="I21" s="53">
        <v>-6.36E8</v>
      </c>
      <c r="J21" s="48">
        <v>1962.0</v>
      </c>
      <c r="K21" s="46" t="s">
        <v>1126</v>
      </c>
      <c r="L21" s="13" t="s">
        <v>1127</v>
      </c>
      <c r="M21" s="13" t="s">
        <v>1127</v>
      </c>
      <c r="P21" s="14">
        <v>0.5</v>
      </c>
      <c r="Q21" s="13" t="s">
        <v>1126</v>
      </c>
      <c r="R21" s="13" t="s">
        <v>1127</v>
      </c>
      <c r="S21" s="13" t="s">
        <v>1127</v>
      </c>
      <c r="T21" s="35" t="str">
        <f>IFERROR((Table1[[#This Row],[2019 Total Scope 1, 2 + 3]])/Table1[[#This Row],[2018 Total Scope 1, 2 + Scope 3]]-1,"NA")</f>
        <v>#ERROR!</v>
      </c>
      <c r="V21" s="50">
        <v>613000.0</v>
      </c>
      <c r="W21" s="50">
        <v>733000.0</v>
      </c>
      <c r="X21" s="50"/>
      <c r="Y21" s="50">
        <f t="shared" si="1"/>
        <v>1346000</v>
      </c>
      <c r="Z21" s="50">
        <v>290000.0</v>
      </c>
      <c r="AA21" s="50">
        <f t="shared" si="2"/>
        <v>1636000</v>
      </c>
      <c r="AB21" s="50">
        <v>646000.0</v>
      </c>
      <c r="AC21" s="50">
        <v>892000.0</v>
      </c>
      <c r="AD21" s="50">
        <v>0.0</v>
      </c>
      <c r="AE21" s="50">
        <f t="shared" si="3"/>
        <v>1538000</v>
      </c>
      <c r="AF21" s="50">
        <v>320000.0</v>
      </c>
      <c r="AG21" s="50">
        <f t="shared" si="4"/>
        <v>1858000</v>
      </c>
      <c r="AH21" s="50">
        <v>626000.0</v>
      </c>
      <c r="AI21" s="50">
        <v>896000.0</v>
      </c>
      <c r="AJ21" s="50"/>
      <c r="AK21" s="50">
        <f t="shared" si="5"/>
        <v>1522000</v>
      </c>
      <c r="AL21" s="50">
        <v>285000.0</v>
      </c>
      <c r="AM21" s="50">
        <f t="shared" si="6"/>
        <v>1807000</v>
      </c>
      <c r="AN21" s="50">
        <v>593000.0</v>
      </c>
      <c r="AO21" s="50">
        <v>937000.0</v>
      </c>
      <c r="AP21" s="50"/>
      <c r="AQ21" s="50">
        <f t="shared" si="7"/>
        <v>1530000</v>
      </c>
      <c r="AR21" s="50">
        <v>244000.0</v>
      </c>
      <c r="AS21" s="50">
        <f t="shared" si="8"/>
        <v>1774000</v>
      </c>
      <c r="AT21" s="50">
        <v>601000.0</v>
      </c>
      <c r="AU21" s="50">
        <v>902000.0</v>
      </c>
      <c r="AV21" s="50"/>
      <c r="AW21" s="50">
        <f t="shared" si="9"/>
        <v>1503000</v>
      </c>
      <c r="AX21" s="50">
        <v>297000.0</v>
      </c>
      <c r="AY21" s="50">
        <f t="shared" si="10"/>
        <v>1800000</v>
      </c>
      <c r="AZ21" s="13" t="s">
        <v>1126</v>
      </c>
      <c r="BA21" s="51" t="s">
        <v>1162</v>
      </c>
      <c r="BB21" s="57" t="s">
        <v>1163</v>
      </c>
      <c r="BD21" s="52"/>
    </row>
    <row r="22" ht="12.75" customHeight="1">
      <c r="A22" s="22" t="s">
        <v>161</v>
      </c>
      <c r="B22" s="22" t="s">
        <v>162</v>
      </c>
      <c r="C22" s="22" t="s">
        <v>950</v>
      </c>
      <c r="D22" s="22" t="s">
        <v>985</v>
      </c>
      <c r="E22" s="46">
        <v>1.5066E10</v>
      </c>
      <c r="F22" s="46" t="str">
        <f>IF(ISNUMBER(Table1[[#This Row],[2019 Scope 3 ]]),IF(Table1[[#This Row],[Net Earnings/Income (2019)]]-k_cost*Table1[[#This Row],[2019 Total Scope 1, 2 + 3]]&lt;0,"Y","N"),"NA")</f>
        <v>#ERROR!</v>
      </c>
      <c r="G22" s="47" t="str">
        <f>IF(ISNUMBER(Table1[[#This Row],[2019 Scope 3 ]]),IF(k_cost*Table1[[#This Row],[2019 Total Scope 1, 2 + 3]]/Table1[[#This Row],[Size (2019 Revenue)]]&gt;k_rev_max,"Y","N"),"NA")</f>
        <v>#ERROR!</v>
      </c>
      <c r="H22" s="47" t="str">
        <f>IF(OR(Table1[[#This Row],[Net earnings post carbon price @85/t]]="Y",Table1[[#This Row],[Carbon costs in % revenue]] = "Y"),"Y",IF(OR(Table1[[#This Row],[Net earnings post carbon price @85/t]]="NA",Table1[[#This Row],[Carbon costs in % revenue]]="NA"),"NA","N"))</f>
        <v>#ERROR!</v>
      </c>
      <c r="I22" s="46">
        <v>4.865E9</v>
      </c>
      <c r="J22" s="48">
        <v>1999.0</v>
      </c>
      <c r="K22" s="46" t="s">
        <v>1126</v>
      </c>
      <c r="L22" s="13" t="s">
        <v>1127</v>
      </c>
      <c r="M22" s="13" t="s">
        <v>1127</v>
      </c>
      <c r="P22" s="13" t="s">
        <v>1127</v>
      </c>
      <c r="Q22" s="13" t="s">
        <v>1127</v>
      </c>
      <c r="R22" s="13" t="s">
        <v>1127</v>
      </c>
      <c r="S22" s="13" t="s">
        <v>1127</v>
      </c>
      <c r="T22" s="35" t="str">
        <f>IFERROR((Table1[[#This Row],[2019 Total Scope 1, 2 + 3]])/Table1[[#This Row],[2018 Total Scope 1, 2 + Scope 3]]-1,"NA")</f>
        <v>#ERROR!</v>
      </c>
      <c r="V22" s="50" t="s">
        <v>1130</v>
      </c>
      <c r="W22" s="50" t="s">
        <v>1130</v>
      </c>
      <c r="X22" s="50"/>
      <c r="Y22" s="50" t="str">
        <f t="shared" si="1"/>
        <v/>
      </c>
      <c r="Z22" s="50" t="s">
        <v>1130</v>
      </c>
      <c r="AA22" s="50" t="str">
        <f t="shared" si="2"/>
        <v/>
      </c>
      <c r="AB22" s="50">
        <v>4811.67</v>
      </c>
      <c r="AC22" s="50">
        <v>57517.74</v>
      </c>
      <c r="AD22" s="50">
        <v>0.0</v>
      </c>
      <c r="AE22" s="50">
        <f t="shared" si="3"/>
        <v>62329.41</v>
      </c>
      <c r="AF22" s="50" t="s">
        <v>1130</v>
      </c>
      <c r="AG22" s="50" t="str">
        <f t="shared" si="4"/>
        <v/>
      </c>
      <c r="AH22" s="50">
        <v>3372.0</v>
      </c>
      <c r="AI22" s="50">
        <v>47963.0</v>
      </c>
      <c r="AJ22" s="50">
        <v>0.0</v>
      </c>
      <c r="AK22" s="50">
        <f t="shared" si="5"/>
        <v>51335</v>
      </c>
      <c r="AL22" s="50" t="s">
        <v>1130</v>
      </c>
      <c r="AM22" s="50" t="str">
        <f t="shared" si="6"/>
        <v/>
      </c>
      <c r="AN22" s="50" t="s">
        <v>1130</v>
      </c>
      <c r="AO22" s="50" t="s">
        <v>1130</v>
      </c>
      <c r="AP22" s="50"/>
      <c r="AQ22" s="50" t="str">
        <f t="shared" si="7"/>
        <v/>
      </c>
      <c r="AR22" s="50" t="s">
        <v>1130</v>
      </c>
      <c r="AS22" s="50" t="str">
        <f t="shared" si="8"/>
        <v/>
      </c>
      <c r="AT22" s="50" t="s">
        <v>1130</v>
      </c>
      <c r="AU22" s="50" t="s">
        <v>1130</v>
      </c>
      <c r="AV22" s="50"/>
      <c r="AW22" s="50" t="str">
        <f t="shared" si="9"/>
        <v/>
      </c>
      <c r="AX22" s="50" t="s">
        <v>1130</v>
      </c>
      <c r="AY22" s="50" t="str">
        <f t="shared" si="10"/>
        <v/>
      </c>
      <c r="AZ22" s="13" t="s">
        <v>1127</v>
      </c>
      <c r="BD22" s="52"/>
    </row>
    <row r="23" ht="12.75" customHeight="1">
      <c r="A23" s="22" t="s">
        <v>164</v>
      </c>
      <c r="B23" s="22" t="s">
        <v>164</v>
      </c>
      <c r="C23" s="22" t="s">
        <v>829</v>
      </c>
      <c r="D23" s="13" t="s">
        <v>1132</v>
      </c>
      <c r="E23" s="46">
        <v>2.6145E10</v>
      </c>
      <c r="F23" s="46" t="str">
        <f>IF(ISNUMBER(Table1[[#This Row],[2019 Scope 3 ]]),IF(Table1[[#This Row],[Net Earnings/Income (2019)]]-k_cost*Table1[[#This Row],[2019 Total Scope 1, 2 + 3]]&lt;0,"Y","N"),"NA")</f>
        <v>#ERROR!</v>
      </c>
      <c r="G23" s="47" t="str">
        <f>IF(ISNUMBER(Table1[[#This Row],[2019 Scope 3 ]]),IF(k_cost*Table1[[#This Row],[2019 Total Scope 1, 2 + 3]]/Table1[[#This Row],[Size (2019 Revenue)]]&gt;k_rev_max,"Y","N"),"NA")</f>
        <v>#ERROR!</v>
      </c>
      <c r="H23" s="47" t="str">
        <f>IF(OR(Table1[[#This Row],[Net earnings post carbon price @85/t]]="Y",Table1[[#This Row],[Carbon costs in % revenue]] = "Y"),"Y",IF(OR(Table1[[#This Row],[Net earnings post carbon price @85/t]]="NA",Table1[[#This Row],[Carbon costs in % revenue]]="NA"),"NA","N"))</f>
        <v>#ERROR!</v>
      </c>
      <c r="I23" s="46">
        <v>3.439E9</v>
      </c>
      <c r="J23" s="48">
        <v>1887.0</v>
      </c>
      <c r="K23" s="46" t="s">
        <v>1126</v>
      </c>
      <c r="L23" s="13" t="s">
        <v>1127</v>
      </c>
      <c r="M23" s="13" t="s">
        <v>1127</v>
      </c>
      <c r="P23" s="49">
        <v>400000.0</v>
      </c>
      <c r="Q23" s="13" t="s">
        <v>1127</v>
      </c>
      <c r="R23" s="13" t="s">
        <v>1127</v>
      </c>
      <c r="S23" s="13" t="s">
        <v>1127</v>
      </c>
      <c r="T23" s="35" t="str">
        <f>IFERROR((Table1[[#This Row],[2019 Total Scope 1, 2 + 3]])/Table1[[#This Row],[2018 Total Scope 1, 2 + Scope 3]]-1,"NA")</f>
        <v>#ERROR!</v>
      </c>
      <c r="V23" s="50" t="s">
        <v>1130</v>
      </c>
      <c r="W23" s="50" t="s">
        <v>1130</v>
      </c>
      <c r="X23" s="50"/>
      <c r="Y23" s="50" t="str">
        <f t="shared" si="1"/>
        <v/>
      </c>
      <c r="Z23" s="50" t="s">
        <v>1130</v>
      </c>
      <c r="AA23" s="50" t="str">
        <f t="shared" si="2"/>
        <v/>
      </c>
      <c r="AB23" s="50">
        <v>130000.0</v>
      </c>
      <c r="AC23" s="50">
        <v>230000.0</v>
      </c>
      <c r="AD23" s="50"/>
      <c r="AE23" s="50">
        <f t="shared" si="3"/>
        <v>360000</v>
      </c>
      <c r="AF23" s="50" t="s">
        <v>1130</v>
      </c>
      <c r="AG23" s="50" t="str">
        <f t="shared" si="4"/>
        <v/>
      </c>
      <c r="AH23" s="50">
        <v>125000.0</v>
      </c>
      <c r="AI23" s="50">
        <v>250000.0</v>
      </c>
      <c r="AJ23" s="50"/>
      <c r="AK23" s="50">
        <f t="shared" si="5"/>
        <v>375000</v>
      </c>
      <c r="AL23" s="50"/>
      <c r="AM23" s="50">
        <f t="shared" si="6"/>
        <v>375000</v>
      </c>
      <c r="AN23" s="50">
        <v>130000.0</v>
      </c>
      <c r="AO23" s="50">
        <v>250000.0</v>
      </c>
      <c r="AP23" s="50"/>
      <c r="AQ23" s="50">
        <f t="shared" si="7"/>
        <v>380000</v>
      </c>
      <c r="AR23" s="50"/>
      <c r="AS23" s="50">
        <f t="shared" si="8"/>
        <v>380000</v>
      </c>
      <c r="AT23" s="50" t="s">
        <v>1130</v>
      </c>
      <c r="AU23" s="50" t="s">
        <v>1130</v>
      </c>
      <c r="AV23" s="50"/>
      <c r="AW23" s="50" t="str">
        <f t="shared" si="9"/>
        <v/>
      </c>
      <c r="AX23" s="50" t="s">
        <v>1130</v>
      </c>
      <c r="AY23" s="50" t="str">
        <f t="shared" si="10"/>
        <v/>
      </c>
      <c r="AZ23" s="13" t="s">
        <v>1127</v>
      </c>
      <c r="BA23" s="51" t="s">
        <v>1164</v>
      </c>
      <c r="BD23" s="52"/>
    </row>
    <row r="24" ht="12.75" customHeight="1">
      <c r="A24" s="22" t="s">
        <v>169</v>
      </c>
      <c r="B24" s="22" t="s">
        <v>170</v>
      </c>
      <c r="C24" s="22" t="s">
        <v>850</v>
      </c>
      <c r="D24" s="22" t="s">
        <v>1144</v>
      </c>
      <c r="E24" s="46">
        <v>2.86E10</v>
      </c>
      <c r="F24" s="46" t="str">
        <f>IF(ISNUMBER(Table1[[#This Row],[2019 Scope 3 ]]),IF(Table1[[#This Row],[Net Earnings/Income (2019)]]-k_cost*Table1[[#This Row],[2019 Total Scope 1, 2 + 3]]&lt;0,"Y","N"),"NA")</f>
        <v>#ERROR!</v>
      </c>
      <c r="G24" s="47" t="str">
        <f>IF(ISNUMBER(Table1[[#This Row],[2019 Scope 3 ]]),IF(k_cost*Table1[[#This Row],[2019 Total Scope 1, 2 + 3]]/Table1[[#This Row],[Size (2019 Revenue)]]&gt;k_rev_max,"Y","N"),"NA")</f>
        <v>#ERROR!</v>
      </c>
      <c r="H24" s="47" t="str">
        <f>IF(OR(Table1[[#This Row],[Net earnings post carbon price @85/t]]="Y",Table1[[#This Row],[Carbon costs in % revenue]] = "Y"),"Y",IF(OR(Table1[[#This Row],[Net earnings post carbon price @85/t]]="NA",Table1[[#This Row],[Carbon costs in % revenue]]="NA"),"NA","N"))</f>
        <v>#ERROR!</v>
      </c>
      <c r="I24" s="46">
        <v>5.192E9</v>
      </c>
      <c r="J24" s="48">
        <v>1994.0</v>
      </c>
      <c r="K24" s="46" t="s">
        <v>1126</v>
      </c>
      <c r="L24" s="13" t="s">
        <v>1126</v>
      </c>
      <c r="M24" s="13" t="s">
        <v>1127</v>
      </c>
      <c r="N24" s="13">
        <v>2018.0</v>
      </c>
      <c r="O24" s="13">
        <v>2018.0</v>
      </c>
      <c r="P24" s="49"/>
      <c r="Q24" s="13" t="s">
        <v>1126</v>
      </c>
      <c r="R24" s="13" t="s">
        <v>1126</v>
      </c>
      <c r="S24" s="13">
        <v>2017.0</v>
      </c>
      <c r="T24" s="35" t="str">
        <f>IFERROR((Table1[[#This Row],[2019 Total Scope 1, 2 + 3]])/Table1[[#This Row],[2018 Total Scope 1, 2 + Scope 3]]-1,"NA")</f>
        <v>#ERROR!</v>
      </c>
      <c r="V24" s="50">
        <v>9495.0</v>
      </c>
      <c r="W24" s="50">
        <v>135.0</v>
      </c>
      <c r="X24" s="50"/>
      <c r="Y24" s="50">
        <f t="shared" si="1"/>
        <v>9630</v>
      </c>
      <c r="Z24" s="50">
        <f>165571+8156+67870+4762+37500+101249+5866.51</f>
        <v>390974.51</v>
      </c>
      <c r="AA24" s="50">
        <f t="shared" si="2"/>
        <v>400604.51</v>
      </c>
      <c r="AB24" s="50">
        <v>9815.0</v>
      </c>
      <c r="AC24" s="50">
        <v>0.0</v>
      </c>
      <c r="AD24" s="50"/>
      <c r="AE24" s="50">
        <f t="shared" si="3"/>
        <v>9815</v>
      </c>
      <c r="AF24" s="50">
        <f>157487+9106.99+56982+3601+34539+105860+7133.21</f>
        <v>374709.2</v>
      </c>
      <c r="AG24" s="50">
        <f t="shared" si="4"/>
        <v>384524.2</v>
      </c>
      <c r="AH24" s="50">
        <v>11624.0</v>
      </c>
      <c r="AI24" s="50">
        <v>150.0</v>
      </c>
      <c r="AJ24" s="50"/>
      <c r="AK24" s="50">
        <f t="shared" si="5"/>
        <v>11774</v>
      </c>
      <c r="AL24" s="50">
        <f>49982.23+62340.64+103444.88</f>
        <v>215767.75</v>
      </c>
      <c r="AM24" s="50">
        <f t="shared" si="6"/>
        <v>227541.75</v>
      </c>
      <c r="AN24" s="50">
        <v>13061.0</v>
      </c>
      <c r="AO24" s="50">
        <v>176444.0</v>
      </c>
      <c r="AP24" s="50"/>
      <c r="AQ24" s="50">
        <f t="shared" si="7"/>
        <v>189505</v>
      </c>
      <c r="AR24" s="50">
        <f>53010.86+55239.85+105093.4</f>
        <v>213344.11</v>
      </c>
      <c r="AS24" s="50">
        <f t="shared" si="8"/>
        <v>402849.11</v>
      </c>
      <c r="AT24" s="50">
        <v>14421.0</v>
      </c>
      <c r="AU24" s="50">
        <v>181088.0</v>
      </c>
      <c r="AV24" s="50"/>
      <c r="AW24" s="50">
        <f t="shared" si="9"/>
        <v>195509</v>
      </c>
      <c r="AX24" s="50">
        <f>51042.88+32022</f>
        <v>83064.88</v>
      </c>
      <c r="AY24" s="50">
        <f t="shared" si="10"/>
        <v>278573.88</v>
      </c>
      <c r="AZ24" s="13" t="s">
        <v>1127</v>
      </c>
      <c r="BA24" s="54" t="s">
        <v>1165</v>
      </c>
      <c r="BB24" s="22" t="s">
        <v>1166</v>
      </c>
      <c r="BC24" s="59" t="s">
        <v>1167</v>
      </c>
      <c r="BD24" s="52"/>
    </row>
    <row r="25" ht="12.75" customHeight="1">
      <c r="A25" s="22" t="s">
        <v>175</v>
      </c>
      <c r="B25" s="22" t="s">
        <v>176</v>
      </c>
      <c r="C25" s="22" t="s">
        <v>822</v>
      </c>
      <c r="D25" s="22" t="s">
        <v>1168</v>
      </c>
      <c r="E25" s="46">
        <v>5.38E10</v>
      </c>
      <c r="F25" s="46" t="str">
        <f>IF(ISNUMBER(Table1[[#This Row],[2019 Scope 3 ]]),IF(Table1[[#This Row],[Net Earnings/Income (2019)]]-k_cost*Table1[[#This Row],[2019 Total Scope 1, 2 + 3]]&lt;0,"Y","N"),"NA")</f>
        <v>#ERROR!</v>
      </c>
      <c r="G25" s="47" t="str">
        <f>IF(ISNUMBER(Table1[[#This Row],[2019 Scope 3 ]]),IF(k_cost*Table1[[#This Row],[2019 Total Scope 1, 2 + 3]]/Table1[[#This Row],[Size (2019 Revenue)]]&gt;k_rev_max,"Y","N"),"NA")</f>
        <v>#ERROR!</v>
      </c>
      <c r="H25" s="47" t="str">
        <f>IF(OR(Table1[[#This Row],[Net earnings post carbon price @85/t]]="Y",Table1[[#This Row],[Carbon costs in % revenue]] = "Y"),"Y",IF(OR(Table1[[#This Row],[Net earnings post carbon price @85/t]]="NA",Table1[[#This Row],[Carbon costs in % revenue]]="NA"),"NA","N"))</f>
        <v>#ERROR!</v>
      </c>
      <c r="I25" s="46">
        <v>6.093E9</v>
      </c>
      <c r="J25" s="48">
        <v>1925.0</v>
      </c>
      <c r="K25" s="46" t="s">
        <v>1126</v>
      </c>
      <c r="L25" s="13" t="s">
        <v>1127</v>
      </c>
      <c r="M25" s="13" t="s">
        <v>1127</v>
      </c>
      <c r="P25" s="49" t="s">
        <v>1127</v>
      </c>
      <c r="Q25" s="13" t="s">
        <v>1127</v>
      </c>
      <c r="R25" s="13" t="s">
        <v>1127</v>
      </c>
      <c r="S25" s="13" t="s">
        <v>1127</v>
      </c>
      <c r="T25" s="35" t="str">
        <f>IFERROR((Table1[[#This Row],[2019 Total Scope 1, 2 + 3]])/Table1[[#This Row],[2018 Total Scope 1, 2 + Scope 3]]-1,"NA")</f>
        <v>#ERROR!</v>
      </c>
      <c r="V25" s="50">
        <v>905000.0</v>
      </c>
      <c r="W25" s="50">
        <v>869000.0</v>
      </c>
      <c r="X25" s="50">
        <v>0.0</v>
      </c>
      <c r="Y25" s="50">
        <f t="shared" si="1"/>
        <v>1774000</v>
      </c>
      <c r="Z25" s="50" t="s">
        <v>1130</v>
      </c>
      <c r="AA25" s="50" t="str">
        <f t="shared" si="2"/>
        <v/>
      </c>
      <c r="AB25" s="50">
        <v>927000.0</v>
      </c>
      <c r="AC25" s="50">
        <v>1280000.0</v>
      </c>
      <c r="AD25" s="50">
        <v>0.0</v>
      </c>
      <c r="AE25" s="50">
        <f t="shared" si="3"/>
        <v>2207000</v>
      </c>
      <c r="AF25" s="50" t="s">
        <v>1130</v>
      </c>
      <c r="AG25" s="50" t="str">
        <f t="shared" si="4"/>
        <v/>
      </c>
      <c r="AH25" s="50">
        <v>863000.0</v>
      </c>
      <c r="AI25" s="50">
        <v>1256000.0</v>
      </c>
      <c r="AJ25" s="50">
        <v>0.0</v>
      </c>
      <c r="AK25" s="50">
        <f t="shared" si="5"/>
        <v>2119000</v>
      </c>
      <c r="AL25" s="50" t="s">
        <v>1130</v>
      </c>
      <c r="AM25" s="50" t="str">
        <f t="shared" si="6"/>
        <v/>
      </c>
      <c r="AN25" s="50">
        <v>863000.0</v>
      </c>
      <c r="AO25" s="50">
        <v>1265000.0</v>
      </c>
      <c r="AP25" s="50">
        <v>0.0</v>
      </c>
      <c r="AQ25" s="50">
        <f t="shared" si="7"/>
        <v>2128000</v>
      </c>
      <c r="AR25" s="50" t="s">
        <v>1130</v>
      </c>
      <c r="AS25" s="50" t="str">
        <f t="shared" si="8"/>
        <v/>
      </c>
      <c r="AT25" s="50" t="s">
        <v>1130</v>
      </c>
      <c r="AU25" s="50" t="s">
        <v>1130</v>
      </c>
      <c r="AV25" s="50"/>
      <c r="AW25" s="50" t="str">
        <f t="shared" si="9"/>
        <v/>
      </c>
      <c r="AX25" s="50" t="s">
        <v>1130</v>
      </c>
      <c r="AY25" s="50" t="str">
        <f t="shared" si="10"/>
        <v/>
      </c>
      <c r="AZ25" s="13" t="s">
        <v>1127</v>
      </c>
      <c r="BA25" s="51" t="s">
        <v>1169</v>
      </c>
      <c r="BC25" s="59"/>
      <c r="BD25" s="52"/>
    </row>
    <row r="26" ht="12.75" customHeight="1">
      <c r="A26" s="22" t="s">
        <v>178</v>
      </c>
      <c r="B26" s="22" t="s">
        <v>179</v>
      </c>
      <c r="C26" s="13" t="s">
        <v>855</v>
      </c>
      <c r="D26" s="22" t="s">
        <v>1170</v>
      </c>
      <c r="E26" s="46">
        <v>4.5764E10</v>
      </c>
      <c r="F26" s="46" t="str">
        <f>IF(ISNUMBER(Table1[[#This Row],[2019 Scope 3 ]]),IF(Table1[[#This Row],[Net Earnings/Income (2019)]]-k_cost*Table1[[#This Row],[2019 Total Scope 1, 2 + 3]]&lt;0,"Y","N"),"NA")</f>
        <v>#ERROR!</v>
      </c>
      <c r="G26" s="47" t="str">
        <f>IF(ISNUMBER(Table1[[#This Row],[2019 Scope 3 ]]),IF(k_cost*Table1[[#This Row],[2019 Total Scope 1, 2 + 3]]/Table1[[#This Row],[Size (2019 Revenue)]]&gt;k_rev_max,"Y","N"),"NA")</f>
        <v>#ERROR!</v>
      </c>
      <c r="H26" s="47" t="str">
        <f>IF(OR(Table1[[#This Row],[Net earnings post carbon price @85/t]]="Y",Table1[[#This Row],[Carbon costs in % revenue]] = "Y"),"Y",IF(OR(Table1[[#This Row],[Net earnings post carbon price @85/t]]="NA",Table1[[#This Row],[Carbon costs in % revenue]]="NA"),"NA","N"))</f>
        <v>#ERROR!</v>
      </c>
      <c r="I26" s="46">
        <v>1.668E9</v>
      </c>
      <c r="J26" s="48">
        <v>1999.0</v>
      </c>
      <c r="K26" s="46" t="s">
        <v>1126</v>
      </c>
      <c r="L26" s="13" t="s">
        <v>1127</v>
      </c>
      <c r="M26" s="13" t="s">
        <v>1127</v>
      </c>
      <c r="P26" s="49" t="s">
        <v>1127</v>
      </c>
      <c r="Q26" s="13" t="s">
        <v>1127</v>
      </c>
      <c r="R26" s="13" t="s">
        <v>1127</v>
      </c>
      <c r="S26" s="13" t="s">
        <v>1127</v>
      </c>
      <c r="T26" s="35" t="str">
        <f>IFERROR((Table1[[#This Row],[2019 Total Scope 1, 2 + 3]])/Table1[[#This Row],[2018 Total Scope 1, 2 + Scope 3]]-1,"NA")</f>
        <v>#ERROR!</v>
      </c>
      <c r="V26" s="50" t="s">
        <v>1130</v>
      </c>
      <c r="W26" s="50" t="s">
        <v>1130</v>
      </c>
      <c r="X26" s="50"/>
      <c r="Y26" s="50" t="str">
        <f t="shared" si="1"/>
        <v/>
      </c>
      <c r="Z26" s="50" t="s">
        <v>1130</v>
      </c>
      <c r="AA26" s="50" t="str">
        <f t="shared" si="2"/>
        <v/>
      </c>
      <c r="AB26" s="50" t="s">
        <v>1130</v>
      </c>
      <c r="AC26" s="50" t="s">
        <v>1130</v>
      </c>
      <c r="AD26" s="50"/>
      <c r="AE26" s="50" t="str">
        <f t="shared" si="3"/>
        <v/>
      </c>
      <c r="AF26" s="50" t="s">
        <v>1130</v>
      </c>
      <c r="AG26" s="50" t="str">
        <f t="shared" si="4"/>
        <v/>
      </c>
      <c r="AH26" s="50" t="s">
        <v>1130</v>
      </c>
      <c r="AI26" s="50" t="s">
        <v>1130</v>
      </c>
      <c r="AJ26" s="50"/>
      <c r="AK26" s="50" t="str">
        <f t="shared" si="5"/>
        <v/>
      </c>
      <c r="AL26" s="50" t="s">
        <v>1130</v>
      </c>
      <c r="AM26" s="50" t="str">
        <f t="shared" si="6"/>
        <v/>
      </c>
      <c r="AN26" s="50" t="s">
        <v>1130</v>
      </c>
      <c r="AO26" s="50" t="s">
        <v>1130</v>
      </c>
      <c r="AP26" s="50"/>
      <c r="AQ26" s="50" t="str">
        <f t="shared" si="7"/>
        <v/>
      </c>
      <c r="AR26" s="50" t="s">
        <v>1130</v>
      </c>
      <c r="AS26" s="50" t="str">
        <f t="shared" si="8"/>
        <v/>
      </c>
      <c r="AT26" s="50" t="s">
        <v>1130</v>
      </c>
      <c r="AU26" s="50" t="s">
        <v>1130</v>
      </c>
      <c r="AV26" s="50"/>
      <c r="AW26" s="50" t="str">
        <f t="shared" si="9"/>
        <v/>
      </c>
      <c r="AX26" s="50" t="s">
        <v>1130</v>
      </c>
      <c r="AY26" s="50" t="str">
        <f t="shared" si="10"/>
        <v/>
      </c>
      <c r="AZ26" s="13" t="s">
        <v>1127</v>
      </c>
      <c r="BA26" s="54" t="s">
        <v>1165</v>
      </c>
      <c r="BC26" s="59"/>
      <c r="BD26" s="52"/>
    </row>
    <row r="27" ht="12.75" customHeight="1">
      <c r="A27" s="22" t="s">
        <v>181</v>
      </c>
      <c r="B27" s="22" t="s">
        <v>181</v>
      </c>
      <c r="C27" s="13" t="s">
        <v>914</v>
      </c>
      <c r="D27" s="22" t="s">
        <v>1171</v>
      </c>
      <c r="E27" s="46">
        <v>1.46516E11</v>
      </c>
      <c r="F27" s="46" t="str">
        <f>IF(ISNUMBER(Table1[[#This Row],[2019 Scope 3 ]]),IF(Table1[[#This Row],[Net Earnings/Income (2019)]]-k_cost*Table1[[#This Row],[2019 Total Scope 1, 2 + 3]]&lt;0,"Y","N"),"NA")</f>
        <v>#ERROR!</v>
      </c>
      <c r="G27" s="47" t="str">
        <f>IF(ISNUMBER(Table1[[#This Row],[2019 Scope 3 ]]),IF(k_cost*Table1[[#This Row],[2019 Total Scope 1, 2 + 3]]/Table1[[#This Row],[Size (2019 Revenue)]]&gt;k_rev_max,"Y","N"),"NA")</f>
        <v>#ERROR!</v>
      </c>
      <c r="H27" s="47" t="str">
        <f>IF(OR(Table1[[#This Row],[Net earnings post carbon price @85/t]]="Y",Table1[[#This Row],[Carbon costs in % revenue]] = "Y"),"Y",IF(OR(Table1[[#This Row],[Net earnings post carbon price @85/t]]="NA",Table1[[#This Row],[Carbon costs in % revenue]]="NA"),"NA","N"))</f>
        <v>#ERROR!</v>
      </c>
      <c r="I27" s="46">
        <v>2.924E9</v>
      </c>
      <c r="J27" s="48">
        <v>1879.0</v>
      </c>
      <c r="K27" s="46" t="s">
        <v>1126</v>
      </c>
      <c r="L27" s="13" t="s">
        <v>1127</v>
      </c>
      <c r="M27" s="13" t="s">
        <v>1127</v>
      </c>
      <c r="P27" s="49" t="s">
        <v>1127</v>
      </c>
      <c r="Q27" s="13" t="s">
        <v>1127</v>
      </c>
      <c r="R27" s="13" t="s">
        <v>1127</v>
      </c>
      <c r="T27" s="35" t="str">
        <f>IFERROR((Table1[[#This Row],[2019 Total Scope 1, 2 + 3]])/Table1[[#This Row],[2018 Total Scope 1, 2 + Scope 3]]-1,"NA")</f>
        <v>#ERROR!</v>
      </c>
      <c r="V27" s="50">
        <v>5.5E7</v>
      </c>
      <c r="W27" s="50">
        <v>2000000.0</v>
      </c>
      <c r="X27" s="50">
        <v>0.0</v>
      </c>
      <c r="Y27" s="50">
        <f t="shared" si="1"/>
        <v>57000000</v>
      </c>
      <c r="Z27" s="50">
        <v>4.13E8</v>
      </c>
      <c r="AA27" s="50">
        <f t="shared" si="2"/>
        <v>470000000</v>
      </c>
      <c r="AB27" s="50">
        <v>5.9E7</v>
      </c>
      <c r="AC27" s="50">
        <v>3000000.0</v>
      </c>
      <c r="AD27" s="50">
        <v>0.0</v>
      </c>
      <c r="AE27" s="50">
        <f t="shared" si="3"/>
        <v>62000000</v>
      </c>
      <c r="AF27" s="50">
        <v>3.97E8</v>
      </c>
      <c r="AG27" s="50">
        <f t="shared" si="4"/>
        <v>459000000</v>
      </c>
      <c r="AH27" s="50">
        <v>5.6E7</v>
      </c>
      <c r="AI27" s="50">
        <v>3000000.0</v>
      </c>
      <c r="AJ27" s="50">
        <v>0.0</v>
      </c>
      <c r="AK27" s="50">
        <f t="shared" si="5"/>
        <v>59000000</v>
      </c>
      <c r="AL27" s="50">
        <v>3.77E8</v>
      </c>
      <c r="AM27" s="50">
        <f t="shared" si="6"/>
        <v>436000000</v>
      </c>
      <c r="AN27" s="50">
        <v>5.8E7</v>
      </c>
      <c r="AO27" s="50">
        <v>3000000.0</v>
      </c>
      <c r="AP27" s="50">
        <v>0.0</v>
      </c>
      <c r="AQ27" s="50">
        <f t="shared" si="7"/>
        <v>61000000</v>
      </c>
      <c r="AR27" s="50">
        <v>3.65E8</v>
      </c>
      <c r="AS27" s="50">
        <f t="shared" si="8"/>
        <v>426000000</v>
      </c>
      <c r="AT27" s="50">
        <v>5.8E7</v>
      </c>
      <c r="AU27" s="50">
        <v>3000000.0</v>
      </c>
      <c r="AV27" s="50">
        <v>0.0</v>
      </c>
      <c r="AW27" s="50">
        <f t="shared" si="9"/>
        <v>61000000</v>
      </c>
      <c r="AX27" s="50">
        <v>3.67E8</v>
      </c>
      <c r="AY27" s="50">
        <f t="shared" si="10"/>
        <v>428000000</v>
      </c>
      <c r="AZ27" s="13" t="s">
        <v>1126</v>
      </c>
      <c r="BA27" s="54" t="s">
        <v>1172</v>
      </c>
      <c r="BC27" s="59"/>
      <c r="BD27" s="52"/>
    </row>
    <row r="28" ht="12.75" customHeight="1">
      <c r="A28" s="22" t="s">
        <v>183</v>
      </c>
      <c r="B28" s="22" t="s">
        <v>184</v>
      </c>
      <c r="C28" s="22" t="s">
        <v>840</v>
      </c>
      <c r="D28" s="22" t="s">
        <v>1150</v>
      </c>
      <c r="E28" s="46">
        <v>5.19E10</v>
      </c>
      <c r="F28" s="46" t="str">
        <f>IF(ISNUMBER(Table1[[#This Row],[2019 Scope 3 ]]),IF(Table1[[#This Row],[Net Earnings/Income (2019)]]-k_cost*Table1[[#This Row],[2019 Total Scope 1, 2 + 3]]&lt;0,"Y","N"),"NA")</f>
        <v>#ERROR!</v>
      </c>
      <c r="G28" s="47" t="str">
        <f>IF(ISNUMBER(Table1[[#This Row],[2019 Scope 3 ]]),IF(k_cost*Table1[[#This Row],[2019 Total Scope 1, 2 + 3]]/Table1[[#This Row],[Size (2019 Revenue)]]&gt;k_rev_max,"Y","N"),"NA")</f>
        <v>#ERROR!</v>
      </c>
      <c r="H28" s="47" t="str">
        <f>IF(OR(Table1[[#This Row],[Net earnings post carbon price @85/t]]="Y",Table1[[#This Row],[Carbon costs in % revenue]] = "Y"),"Y",IF(OR(Table1[[#This Row],[Net earnings post carbon price @85/t]]="NA",Table1[[#This Row],[Carbon costs in % revenue]]="NA"),"NA","N"))</f>
        <v>#ERROR!</v>
      </c>
      <c r="I28" s="46">
        <v>1.162E10</v>
      </c>
      <c r="J28" s="48">
        <v>1990.0</v>
      </c>
      <c r="K28" s="46" t="s">
        <v>1126</v>
      </c>
      <c r="L28" s="13" t="s">
        <v>1127</v>
      </c>
      <c r="M28" s="13" t="s">
        <v>1126</v>
      </c>
      <c r="P28" s="49">
        <v>180000.0</v>
      </c>
      <c r="Q28" s="13" t="s">
        <v>1126</v>
      </c>
      <c r="R28" s="13" t="s">
        <v>1127</v>
      </c>
      <c r="S28" s="13" t="s">
        <v>1127</v>
      </c>
      <c r="T28" s="35" t="str">
        <f>IFERROR((Table1[[#This Row],[2019 Total Scope 1, 2 + 3]])/Table1[[#This Row],[2018 Total Scope 1, 2 + Scope 3]]-1,"NA")</f>
        <v>#ERROR!</v>
      </c>
      <c r="V28" s="50">
        <v>41181.0</v>
      </c>
      <c r="W28" s="50">
        <v>187428.0</v>
      </c>
      <c r="X28" s="50">
        <v>0.0</v>
      </c>
      <c r="Y28" s="50">
        <f t="shared" si="1"/>
        <v>228609</v>
      </c>
      <c r="Z28" s="50">
        <f>1154682+40020+39054+36598+779+207323+79699+83396+24929174+272</f>
        <v>26570997</v>
      </c>
      <c r="AA28" s="50">
        <f t="shared" si="2"/>
        <v>26799606</v>
      </c>
      <c r="AB28" s="50">
        <v>41171.0</v>
      </c>
      <c r="AC28" s="50">
        <v>205141.0</v>
      </c>
      <c r="AD28" s="50">
        <v>0.0</v>
      </c>
      <c r="AE28" s="50">
        <f t="shared" si="3"/>
        <v>246312</v>
      </c>
      <c r="AF28" s="50">
        <f>1154682+40020+40002+36598+1096+217500+81394+83396+37865598+272</f>
        <v>39520558</v>
      </c>
      <c r="AG28" s="50">
        <f t="shared" si="4"/>
        <v>39766870</v>
      </c>
      <c r="AH28" s="50">
        <v>41926.0</v>
      </c>
      <c r="AI28" s="50">
        <v>223558.0</v>
      </c>
      <c r="AJ28" s="50">
        <v>0.0</v>
      </c>
      <c r="AK28" s="50">
        <f t="shared" si="5"/>
        <v>265484</v>
      </c>
      <c r="AL28" s="50">
        <f>1283704+57607+44164+16509+177210+80506+38521+32847245+349</f>
        <v>34545815</v>
      </c>
      <c r="AM28" s="50">
        <f t="shared" si="6"/>
        <v>34811299</v>
      </c>
      <c r="AN28" s="50">
        <v>53123.0</v>
      </c>
      <c r="AO28" s="50">
        <v>247933.0</v>
      </c>
      <c r="AP28" s="50">
        <v>0.0</v>
      </c>
      <c r="AQ28" s="50">
        <f t="shared" si="7"/>
        <v>301056</v>
      </c>
      <c r="AR28" s="50">
        <f>1373745+67405+43897+20062+184901+91586+46810+33466582+1138</f>
        <v>35296126</v>
      </c>
      <c r="AS28" s="50">
        <f t="shared" si="8"/>
        <v>35597182</v>
      </c>
      <c r="AT28" s="50">
        <v>53123.0</v>
      </c>
      <c r="AU28" s="50">
        <v>247933.0</v>
      </c>
      <c r="AV28" s="50">
        <v>0.0</v>
      </c>
      <c r="AW28" s="50">
        <f t="shared" si="9"/>
        <v>301056</v>
      </c>
      <c r="AX28" s="50">
        <f>3105862+81700+46354+196595+191573+96937+458722+33753281+6800</f>
        <v>37937824</v>
      </c>
      <c r="AY28" s="50">
        <f t="shared" si="10"/>
        <v>38238880</v>
      </c>
      <c r="AZ28" s="13" t="s">
        <v>1126</v>
      </c>
      <c r="BA28" s="51" t="s">
        <v>1173</v>
      </c>
      <c r="BB28" s="22" t="s">
        <v>1174</v>
      </c>
      <c r="BD28" s="52"/>
    </row>
    <row r="29" ht="12.75" customHeight="1">
      <c r="A29" s="22" t="s">
        <v>189</v>
      </c>
      <c r="B29" s="22" t="s">
        <v>190</v>
      </c>
      <c r="C29" s="22" t="s">
        <v>850</v>
      </c>
      <c r="D29" s="22" t="s">
        <v>868</v>
      </c>
      <c r="E29" s="46">
        <v>1.03449E11</v>
      </c>
      <c r="F29" s="46" t="str">
        <f>IF(ISNUMBER(Table1[[#This Row],[2019 Scope 3 ]]),IF(Table1[[#This Row],[Net Earnings/Income (2019)]]-k_cost*Table1[[#This Row],[2019 Total Scope 1, 2 + 3]]&lt;0,"Y","N"),"NA")</f>
        <v>#ERROR!</v>
      </c>
      <c r="G29" s="47" t="str">
        <f>IF(ISNUMBER(Table1[[#This Row],[2019 Scope 3 ]]),IF(k_cost*Table1[[#This Row],[2019 Total Scope 1, 2 + 3]]/Table1[[#This Row],[Size (2019 Revenue)]]&gt;k_rev_max,"Y","N"),"NA")</f>
        <v>#ERROR!</v>
      </c>
      <c r="H29" s="47" t="str">
        <f>IF(OR(Table1[[#This Row],[Net earnings post carbon price @85/t]]="Y",Table1[[#This Row],[Carbon costs in % revenue]] = "Y"),"Y",IF(OR(Table1[[#This Row],[Net earnings post carbon price @85/t]]="NA",Table1[[#This Row],[Carbon costs in % revenue]]="NA"),"NA","N"))</f>
        <v>#ERROR!</v>
      </c>
      <c r="I29" s="46">
        <v>1.8171E10</v>
      </c>
      <c r="J29" s="48">
        <v>1998.0</v>
      </c>
      <c r="K29" s="46" t="s">
        <v>1126</v>
      </c>
      <c r="L29" s="13" t="s">
        <v>1127</v>
      </c>
      <c r="M29" s="13" t="s">
        <v>1127</v>
      </c>
      <c r="P29" s="13" t="s">
        <v>1127</v>
      </c>
      <c r="Q29" s="13" t="s">
        <v>1127</v>
      </c>
      <c r="R29" s="13" t="s">
        <v>1126</v>
      </c>
      <c r="S29" s="13">
        <v>2020.0</v>
      </c>
      <c r="T29" s="35" t="str">
        <f>IFERROR((Table1[[#This Row],[2019 Total Scope 1, 2 + 3]])/Table1[[#This Row],[2018 Total Scope 1, 2 + Scope 3]]-1,"NA")</f>
        <v>#ERROR!</v>
      </c>
      <c r="V29" s="50">
        <v>23289.0</v>
      </c>
      <c r="W29" s="50">
        <v>593611.0</v>
      </c>
      <c r="X29" s="50">
        <v>0.0</v>
      </c>
      <c r="Y29" s="50">
        <f t="shared" si="1"/>
        <v>616900</v>
      </c>
      <c r="Z29" s="50">
        <f>3057.83+365372.29+170626.34+126229+82627.85</f>
        <v>747913.31</v>
      </c>
      <c r="AA29" s="50">
        <f t="shared" si="2"/>
        <v>1364813.31</v>
      </c>
      <c r="AB29" s="50">
        <v>24132.0</v>
      </c>
      <c r="AC29" s="50">
        <v>623233.0</v>
      </c>
      <c r="AD29" s="50">
        <v>0.0</v>
      </c>
      <c r="AE29" s="50">
        <f t="shared" si="3"/>
        <v>647365</v>
      </c>
      <c r="AF29" s="50">
        <f>4090.86+284991.97+187586+149815+86948.67+9990000</f>
        <v>10703432.5</v>
      </c>
      <c r="AG29" s="50">
        <f t="shared" si="4"/>
        <v>11350797.5</v>
      </c>
      <c r="AH29" s="50">
        <v>20951.0</v>
      </c>
      <c r="AI29" s="50">
        <v>677636.0</v>
      </c>
      <c r="AJ29" s="50">
        <v>0.0</v>
      </c>
      <c r="AK29" s="50">
        <f t="shared" si="5"/>
        <v>698587</v>
      </c>
      <c r="AL29" s="50">
        <f>4245.09+227593.23+196748.31+151321+90709.34+18100000</f>
        <v>18770616.97</v>
      </c>
      <c r="AM29" s="50">
        <f t="shared" si="6"/>
        <v>19469203.97</v>
      </c>
      <c r="AN29" s="50">
        <v>23141.0</v>
      </c>
      <c r="AO29" s="50">
        <v>747748.0</v>
      </c>
      <c r="AP29" s="50">
        <v>0.0</v>
      </c>
      <c r="AQ29" s="50">
        <f t="shared" si="7"/>
        <v>770889</v>
      </c>
      <c r="AR29" s="50">
        <f>22105+210958+137860+95034+7760665</f>
        <v>8226622</v>
      </c>
      <c r="AS29" s="50">
        <f t="shared" si="8"/>
        <v>8997511</v>
      </c>
      <c r="AT29" s="50">
        <v>25742.0</v>
      </c>
      <c r="AU29" s="50">
        <v>789002.0</v>
      </c>
      <c r="AV29" s="50">
        <v>0.0</v>
      </c>
      <c r="AW29" s="50">
        <f t="shared" si="9"/>
        <v>814744</v>
      </c>
      <c r="AX29" s="50">
        <f>28214+111292+9600000</f>
        <v>9739506</v>
      </c>
      <c r="AY29" s="50">
        <f t="shared" si="10"/>
        <v>10554250</v>
      </c>
      <c r="AZ29" s="13" t="s">
        <v>1126</v>
      </c>
      <c r="BA29" s="54" t="s">
        <v>1175</v>
      </c>
      <c r="BB29" s="22" t="s">
        <v>1176</v>
      </c>
      <c r="BD29" s="52"/>
    </row>
    <row r="30" ht="12.75" customHeight="1">
      <c r="A30" s="22" t="s">
        <v>195</v>
      </c>
      <c r="B30" s="22" t="s">
        <v>196</v>
      </c>
      <c r="C30" s="22" t="s">
        <v>860</v>
      </c>
      <c r="D30" s="22" t="s">
        <v>1177</v>
      </c>
      <c r="E30" s="46">
        <v>3.7266E10</v>
      </c>
      <c r="F30" s="46" t="str">
        <f>IF(ISNUMBER(Table1[[#This Row],[2019 Scope 3 ]]),IF(Table1[[#This Row],[Net Earnings/Income (2019)]]-k_cost*Table1[[#This Row],[2019 Total Scope 1, 2 + 3]]&lt;0,"Y","N"),"NA")</f>
        <v>#ERROR!</v>
      </c>
      <c r="G30" s="47" t="str">
        <f>IF(ISNUMBER(Table1[[#This Row],[2019 Scope 3 ]]),IF(k_cost*Table1[[#This Row],[2019 Total Scope 1, 2 + 3]]/Table1[[#This Row],[Size (2019 Revenue)]]&gt;k_rev_max,"Y","N"),"NA")</f>
        <v>#ERROR!</v>
      </c>
      <c r="H30" s="47" t="str">
        <f>IF(OR(Table1[[#This Row],[Net earnings post carbon price @85/t]]="Y",Table1[[#This Row],[Carbon costs in % revenue]] = "Y"),"Y",IF(OR(Table1[[#This Row],[Net earnings post carbon price @85/t]]="NA",Table1[[#This Row],[Carbon costs in % revenue]]="NA"),"NA","N"))</f>
        <v>#ERROR!</v>
      </c>
      <c r="I30" s="46">
        <v>3.864E10</v>
      </c>
      <c r="J30" s="48">
        <v>1892.0</v>
      </c>
      <c r="K30" s="46" t="s">
        <v>1126</v>
      </c>
      <c r="L30" s="13" t="s">
        <v>1127</v>
      </c>
      <c r="M30" s="13" t="s">
        <v>1126</v>
      </c>
      <c r="P30" s="49">
        <v>4125000.0</v>
      </c>
      <c r="Q30" s="13" t="s">
        <v>1127</v>
      </c>
      <c r="R30" s="13" t="s">
        <v>1127</v>
      </c>
      <c r="S30" s="13" t="s">
        <v>1127</v>
      </c>
      <c r="T30" s="35" t="str">
        <f>IFERROR((Table1[[#This Row],[2019 Total Scope 1, 2 + 3]])/Table1[[#This Row],[2018 Total Scope 1, 2 + Scope 3]]-1,"NA")</f>
        <v>#ERROR!</v>
      </c>
      <c r="V30" s="50">
        <v>1830000.0</v>
      </c>
      <c r="W30" s="50">
        <v>3730000.0</v>
      </c>
      <c r="X30" s="50">
        <v>0.0</v>
      </c>
      <c r="Y30" s="50">
        <f t="shared" si="1"/>
        <v>5560000</v>
      </c>
      <c r="Z30" s="50" t="s">
        <v>1130</v>
      </c>
      <c r="AA30" s="50" t="str">
        <f t="shared" si="2"/>
        <v/>
      </c>
      <c r="AB30" s="50">
        <v>1790000.0</v>
      </c>
      <c r="AC30" s="50">
        <v>3760000.0</v>
      </c>
      <c r="AD30" s="50">
        <v>0.0</v>
      </c>
      <c r="AE30" s="50">
        <f t="shared" si="3"/>
        <v>5550000</v>
      </c>
      <c r="AF30" s="50" t="s">
        <v>1130</v>
      </c>
      <c r="AG30" s="50" t="str">
        <f t="shared" si="4"/>
        <v/>
      </c>
      <c r="AH30" s="50">
        <v>1780000.0</v>
      </c>
      <c r="AI30" s="50">
        <v>3760000.0</v>
      </c>
      <c r="AJ30" s="50">
        <v>0.0</v>
      </c>
      <c r="AK30" s="50">
        <f t="shared" si="5"/>
        <v>5540000</v>
      </c>
      <c r="AL30" s="50" t="s">
        <v>1130</v>
      </c>
      <c r="AM30" s="50" t="str">
        <f t="shared" si="6"/>
        <v/>
      </c>
      <c r="AN30" s="50">
        <v>1600000.0</v>
      </c>
      <c r="AO30" s="50">
        <v>3800000.0</v>
      </c>
      <c r="AP30" s="50">
        <v>0.0</v>
      </c>
      <c r="AQ30" s="50">
        <f t="shared" si="7"/>
        <v>5400000</v>
      </c>
      <c r="AR30" s="50" t="s">
        <v>1130</v>
      </c>
      <c r="AS30" s="50" t="str">
        <f t="shared" si="8"/>
        <v/>
      </c>
      <c r="AT30" s="50">
        <v>1700000.0</v>
      </c>
      <c r="AU30" s="50">
        <v>3800000.0</v>
      </c>
      <c r="AV30" s="50">
        <v>0.0</v>
      </c>
      <c r="AW30" s="50">
        <f t="shared" si="9"/>
        <v>5500000</v>
      </c>
      <c r="AX30" s="50" t="s">
        <v>1130</v>
      </c>
      <c r="AY30" s="50" t="str">
        <f t="shared" si="10"/>
        <v/>
      </c>
      <c r="AZ30" s="13" t="s">
        <v>1126</v>
      </c>
      <c r="BA30" s="51" t="s">
        <v>1178</v>
      </c>
      <c r="BD30" s="52"/>
    </row>
    <row r="31" ht="12.75" customHeight="1">
      <c r="A31" s="60" t="s">
        <v>201</v>
      </c>
      <c r="B31" s="22" t="s">
        <v>201</v>
      </c>
      <c r="C31" s="22" t="s">
        <v>860</v>
      </c>
      <c r="D31" s="22" t="s">
        <v>1179</v>
      </c>
      <c r="E31" s="46">
        <v>1.5693E10</v>
      </c>
      <c r="F31" s="46" t="str">
        <f>IF(ISNUMBER(Table1[[#This Row],[2019 Scope 3 ]]),IF(Table1[[#This Row],[Net Earnings/Income (2019)]]-k_cost*Table1[[#This Row],[2019 Total Scope 1, 2 + 3]]&lt;0,"Y","N"),"NA")</f>
        <v>#ERROR!</v>
      </c>
      <c r="G31" s="47" t="str">
        <f>IF(ISNUMBER(Table1[[#This Row],[2019 Scope 3 ]]),IF(k_cost*Table1[[#This Row],[2019 Total Scope 1, 2 + 3]]/Table1[[#This Row],[Size (2019 Revenue)]]&gt;k_rev_max,"Y","N"),"NA")</f>
        <v>#ERROR!</v>
      </c>
      <c r="H31" s="47" t="str">
        <f>IF(OR(Table1[[#This Row],[Net earnings post carbon price @85/t]]="Y",Table1[[#This Row],[Carbon costs in % revenue]] = "Y"),"Y",IF(OR(Table1[[#This Row],[Net earnings post carbon price @85/t]]="NA",Table1[[#This Row],[Carbon costs in % revenue]]="NA"),"NA","N"))</f>
        <v>#ERROR!</v>
      </c>
      <c r="I31" s="46">
        <v>2.367E9</v>
      </c>
      <c r="J31" s="48">
        <v>1806.0</v>
      </c>
      <c r="K31" s="46" t="s">
        <v>1126</v>
      </c>
      <c r="L31" s="13" t="s">
        <v>1127</v>
      </c>
      <c r="M31" s="13" t="s">
        <v>1126</v>
      </c>
      <c r="P31" s="49">
        <v>525000.0</v>
      </c>
      <c r="Q31" s="13" t="s">
        <v>1127</v>
      </c>
      <c r="R31" s="13" t="s">
        <v>1127</v>
      </c>
      <c r="S31" s="13" t="s">
        <v>1127</v>
      </c>
      <c r="T31" s="35" t="str">
        <f>IFERROR((Table1[[#This Row],[2019 Total Scope 1, 2 + 3]])/Table1[[#This Row],[2018 Total Scope 1, 2 + Scope 3]]-1,"NA")</f>
        <v>#ERROR!</v>
      </c>
      <c r="V31" s="50">
        <v>191000.0</v>
      </c>
      <c r="W31" s="50">
        <v>283000.0</v>
      </c>
      <c r="X31" s="50">
        <v>0.0</v>
      </c>
      <c r="Y31" s="50">
        <f t="shared" si="1"/>
        <v>474000</v>
      </c>
      <c r="Z31" s="50">
        <v>4.868E7</v>
      </c>
      <c r="AA31" s="50">
        <f t="shared" si="2"/>
        <v>49154000</v>
      </c>
      <c r="AB31" s="50">
        <v>190000.0</v>
      </c>
      <c r="AC31" s="50">
        <v>302000.0</v>
      </c>
      <c r="AD31" s="50">
        <v>0.0</v>
      </c>
      <c r="AE31" s="50">
        <f t="shared" si="3"/>
        <v>492000</v>
      </c>
      <c r="AF31" s="50">
        <v>4.8299E7</v>
      </c>
      <c r="AG31" s="50">
        <f t="shared" si="4"/>
        <v>48791000</v>
      </c>
      <c r="AH31" s="50">
        <v>195000.0</v>
      </c>
      <c r="AI31" s="50">
        <v>316000.0</v>
      </c>
      <c r="AJ31" s="50">
        <v>0.0</v>
      </c>
      <c r="AK31" s="50">
        <f t="shared" si="5"/>
        <v>511000</v>
      </c>
      <c r="AL31" s="50">
        <v>5.157E7</v>
      </c>
      <c r="AM31" s="50">
        <f t="shared" si="6"/>
        <v>52081000</v>
      </c>
      <c r="AN31" s="50">
        <v>203000.0</v>
      </c>
      <c r="AO31" s="50">
        <v>324000.0</v>
      </c>
      <c r="AP31" s="50">
        <v>0.0</v>
      </c>
      <c r="AQ31" s="50">
        <f t="shared" si="7"/>
        <v>527000</v>
      </c>
      <c r="AR31" s="50">
        <v>5.471E7</v>
      </c>
      <c r="AS31" s="50">
        <f t="shared" si="8"/>
        <v>55237000</v>
      </c>
      <c r="AT31" s="50">
        <v>203000.0</v>
      </c>
      <c r="AU31" s="50">
        <v>389000.0</v>
      </c>
      <c r="AV31" s="50">
        <v>0.0</v>
      </c>
      <c r="AW31" s="50">
        <f t="shared" si="9"/>
        <v>592000</v>
      </c>
      <c r="AX31" s="50">
        <v>5.4155E7</v>
      </c>
      <c r="AY31" s="50">
        <f t="shared" si="10"/>
        <v>54747000</v>
      </c>
      <c r="AZ31" s="13" t="s">
        <v>1127</v>
      </c>
      <c r="BA31" s="51" t="s">
        <v>1180</v>
      </c>
      <c r="BD31" s="52"/>
    </row>
    <row r="32" ht="12.75" customHeight="1">
      <c r="A32" s="60" t="s">
        <v>206</v>
      </c>
      <c r="B32" s="22" t="s">
        <v>206</v>
      </c>
      <c r="C32" s="13" t="s">
        <v>855</v>
      </c>
      <c r="D32" s="22" t="s">
        <v>1170</v>
      </c>
      <c r="E32" s="46">
        <v>1.08942E11</v>
      </c>
      <c r="F32" s="46" t="str">
        <f>IF(ISNUMBER(Table1[[#This Row],[2019 Scope 3 ]]),IF(Table1[[#This Row],[Net Earnings/Income (2019)]]-k_cost*Table1[[#This Row],[2019 Total Scope 1, 2 + 3]]&lt;0,"Y","N"),"NA")</f>
        <v>#ERROR!</v>
      </c>
      <c r="G32" s="47" t="str">
        <f>IF(ISNUMBER(Table1[[#This Row],[2019 Scope 3 ]]),IF(k_cost*Table1[[#This Row],[2019 Total Scope 1, 2 + 3]]/Table1[[#This Row],[Size (2019 Revenue)]]&gt;k_rev_max,"Y","N"),"NA")</f>
        <v>#ERROR!</v>
      </c>
      <c r="H32" s="47" t="str">
        <f>IF(OR(Table1[[#This Row],[Net earnings post carbon price @85/t]]="Y",Table1[[#This Row],[Carbon costs in % revenue]] = "Y"),"Y",IF(OR(Table1[[#This Row],[Net earnings post carbon price @85/t]]="NA",Table1[[#This Row],[Carbon costs in % revenue]]="NA"),"NA","N"))</f>
        <v>#ERROR!</v>
      </c>
      <c r="I32" s="46">
        <v>1.3057E10</v>
      </c>
      <c r="J32" s="48">
        <v>1963.0</v>
      </c>
      <c r="K32" s="46" t="s">
        <v>1126</v>
      </c>
      <c r="L32" s="13" t="s">
        <v>1127</v>
      </c>
      <c r="M32" s="13" t="s">
        <v>1127</v>
      </c>
      <c r="P32" s="13" t="s">
        <v>1127</v>
      </c>
      <c r="Q32" s="13" t="s">
        <v>1127</v>
      </c>
      <c r="R32" s="13" t="s">
        <v>1127</v>
      </c>
      <c r="S32" s="13" t="s">
        <v>1127</v>
      </c>
      <c r="T32" s="35" t="str">
        <f>IFERROR((Table1[[#This Row],[2019 Total Scope 1, 2 + 3]])/Table1[[#This Row],[2018 Total Scope 1, 2 + Scope 3]]-1,"NA")</f>
        <v>#ERROR!</v>
      </c>
      <c r="V32" s="50">
        <v>498455.0</v>
      </c>
      <c r="W32" s="50">
        <v>1496771.0</v>
      </c>
      <c r="X32" s="50"/>
      <c r="Y32" s="50">
        <f t="shared" si="1"/>
        <v>1995226</v>
      </c>
      <c r="Z32" s="50" t="s">
        <v>1130</v>
      </c>
      <c r="AA32" s="50" t="str">
        <f t="shared" si="2"/>
        <v/>
      </c>
      <c r="AB32" s="50">
        <v>505483.0</v>
      </c>
      <c r="AC32" s="50">
        <v>1458463.0</v>
      </c>
      <c r="AD32" s="50"/>
      <c r="AE32" s="50">
        <f t="shared" si="3"/>
        <v>1963946</v>
      </c>
      <c r="AF32" s="50" t="s">
        <v>1130</v>
      </c>
      <c r="AG32" s="50" t="str">
        <f t="shared" si="4"/>
        <v/>
      </c>
      <c r="AH32" s="50">
        <v>513316.0</v>
      </c>
      <c r="AI32" s="50">
        <v>1491298.0</v>
      </c>
      <c r="AJ32" s="50"/>
      <c r="AK32" s="50">
        <f t="shared" si="5"/>
        <v>2004614</v>
      </c>
      <c r="AL32" s="50" t="s">
        <v>1130</v>
      </c>
      <c r="AM32" s="50" t="str">
        <f t="shared" si="6"/>
        <v/>
      </c>
      <c r="AN32" s="50">
        <v>364556.0</v>
      </c>
      <c r="AO32" s="50">
        <v>1380854.0</v>
      </c>
      <c r="AP32" s="50"/>
      <c r="AQ32" s="50">
        <f t="shared" si="7"/>
        <v>1745410</v>
      </c>
      <c r="AR32" s="50" t="s">
        <v>1130</v>
      </c>
      <c r="AS32" s="50" t="str">
        <f t="shared" si="8"/>
        <v/>
      </c>
      <c r="AT32" s="50" t="s">
        <v>1130</v>
      </c>
      <c r="AU32" s="50" t="s">
        <v>1130</v>
      </c>
      <c r="AV32" s="50"/>
      <c r="AW32" s="50" t="str">
        <f t="shared" si="9"/>
        <v/>
      </c>
      <c r="AX32" s="50" t="s">
        <v>1130</v>
      </c>
      <c r="AY32" s="50" t="str">
        <f t="shared" si="10"/>
        <v/>
      </c>
      <c r="AZ32" s="13" t="s">
        <v>1127</v>
      </c>
      <c r="BA32" s="51" t="s">
        <v>1181</v>
      </c>
      <c r="BB32" s="51" t="s">
        <v>1182</v>
      </c>
      <c r="BD32" s="52"/>
    </row>
    <row r="33" ht="12.75" customHeight="1">
      <c r="A33" s="60" t="s">
        <v>211</v>
      </c>
      <c r="B33" s="60" t="s">
        <v>211</v>
      </c>
      <c r="C33" s="60" t="s">
        <v>914</v>
      </c>
      <c r="D33" s="22" t="s">
        <v>1171</v>
      </c>
      <c r="E33" s="46">
        <v>3.667E10</v>
      </c>
      <c r="F33" s="46" t="str">
        <f>IF(ISNUMBER(Table1[[#This Row],[2019 Scope 3 ]]),IF(Table1[[#This Row],[Net Earnings/Income (2019)]]-k_cost*Table1[[#This Row],[2019 Total Scope 1, 2 + 3]]&lt;0,"Y","N"),"NA")</f>
        <v>#ERROR!</v>
      </c>
      <c r="G33" s="47" t="str">
        <f>IF(ISNUMBER(Table1[[#This Row],[2019 Scope 3 ]]),IF(k_cost*Table1[[#This Row],[2019 Total Scope 1, 2 + 3]]/Table1[[#This Row],[Size (2019 Revenue)]]&gt;k_rev_max,"Y","N"),"NA")</f>
        <v>#ERROR!</v>
      </c>
      <c r="H33" s="47" t="str">
        <f>IF(OR(Table1[[#This Row],[Net earnings post carbon price @85/t]]="Y",Table1[[#This Row],[Carbon costs in % revenue]] = "Y"),"Y",IF(OR(Table1[[#This Row],[Net earnings post carbon price @85/t]]="NA",Table1[[#This Row],[Carbon costs in % revenue]]="NA"),"NA","N"))</f>
        <v>#ERROR!</v>
      </c>
      <c r="I33" s="46">
        <v>7.189E9</v>
      </c>
      <c r="J33" s="48">
        <v>1875.0</v>
      </c>
      <c r="K33" s="46" t="s">
        <v>1126</v>
      </c>
      <c r="L33" s="22" t="s">
        <v>1126</v>
      </c>
      <c r="M33" s="13" t="s">
        <v>1127</v>
      </c>
      <c r="N33" s="13">
        <v>2050.0</v>
      </c>
      <c r="O33" s="13">
        <v>2020.0</v>
      </c>
      <c r="P33" s="13" t="s">
        <v>1127</v>
      </c>
      <c r="Q33" s="13" t="s">
        <v>1127</v>
      </c>
      <c r="R33" s="13" t="s">
        <v>1127</v>
      </c>
      <c r="S33" s="13" t="s">
        <v>1127</v>
      </c>
      <c r="T33" s="35" t="str">
        <f>IFERROR((Table1[[#This Row],[2019 Total Scope 1, 2 + 3]])/Table1[[#This Row],[2018 Total Scope 1, 2 + Scope 3]]-1,"NA")</f>
        <v>#ERROR!</v>
      </c>
      <c r="V33" s="50">
        <v>1.95E7</v>
      </c>
      <c r="W33" s="50">
        <v>1000000.0</v>
      </c>
      <c r="X33" s="50">
        <v>0.0</v>
      </c>
      <c r="Y33" s="50">
        <f t="shared" si="1"/>
        <v>20500000</v>
      </c>
      <c r="Z33" s="50">
        <v>1.734E8</v>
      </c>
      <c r="AA33" s="50">
        <f t="shared" si="2"/>
        <v>193900000</v>
      </c>
      <c r="AB33" s="50">
        <v>1.97E7</v>
      </c>
      <c r="AC33" s="50">
        <v>1100000.0</v>
      </c>
      <c r="AD33" s="50">
        <v>0.0</v>
      </c>
      <c r="AE33" s="50">
        <f t="shared" si="3"/>
        <v>20800000</v>
      </c>
      <c r="AF33" s="50">
        <f>Z33/1.09</f>
        <v>159082568.8</v>
      </c>
      <c r="AG33" s="50">
        <f t="shared" si="4"/>
        <v>179882568.8</v>
      </c>
      <c r="AH33" s="50">
        <v>1.97E7</v>
      </c>
      <c r="AI33" s="50">
        <v>1200000.0</v>
      </c>
      <c r="AJ33" s="50">
        <v>0.0</v>
      </c>
      <c r="AK33" s="50">
        <f t="shared" si="5"/>
        <v>20900000</v>
      </c>
      <c r="AL33" s="50" t="s">
        <v>1130</v>
      </c>
      <c r="AM33" s="50" t="str">
        <f t="shared" si="6"/>
        <v/>
      </c>
      <c r="AN33" s="50">
        <v>2.53E7</v>
      </c>
      <c r="AO33" s="50">
        <v>1500000.0</v>
      </c>
      <c r="AP33" s="50">
        <v>0.0</v>
      </c>
      <c r="AQ33" s="50">
        <f t="shared" si="7"/>
        <v>26800000</v>
      </c>
      <c r="AR33" s="50" t="s">
        <v>1130</v>
      </c>
      <c r="AS33" s="50" t="str">
        <f t="shared" si="8"/>
        <v/>
      </c>
      <c r="AT33" s="50">
        <v>2.48E7</v>
      </c>
      <c r="AU33" s="50">
        <v>1300000.0</v>
      </c>
      <c r="AV33" s="50">
        <v>0.0</v>
      </c>
      <c r="AW33" s="50">
        <f t="shared" si="9"/>
        <v>26100000</v>
      </c>
      <c r="AX33" s="50" t="s">
        <v>1130</v>
      </c>
      <c r="AY33" s="50" t="str">
        <f t="shared" si="10"/>
        <v/>
      </c>
      <c r="AZ33" s="13" t="s">
        <v>1126</v>
      </c>
      <c r="BA33" s="51" t="s">
        <v>1183</v>
      </c>
      <c r="BB33" s="54" t="s">
        <v>1184</v>
      </c>
      <c r="BD33" s="52"/>
    </row>
    <row r="34" ht="12.75" customHeight="1">
      <c r="A34" s="60" t="s">
        <v>216</v>
      </c>
      <c r="B34" s="22" t="s">
        <v>216</v>
      </c>
      <c r="C34" s="22" t="s">
        <v>860</v>
      </c>
      <c r="D34" s="22" t="s">
        <v>923</v>
      </c>
      <c r="E34" s="46">
        <v>1.52703E11</v>
      </c>
      <c r="F34" s="46" t="str">
        <f>IF(ISNUMBER(Table1[[#This Row],[2019 Scope 3 ]]),IF(Table1[[#This Row],[Net Earnings/Income (2019)]]-k_cost*Table1[[#This Row],[2019 Total Scope 1, 2 + 3]]&lt;0,"Y","N"),"NA")</f>
        <v>#ERROR!</v>
      </c>
      <c r="G34" s="47" t="str">
        <f>IF(ISNUMBER(Table1[[#This Row],[2019 Scope 3 ]]),IF(k_cost*Table1[[#This Row],[2019 Total Scope 1, 2 + 3]]/Table1[[#This Row],[Size (2019 Revenue)]]&gt;k_rev_max,"Y","N"),"NA")</f>
        <v>#ERROR!</v>
      </c>
      <c r="H34" s="47" t="str">
        <f>IF(OR(Table1[[#This Row],[Net earnings post carbon price @85/t]]="Y",Table1[[#This Row],[Carbon costs in % revenue]] = "Y"),"Y",IF(OR(Table1[[#This Row],[Net earnings post carbon price @85/t]]="NA",Table1[[#This Row],[Carbon costs in % revenue]]="NA"),"NA","N"))</f>
        <v>#ERROR!</v>
      </c>
      <c r="I34" s="46">
        <v>3.659E9</v>
      </c>
      <c r="J34" s="48">
        <v>1976.0</v>
      </c>
      <c r="K34" s="46" t="s">
        <v>1126</v>
      </c>
      <c r="L34" s="13" t="s">
        <v>1127</v>
      </c>
      <c r="M34" s="13" t="s">
        <v>1127</v>
      </c>
      <c r="P34" s="13" t="s">
        <v>1127</v>
      </c>
      <c r="Q34" s="13" t="s">
        <v>1127</v>
      </c>
      <c r="R34" s="13" t="s">
        <v>1127</v>
      </c>
      <c r="S34" s="13" t="s">
        <v>1127</v>
      </c>
      <c r="T34" s="35" t="str">
        <f>IFERROR((Table1[[#This Row],[2019 Total Scope 1, 2 + 3]])/Table1[[#This Row],[2018 Total Scope 1, 2 + Scope 3]]-1,"NA")</f>
        <v>#ERROR!</v>
      </c>
      <c r="V34" s="50">
        <v>1108562.25</v>
      </c>
      <c r="W34" s="50">
        <v>1473874.16</v>
      </c>
      <c r="X34" s="50"/>
      <c r="Y34" s="50">
        <f t="shared" si="1"/>
        <v>2582436.41</v>
      </c>
      <c r="Z34" s="50" t="s">
        <v>1130</v>
      </c>
      <c r="AA34" s="50" t="str">
        <f t="shared" si="2"/>
        <v/>
      </c>
      <c r="AB34" s="50">
        <v>1114966.57</v>
      </c>
      <c r="AC34" s="50">
        <v>1393452.84</v>
      </c>
      <c r="AD34" s="50"/>
      <c r="AE34" s="50">
        <f t="shared" si="3"/>
        <v>2508419.41</v>
      </c>
      <c r="AF34" s="50" t="s">
        <v>1130</v>
      </c>
      <c r="AG34" s="50" t="str">
        <f t="shared" si="4"/>
        <v/>
      </c>
      <c r="AH34" s="50">
        <v>970138.0</v>
      </c>
      <c r="AI34" s="50">
        <v>1388491.0</v>
      </c>
      <c r="AJ34" s="50"/>
      <c r="AK34" s="50">
        <f t="shared" si="5"/>
        <v>2358629</v>
      </c>
      <c r="AL34" s="50" t="s">
        <v>1130</v>
      </c>
      <c r="AM34" s="50" t="str">
        <f t="shared" si="6"/>
        <v/>
      </c>
      <c r="AN34" s="50">
        <v>785682.0</v>
      </c>
      <c r="AO34" s="50">
        <v>1315361.0</v>
      </c>
      <c r="AP34" s="50"/>
      <c r="AQ34" s="50">
        <f t="shared" si="7"/>
        <v>2101043</v>
      </c>
      <c r="AR34" s="50" t="s">
        <v>1130</v>
      </c>
      <c r="AS34" s="50" t="str">
        <f t="shared" si="8"/>
        <v/>
      </c>
      <c r="AT34" s="50">
        <v>636727.0</v>
      </c>
      <c r="AU34" s="50">
        <v>1236737.0</v>
      </c>
      <c r="AV34" s="50"/>
      <c r="AW34" s="50">
        <f t="shared" si="9"/>
        <v>1873464</v>
      </c>
      <c r="AX34" s="50" t="s">
        <v>1130</v>
      </c>
      <c r="AY34" s="50" t="str">
        <f t="shared" si="10"/>
        <v/>
      </c>
      <c r="AZ34" s="13" t="s">
        <v>1127</v>
      </c>
      <c r="BA34" s="51" t="s">
        <v>1185</v>
      </c>
      <c r="BB34" s="51" t="s">
        <v>1186</v>
      </c>
      <c r="BD34" s="52"/>
    </row>
    <row r="35" ht="12.75" customHeight="1">
      <c r="A35" s="22" t="s">
        <v>221</v>
      </c>
      <c r="B35" s="22" t="s">
        <v>222</v>
      </c>
      <c r="C35" s="22" t="s">
        <v>829</v>
      </c>
      <c r="D35" s="22" t="s">
        <v>923</v>
      </c>
      <c r="E35" s="46">
        <v>2.56776E11</v>
      </c>
      <c r="F35" s="46" t="str">
        <f>IF(ISNUMBER(Table1[[#This Row],[2019 Scope 3 ]]),IF(Table1[[#This Row],[Net Earnings/Income (2019)]]-k_cost*Table1[[#This Row],[2019 Total Scope 1, 2 + 3]]&lt;0,"Y","N"),"NA")</f>
        <v>#ERROR!</v>
      </c>
      <c r="G35" s="47" t="str">
        <f>IF(ISNUMBER(Table1[[#This Row],[2019 Scope 3 ]]),IF(k_cost*Table1[[#This Row],[2019 Total Scope 1, 2 + 3]]/Table1[[#This Row],[Size (2019 Revenue)]]&gt;k_rev_max,"Y","N"),"NA")</f>
        <v>#ERROR!</v>
      </c>
      <c r="H35" s="47" t="str">
        <f>IF(OR(Table1[[#This Row],[Net earnings post carbon price @85/t]]="Y",Table1[[#This Row],[Carbon costs in % revenue]] = "Y"),"Y",IF(OR(Table1[[#This Row],[Net earnings post carbon price @85/t]]="NA",Table1[[#This Row],[Carbon costs in % revenue]]="NA"),"NA","N"))</f>
        <v>#ERROR!</v>
      </c>
      <c r="I35" s="46">
        <v>6.634E9</v>
      </c>
      <c r="J35" s="48">
        <v>1963.0</v>
      </c>
      <c r="K35" s="46" t="s">
        <v>1126</v>
      </c>
      <c r="L35" s="13" t="s">
        <v>1127</v>
      </c>
      <c r="M35" s="13" t="s">
        <v>1126</v>
      </c>
      <c r="P35" s="13" t="s">
        <v>1127</v>
      </c>
      <c r="Q35" s="13" t="s">
        <v>1127</v>
      </c>
      <c r="R35" s="13" t="s">
        <v>1127</v>
      </c>
      <c r="S35" s="13" t="s">
        <v>1127</v>
      </c>
      <c r="T35" s="35" t="str">
        <f>IFERROR((Table1[[#This Row],[2019 Total Scope 1, 2 + 3]])/Table1[[#This Row],[2018 Total Scope 1, 2 + Scope 3]]-1,"NA")</f>
        <v>#ERROR!</v>
      </c>
      <c r="V35" s="50">
        <v>157114.0</v>
      </c>
      <c r="W35" s="50">
        <v>1024682.0</v>
      </c>
      <c r="X35" s="50">
        <v>0.0</v>
      </c>
      <c r="Y35" s="50">
        <f t="shared" si="1"/>
        <v>1181796</v>
      </c>
      <c r="Z35" s="50">
        <f>14584739.12+1011729.83+51656.89+35236.88+106796.09+20400+46624.82</f>
        <v>15857183.63</v>
      </c>
      <c r="AA35" s="50">
        <f t="shared" si="2"/>
        <v>17038979.63</v>
      </c>
      <c r="AB35" s="50">
        <v>177347.0</v>
      </c>
      <c r="AC35" s="50">
        <v>1096724.0</v>
      </c>
      <c r="AD35" s="50">
        <v>0.0</v>
      </c>
      <c r="AE35" s="50">
        <f t="shared" si="3"/>
        <v>1274071</v>
      </c>
      <c r="AF35" s="50">
        <f>10986342.63+1091380.21+51836.83+31736+35855.55+20400+53932.12</f>
        <v>12271483.34</v>
      </c>
      <c r="AG35" s="50">
        <f t="shared" si="4"/>
        <v>13545554.34</v>
      </c>
      <c r="AH35" s="50">
        <v>206086.0</v>
      </c>
      <c r="AI35" s="50">
        <v>1131013.0</v>
      </c>
      <c r="AJ35" s="50">
        <v>0.0</v>
      </c>
      <c r="AK35" s="50">
        <f t="shared" si="5"/>
        <v>1337099</v>
      </c>
      <c r="AL35" s="50">
        <f>2400000+97000+31736+36636+53469</f>
        <v>2618841</v>
      </c>
      <c r="AM35" s="50">
        <f t="shared" si="6"/>
        <v>3955940</v>
      </c>
      <c r="AN35" s="50">
        <v>198055.0</v>
      </c>
      <c r="AO35" s="50">
        <v>1265480.0</v>
      </c>
      <c r="AP35" s="50"/>
      <c r="AQ35" s="50">
        <f t="shared" si="7"/>
        <v>1463535</v>
      </c>
      <c r="AR35" s="50">
        <f>2400000+119000+40280+50310</f>
        <v>2609590</v>
      </c>
      <c r="AS35" s="50">
        <f t="shared" si="8"/>
        <v>4073125</v>
      </c>
      <c r="AT35" s="50">
        <v>214156.0</v>
      </c>
      <c r="AU35" s="50">
        <v>1378660.0</v>
      </c>
      <c r="AV35" s="50"/>
      <c r="AW35" s="50">
        <f t="shared" si="9"/>
        <v>1592816</v>
      </c>
      <c r="AX35" s="50" t="s">
        <v>1130</v>
      </c>
      <c r="AY35" s="50" t="str">
        <f t="shared" si="10"/>
        <v/>
      </c>
      <c r="AZ35" s="13" t="s">
        <v>1127</v>
      </c>
      <c r="BA35" s="51" t="s">
        <v>1187</v>
      </c>
      <c r="BD35" s="52"/>
    </row>
    <row r="36" ht="12.75" customHeight="1">
      <c r="A36" s="22" t="s">
        <v>227</v>
      </c>
      <c r="B36" s="22" t="s">
        <v>227</v>
      </c>
      <c r="C36" s="22" t="s">
        <v>829</v>
      </c>
      <c r="D36" s="22" t="s">
        <v>1188</v>
      </c>
      <c r="E36" s="46">
        <v>1.791E10</v>
      </c>
      <c r="F36" s="46" t="str">
        <f>IF(ISNUMBER(Table1[[#This Row],[2019 Scope 3 ]]),IF(Table1[[#This Row],[Net Earnings/Income (2019)]]-k_cost*Table1[[#This Row],[2019 Total Scope 1, 2 + 3]]&lt;0,"Y","N"),"NA")</f>
        <v>#ERROR!</v>
      </c>
      <c r="G36" s="47" t="str">
        <f>IF(ISNUMBER(Table1[[#This Row],[2019 Scope 3 ]]),IF(k_cost*Table1[[#This Row],[2019 Total Scope 1, 2 + 3]]/Table1[[#This Row],[Size (2019 Revenue)]]&gt;k_rev_max,"Y","N"),"NA")</f>
        <v>#ERROR!</v>
      </c>
      <c r="H36" s="47" t="str">
        <f>IF(OR(Table1[[#This Row],[Net earnings post carbon price @85/t]]="Y",Table1[[#This Row],[Carbon costs in % revenue]] = "Y"),"Y",IF(OR(Table1[[#This Row],[Net earnings post carbon price @85/t]]="NA",Table1[[#This Row],[Carbon costs in % revenue]]="NA"),"NA","N"))</f>
        <v>#ERROR!</v>
      </c>
      <c r="I36" s="46">
        <v>2.94E9</v>
      </c>
      <c r="J36" s="48">
        <v>1969.0</v>
      </c>
      <c r="K36" s="46" t="s">
        <v>1126</v>
      </c>
      <c r="L36" s="13" t="s">
        <v>1127</v>
      </c>
      <c r="M36" s="13" t="s">
        <v>1127</v>
      </c>
      <c r="P36" s="13" t="s">
        <v>1127</v>
      </c>
      <c r="Q36" s="13" t="s">
        <v>1127</v>
      </c>
      <c r="R36" s="13" t="s">
        <v>1127</v>
      </c>
      <c r="S36" s="13" t="s">
        <v>1127</v>
      </c>
      <c r="T36" s="35" t="str">
        <f>IFERROR((Table1[[#This Row],[2019 Total Scope 1, 2 + 3]])/Table1[[#This Row],[2018 Total Scope 1, 2 + Scope 3]]-1,"NA")</f>
        <v>#ERROR!</v>
      </c>
      <c r="V36" s="50" t="s">
        <v>1130</v>
      </c>
      <c r="W36" s="50" t="s">
        <v>1130</v>
      </c>
      <c r="X36" s="50"/>
      <c r="Y36" s="50" t="str">
        <f t="shared" si="1"/>
        <v/>
      </c>
      <c r="Z36" s="50" t="s">
        <v>1130</v>
      </c>
      <c r="AA36" s="50" t="str">
        <f t="shared" si="2"/>
        <v/>
      </c>
      <c r="AB36" s="50">
        <f>7.13*E36/1000000</f>
        <v>127698.3</v>
      </c>
      <c r="AC36" s="50">
        <f>10.16*E36/1000000</f>
        <v>181965.6</v>
      </c>
      <c r="AD36" s="50">
        <v>0.0</v>
      </c>
      <c r="AE36" s="50">
        <f t="shared" si="3"/>
        <v>309663.9</v>
      </c>
      <c r="AF36" s="50" t="s">
        <v>1130</v>
      </c>
      <c r="AG36" s="50" t="str">
        <f t="shared" si="4"/>
        <v/>
      </c>
      <c r="AH36" s="50" t="s">
        <v>1130</v>
      </c>
      <c r="AI36" s="50" t="s">
        <v>1130</v>
      </c>
      <c r="AJ36" s="50"/>
      <c r="AK36" s="50" t="str">
        <f t="shared" si="5"/>
        <v/>
      </c>
      <c r="AL36" s="50" t="s">
        <v>1130</v>
      </c>
      <c r="AM36" s="50" t="str">
        <f t="shared" si="6"/>
        <v/>
      </c>
      <c r="AN36" s="50" t="s">
        <v>1130</v>
      </c>
      <c r="AO36" s="50" t="s">
        <v>1130</v>
      </c>
      <c r="AP36" s="50"/>
      <c r="AQ36" s="50" t="str">
        <f t="shared" si="7"/>
        <v/>
      </c>
      <c r="AR36" s="50" t="s">
        <v>1130</v>
      </c>
      <c r="AS36" s="50" t="str">
        <f t="shared" si="8"/>
        <v/>
      </c>
      <c r="AT36" s="50" t="s">
        <v>1130</v>
      </c>
      <c r="AU36" s="50" t="s">
        <v>1130</v>
      </c>
      <c r="AV36" s="50"/>
      <c r="AW36" s="50" t="str">
        <f t="shared" si="9"/>
        <v/>
      </c>
      <c r="AX36" s="50" t="s">
        <v>1130</v>
      </c>
      <c r="AY36" s="50" t="str">
        <f t="shared" si="10"/>
        <v/>
      </c>
      <c r="AZ36" s="13" t="s">
        <v>1127</v>
      </c>
      <c r="BA36" s="51" t="s">
        <v>1189</v>
      </c>
      <c r="BD36" s="52"/>
    </row>
    <row r="37" ht="12.75" customHeight="1">
      <c r="A37" s="22" t="s">
        <v>229</v>
      </c>
      <c r="B37" s="22" t="s">
        <v>230</v>
      </c>
      <c r="C37" s="13" t="s">
        <v>48</v>
      </c>
      <c r="D37" s="22" t="s">
        <v>49</v>
      </c>
      <c r="E37" s="46">
        <v>4.2951E10</v>
      </c>
      <c r="F37" s="46" t="str">
        <f>IF(ISNUMBER(Table1[[#This Row],[2019 Scope 3 ]]),IF(Table1[[#This Row],[Net Earnings/Income (2019)]]-k_cost*Table1[[#This Row],[2019 Total Scope 1, 2 + 3]]&lt;0,"Y","N"),"NA")</f>
        <v>#ERROR!</v>
      </c>
      <c r="G37" s="47" t="str">
        <f>IF(ISNUMBER(Table1[[#This Row],[2019 Scope 3 ]]),IF(k_cost*Table1[[#This Row],[2019 Total Scope 1, 2 + 3]]/Table1[[#This Row],[Size (2019 Revenue)]]&gt;k_rev_max,"Y","N"),"NA")</f>
        <v>#ERROR!</v>
      </c>
      <c r="H37" s="47" t="str">
        <f>IF(OR(Table1[[#This Row],[Net earnings post carbon price @85/t]]="Y",Table1[[#This Row],[Carbon costs in % revenue]] = "Y"),"Y",IF(OR(Table1[[#This Row],[Net earnings post carbon price @85/t]]="NA",Table1[[#This Row],[Carbon costs in % revenue]]="NA"),"NA","N"))</f>
        <v>#ERROR!</v>
      </c>
      <c r="I37" s="53">
        <v>-1.359E9</v>
      </c>
      <c r="J37" s="48">
        <v>1897.0</v>
      </c>
      <c r="K37" s="46" t="s">
        <v>1126</v>
      </c>
      <c r="L37" s="13" t="s">
        <v>1126</v>
      </c>
      <c r="M37" s="13" t="s">
        <v>1127</v>
      </c>
      <c r="N37" s="13">
        <v>2050.0</v>
      </c>
      <c r="O37" s="13">
        <v>2020.0</v>
      </c>
      <c r="P37" s="13" t="s">
        <v>1127</v>
      </c>
      <c r="Q37" s="13" t="s">
        <v>1127</v>
      </c>
      <c r="R37" s="13" t="s">
        <v>1127</v>
      </c>
      <c r="S37" s="13" t="s">
        <v>1127</v>
      </c>
      <c r="T37" s="35" t="str">
        <f>IFERROR((Table1[[#This Row],[2019 Total Scope 1, 2 + 3]])/Table1[[#This Row],[2018 Total Scope 1, 2 + Scope 3]]-1,"NA")</f>
        <v>#ERROR!</v>
      </c>
      <c r="V37" s="50">
        <v>2.76E7</v>
      </c>
      <c r="W37" s="50">
        <v>6050000.0</v>
      </c>
      <c r="X37" s="50">
        <v>0.0</v>
      </c>
      <c r="Y37" s="50">
        <f t="shared" si="1"/>
        <v>33650000</v>
      </c>
      <c r="Z37" s="50">
        <v>9.14E7</v>
      </c>
      <c r="AA37" s="50">
        <f t="shared" si="2"/>
        <v>125050000</v>
      </c>
      <c r="AB37" s="50">
        <v>2.87E7</v>
      </c>
      <c r="AC37" s="50">
        <v>6820000.0</v>
      </c>
      <c r="AD37" s="50">
        <v>0.0</v>
      </c>
      <c r="AE37" s="50">
        <f t="shared" si="3"/>
        <v>35520000</v>
      </c>
      <c r="AF37" s="50">
        <v>7.63E7</v>
      </c>
      <c r="AG37" s="50">
        <f t="shared" si="4"/>
        <v>111820000</v>
      </c>
      <c r="AH37" s="50">
        <v>2.576054E7</v>
      </c>
      <c r="AI37" s="50">
        <v>8814966.0</v>
      </c>
      <c r="AJ37" s="50"/>
      <c r="AK37" s="50">
        <f t="shared" si="5"/>
        <v>34575506</v>
      </c>
      <c r="AL37" s="50">
        <f>39700000+2400000+800000+2000000+260000+74000+200000+60000+2000000+3000000+24500000+200000+3700000</f>
        <v>78894000</v>
      </c>
      <c r="AM37" s="50">
        <f t="shared" si="6"/>
        <v>113469506</v>
      </c>
      <c r="AN37" s="50">
        <v>2.557E7</v>
      </c>
      <c r="AO37" s="50">
        <v>9840000.0</v>
      </c>
      <c r="AP37" s="50"/>
      <c r="AQ37" s="50">
        <f t="shared" si="7"/>
        <v>35410000</v>
      </c>
      <c r="AR37" s="50">
        <f>36500000+2400000+2500000+2000000+260000+820000+110000+60000+2000000+2900000+25000000+1800000</f>
        <v>76350000</v>
      </c>
      <c r="AS37" s="50">
        <f t="shared" si="8"/>
        <v>111760000</v>
      </c>
      <c r="AT37" s="50">
        <v>2.524E7</v>
      </c>
      <c r="AU37" s="50">
        <v>9710000.0</v>
      </c>
      <c r="AV37" s="50"/>
      <c r="AW37" s="50">
        <f t="shared" si="9"/>
        <v>34950000</v>
      </c>
      <c r="AX37" s="50">
        <f>48800000+2200000+10300000+3000000+150000+670000+100000+60000+3400000+7400000+20900000+3400000</f>
        <v>100380000</v>
      </c>
      <c r="AY37" s="50">
        <f t="shared" si="10"/>
        <v>135330000</v>
      </c>
      <c r="AZ37" s="13" t="s">
        <v>1126</v>
      </c>
      <c r="BA37" s="51" t="s">
        <v>1190</v>
      </c>
      <c r="BB37" s="54" t="s">
        <v>1191</v>
      </c>
      <c r="BD37" s="52"/>
    </row>
    <row r="38" ht="12.75" customHeight="1">
      <c r="A38" s="22" t="s">
        <v>232</v>
      </c>
      <c r="B38" s="22" t="s">
        <v>232</v>
      </c>
      <c r="C38" s="13" t="s">
        <v>932</v>
      </c>
      <c r="D38" s="13" t="s">
        <v>932</v>
      </c>
      <c r="E38" s="46">
        <v>2.5079E10</v>
      </c>
      <c r="F38" s="46" t="str">
        <f>IF(ISNUMBER(Table1[[#This Row],[2019 Scope 3 ]]),IF(Table1[[#This Row],[Net Earnings/Income (2019)]]-k_cost*Table1[[#This Row],[2019 Total Scope 1, 2 + 3]]&lt;0,"Y","N"),"NA")</f>
        <v>#ERROR!</v>
      </c>
      <c r="G38" s="47" t="str">
        <f>IF(ISNUMBER(Table1[[#This Row],[2019 Scope 3 ]]),IF(k_cost*Table1[[#This Row],[2019 Total Scope 1, 2 + 3]]/Table1[[#This Row],[Size (2019 Revenue)]]&gt;k_rev_max,"Y","N"),"NA")</f>
        <v>#ERROR!</v>
      </c>
      <c r="H38" s="47" t="str">
        <f>IF(OR(Table1[[#This Row],[Net earnings post carbon price @85/t]]="Y",Table1[[#This Row],[Carbon costs in % revenue]] = "Y"),"Y",IF(OR(Table1[[#This Row],[Net earnings post carbon price @85/t]]="NA",Table1[[#This Row],[Carbon costs in % revenue]]="NA"),"NA","N"))</f>
        <v>#ERROR!</v>
      </c>
      <c r="I38" s="46">
        <v>3.707E9</v>
      </c>
      <c r="J38" s="48">
        <v>1900.0</v>
      </c>
      <c r="K38" s="46" t="s">
        <v>1126</v>
      </c>
      <c r="L38" s="13" t="s">
        <v>1126</v>
      </c>
      <c r="M38" s="13" t="s">
        <v>1127</v>
      </c>
      <c r="N38" s="13">
        <v>2050.0</v>
      </c>
      <c r="O38" s="13">
        <v>2019.0</v>
      </c>
      <c r="P38" s="13" t="s">
        <v>1127</v>
      </c>
      <c r="Q38" s="13" t="s">
        <v>1127</v>
      </c>
      <c r="R38" s="13" t="s">
        <v>1127</v>
      </c>
      <c r="S38" s="13" t="s">
        <v>1127</v>
      </c>
      <c r="T38" s="35" t="str">
        <f>IFERROR((Table1[[#This Row],[2019 Total Scope 1, 2 + 3]])/Table1[[#This Row],[2018 Total Scope 1, 2 + Scope 3]]-1,"NA")</f>
        <v>#ERROR!</v>
      </c>
      <c r="V38" s="50">
        <v>9.3E7</v>
      </c>
      <c r="W38" s="50">
        <v>1.1122E7</v>
      </c>
      <c r="X38" s="50">
        <v>0.0</v>
      </c>
      <c r="Y38" s="50">
        <f t="shared" si="1"/>
        <v>104122000</v>
      </c>
      <c r="Z38" s="50">
        <v>1.9811E7</v>
      </c>
      <c r="AA38" s="50">
        <f t="shared" si="2"/>
        <v>123933000</v>
      </c>
      <c r="AB38" s="50">
        <v>9.65488E7</v>
      </c>
      <c r="AC38" s="50">
        <v>23200.0</v>
      </c>
      <c r="AD38" s="50"/>
      <c r="AE38" s="50">
        <f t="shared" si="3"/>
        <v>96572000</v>
      </c>
      <c r="AF38" s="50">
        <f>10100000+17977642</f>
        <v>28077642</v>
      </c>
      <c r="AG38" s="50">
        <f t="shared" si="4"/>
        <v>124649642</v>
      </c>
      <c r="AH38" s="50">
        <v>9.52134E7</v>
      </c>
      <c r="AI38" s="50">
        <v>0.0</v>
      </c>
      <c r="AJ38" s="50"/>
      <c r="AK38" s="50">
        <f t="shared" si="5"/>
        <v>95213400</v>
      </c>
      <c r="AL38" s="50">
        <f>15948080</f>
        <v>15948080</v>
      </c>
      <c r="AM38" s="50">
        <f t="shared" si="6"/>
        <v>111161480</v>
      </c>
      <c r="AN38" s="50">
        <v>9.68372E7</v>
      </c>
      <c r="AO38" s="50">
        <v>0.0</v>
      </c>
      <c r="AP38" s="50"/>
      <c r="AQ38" s="50">
        <f t="shared" si="7"/>
        <v>96837200</v>
      </c>
      <c r="AR38" s="50">
        <f>16640509</f>
        <v>16640509</v>
      </c>
      <c r="AS38" s="50">
        <f t="shared" si="8"/>
        <v>113477709</v>
      </c>
      <c r="AT38" s="50">
        <v>1.00238E8</v>
      </c>
      <c r="AU38" s="50">
        <v>0.0</v>
      </c>
      <c r="AV38" s="50"/>
      <c r="AW38" s="50">
        <f t="shared" si="9"/>
        <v>100238000</v>
      </c>
      <c r="AX38" s="50" t="s">
        <v>1130</v>
      </c>
      <c r="AY38" s="50" t="str">
        <f t="shared" si="10"/>
        <v/>
      </c>
      <c r="AZ38" s="50" t="s">
        <v>1127</v>
      </c>
      <c r="BA38" s="51" t="s">
        <v>1192</v>
      </c>
      <c r="BB38" s="54" t="s">
        <v>1193</v>
      </c>
      <c r="BD38" s="52"/>
    </row>
    <row r="39" ht="12.75" customHeight="1">
      <c r="A39" s="22" t="s">
        <v>237</v>
      </c>
      <c r="B39" s="22" t="s">
        <v>237</v>
      </c>
      <c r="C39" s="22" t="s">
        <v>48</v>
      </c>
      <c r="D39" s="22" t="s">
        <v>49</v>
      </c>
      <c r="E39" s="46">
        <v>2.157E10</v>
      </c>
      <c r="F39" s="46" t="str">
        <f>IF(ISNUMBER(Table1[[#This Row],[2019 Scope 3 ]]),IF(Table1[[#This Row],[Net Earnings/Income (2019)]]-k_cost*Table1[[#This Row],[2019 Total Scope 1, 2 + 3]]&lt;0,"Y","N"),"NA")</f>
        <v>#ERROR!</v>
      </c>
      <c r="G39" s="47" t="str">
        <f>IF(ISNUMBER(Table1[[#This Row],[2019 Scope 3 ]]),IF(k_cost*Table1[[#This Row],[2019 Total Scope 1, 2 + 3]]/Table1[[#This Row],[Size (2019 Revenue)]]&gt;k_rev_max,"Y","N"),"NA")</f>
        <v>#ERROR!</v>
      </c>
      <c r="H39" s="47" t="str">
        <f>IF(OR(Table1[[#This Row],[Net earnings post carbon price @85/t]]="Y",Table1[[#This Row],[Carbon costs in % revenue]] = "Y"),"Y",IF(OR(Table1[[#This Row],[Net earnings post carbon price @85/t]]="NA",Table1[[#This Row],[Carbon costs in % revenue]]="NA"),"NA","N"))</f>
        <v>#ERROR!</v>
      </c>
      <c r="I39" s="46">
        <v>4.98E8</v>
      </c>
      <c r="J39" s="48">
        <v>1802.0</v>
      </c>
      <c r="K39" s="46" t="s">
        <v>1126</v>
      </c>
      <c r="L39" s="13" t="s">
        <v>1126</v>
      </c>
      <c r="M39" s="13" t="s">
        <v>1127</v>
      </c>
      <c r="N39" s="13">
        <v>2050.0</v>
      </c>
      <c r="O39" s="13">
        <v>2018.0</v>
      </c>
      <c r="P39" s="13" t="s">
        <v>1127</v>
      </c>
      <c r="Q39" s="13" t="s">
        <v>1127</v>
      </c>
      <c r="R39" s="13" t="s">
        <v>1127</v>
      </c>
      <c r="S39" s="13" t="s">
        <v>1127</v>
      </c>
      <c r="T39" s="35" t="str">
        <f>IFERROR((Table1[[#This Row],[2019 Total Scope 1, 2 + 3]])/Table1[[#This Row],[2018 Total Scope 1, 2 + Scope 3]]-1,"NA")</f>
        <v>#ERROR!</v>
      </c>
      <c r="V39" s="50">
        <v>3057000.0</v>
      </c>
      <c r="W39" s="50">
        <v>2323000.0</v>
      </c>
      <c r="X39" s="50">
        <v>0.0</v>
      </c>
      <c r="Y39" s="50">
        <f t="shared" si="1"/>
        <v>5380000</v>
      </c>
      <c r="Z39" s="50">
        <f>1207243+23037+72464</f>
        <v>1302744</v>
      </c>
      <c r="AA39" s="50">
        <f t="shared" si="2"/>
        <v>6682744</v>
      </c>
      <c r="AB39" s="50" t="s">
        <v>1130</v>
      </c>
      <c r="AC39" s="50" t="s">
        <v>1130</v>
      </c>
      <c r="AD39" s="50"/>
      <c r="AE39" s="50" t="str">
        <f t="shared" si="3"/>
        <v/>
      </c>
      <c r="AF39" s="50" t="s">
        <v>1130</v>
      </c>
      <c r="AG39" s="50" t="str">
        <f t="shared" si="4"/>
        <v/>
      </c>
      <c r="AH39" s="50" t="s">
        <v>1130</v>
      </c>
      <c r="AI39" s="50" t="s">
        <v>1130</v>
      </c>
      <c r="AJ39" s="50"/>
      <c r="AK39" s="50" t="str">
        <f t="shared" si="5"/>
        <v/>
      </c>
      <c r="AL39" s="50" t="s">
        <v>1130</v>
      </c>
      <c r="AM39" s="50" t="str">
        <f t="shared" si="6"/>
        <v/>
      </c>
      <c r="AN39" s="50" t="s">
        <v>1130</v>
      </c>
      <c r="AO39" s="50" t="s">
        <v>1130</v>
      </c>
      <c r="AP39" s="50"/>
      <c r="AQ39" s="50" t="str">
        <f t="shared" si="7"/>
        <v/>
      </c>
      <c r="AR39" s="50" t="s">
        <v>1130</v>
      </c>
      <c r="AS39" s="50" t="str">
        <f t="shared" si="8"/>
        <v/>
      </c>
      <c r="AT39" s="50" t="s">
        <v>1130</v>
      </c>
      <c r="AU39" s="50" t="s">
        <v>1130</v>
      </c>
      <c r="AV39" s="50"/>
      <c r="AW39" s="50" t="str">
        <f t="shared" si="9"/>
        <v/>
      </c>
      <c r="AX39" s="50" t="s">
        <v>1130</v>
      </c>
      <c r="AY39" s="50" t="str">
        <f t="shared" si="10"/>
        <v/>
      </c>
      <c r="AZ39" s="13" t="s">
        <v>1126</v>
      </c>
      <c r="BA39" s="51" t="s">
        <v>1194</v>
      </c>
      <c r="BD39" s="52"/>
    </row>
    <row r="40" ht="12.75" customHeight="1">
      <c r="A40" s="22" t="s">
        <v>242</v>
      </c>
      <c r="B40" s="22" t="s">
        <v>242</v>
      </c>
      <c r="C40" s="22" t="s">
        <v>829</v>
      </c>
      <c r="D40" s="22" t="s">
        <v>1132</v>
      </c>
      <c r="E40" s="46">
        <v>2.232E10</v>
      </c>
      <c r="F40" s="46" t="str">
        <f>IF(ISNUMBER(Table1[[#This Row],[2019 Scope 3 ]]),IF(Table1[[#This Row],[Net Earnings/Income (2019)]]-k_cost*Table1[[#This Row],[2019 Total Scope 1, 2 + 3]]&lt;0,"Y","N"),"NA")</f>
        <v>#ERROR!</v>
      </c>
      <c r="G40" s="47" t="str">
        <f>IF(ISNUMBER(Table1[[#This Row],[2019 Scope 3 ]]),IF(k_cost*Table1[[#This Row],[2019 Total Scope 1, 2 + 3]]/Table1[[#This Row],[Size (2019 Revenue)]]&gt;k_rev_max,"Y","N"),"NA")</f>
        <v>#ERROR!</v>
      </c>
      <c r="H40" s="47" t="str">
        <f>IF(OR(Table1[[#This Row],[Net earnings post carbon price @85/t]]="Y",Table1[[#This Row],[Carbon costs in % revenue]] = "Y"),"Y",IF(OR(Table1[[#This Row],[Net earnings post carbon price @85/t]]="NA",Table1[[#This Row],[Carbon costs in % revenue]]="NA"),"NA","N"))</f>
        <v>#ERROR!</v>
      </c>
      <c r="I40" s="46">
        <v>8.318E9</v>
      </c>
      <c r="J40" s="48">
        <v>1876.0</v>
      </c>
      <c r="K40" s="46" t="s">
        <v>1126</v>
      </c>
      <c r="L40" s="13" t="s">
        <v>1127</v>
      </c>
      <c r="M40" s="13" t="s">
        <v>1127</v>
      </c>
      <c r="P40" s="13">
        <v>700000.0</v>
      </c>
      <c r="Q40" s="13" t="s">
        <v>1127</v>
      </c>
      <c r="R40" s="13" t="s">
        <v>1127</v>
      </c>
      <c r="S40" s="13" t="s">
        <v>1127</v>
      </c>
      <c r="T40" s="35" t="str">
        <f>IFERROR((Table1[[#This Row],[2019 Total Scope 1, 2 + 3]])/Table1[[#This Row],[2018 Total Scope 1, 2 + Scope 3]]-1,"NA")</f>
        <v>#ERROR!</v>
      </c>
      <c r="V40" s="50">
        <v>193000.0</v>
      </c>
      <c r="W40" s="50">
        <v>671000.0</v>
      </c>
      <c r="X40" s="50">
        <v>0.0</v>
      </c>
      <c r="Y40" s="50">
        <f t="shared" si="1"/>
        <v>864000</v>
      </c>
      <c r="Z40" s="50">
        <v>240000.0</v>
      </c>
      <c r="AA40" s="50">
        <f t="shared" si="2"/>
        <v>1104000</v>
      </c>
      <c r="AB40" s="50">
        <v>201000.0</v>
      </c>
      <c r="AC40" s="50">
        <v>654000.0</v>
      </c>
      <c r="AD40" s="50">
        <v>0.0</v>
      </c>
      <c r="AE40" s="50">
        <f t="shared" si="3"/>
        <v>855000</v>
      </c>
      <c r="AF40" s="50">
        <v>265000.0</v>
      </c>
      <c r="AG40" s="50">
        <f t="shared" si="4"/>
        <v>1120000</v>
      </c>
      <c r="AH40" s="50">
        <v>228000.0</v>
      </c>
      <c r="AI40" s="50">
        <v>636000.0</v>
      </c>
      <c r="AJ40" s="50">
        <v>0.0</v>
      </c>
      <c r="AK40" s="50">
        <f t="shared" si="5"/>
        <v>864000</v>
      </c>
      <c r="AL40" s="50">
        <v>232000.0</v>
      </c>
      <c r="AM40" s="50">
        <f t="shared" si="6"/>
        <v>1096000</v>
      </c>
      <c r="AN40" s="50">
        <v>216000.0</v>
      </c>
      <c r="AO40" s="50">
        <v>660000.0</v>
      </c>
      <c r="AP40" s="50">
        <v>0.0</v>
      </c>
      <c r="AQ40" s="50">
        <f t="shared" si="7"/>
        <v>876000</v>
      </c>
      <c r="AR40" s="50">
        <v>248000.0</v>
      </c>
      <c r="AS40" s="50">
        <f t="shared" si="8"/>
        <v>1124000</v>
      </c>
      <c r="AT40" s="50">
        <v>214000.0</v>
      </c>
      <c r="AU40" s="50">
        <v>713000.0</v>
      </c>
      <c r="AV40" s="50">
        <v>0.0</v>
      </c>
      <c r="AW40" s="50">
        <f t="shared" si="9"/>
        <v>927000</v>
      </c>
      <c r="AX40" s="50">
        <v>237000.0</v>
      </c>
      <c r="AY40" s="50">
        <f t="shared" si="10"/>
        <v>1164000</v>
      </c>
      <c r="AZ40" s="13" t="s">
        <v>1127</v>
      </c>
      <c r="BA40" s="51" t="s">
        <v>1195</v>
      </c>
      <c r="BD40" s="52"/>
    </row>
    <row r="41" ht="12.75" customHeight="1">
      <c r="A41" s="22" t="s">
        <v>247</v>
      </c>
      <c r="B41" s="22" t="s">
        <v>247</v>
      </c>
      <c r="C41" s="22" t="s">
        <v>822</v>
      </c>
      <c r="D41" s="22" t="s">
        <v>1168</v>
      </c>
      <c r="E41" s="46">
        <v>1.8372E10</v>
      </c>
      <c r="F41" s="46" t="str">
        <f>IF(ISNUMBER(Table1[[#This Row],[2019 Scope 3 ]]),IF(Table1[[#This Row],[Net Earnings/Income (2019)]]-k_cost*Table1[[#This Row],[2019 Total Scope 1, 2 + 3]]&lt;0,"Y","N"),"NA")</f>
        <v>#ERROR!</v>
      </c>
      <c r="G41" s="47" t="str">
        <f>IF(ISNUMBER(Table1[[#This Row],[2019 Scope 3 ]]),IF(k_cost*Table1[[#This Row],[2019 Total Scope 1, 2 + 3]]/Table1[[#This Row],[Size (2019 Revenue)]]&gt;k_rev_max,"Y","N"),"NA")</f>
        <v>#ERROR!</v>
      </c>
      <c r="H41" s="47" t="str">
        <f>IF(OR(Table1[[#This Row],[Net earnings post carbon price @85/t]]="Y",Table1[[#This Row],[Carbon costs in % revenue]] = "Y"),"Y",IF(OR(Table1[[#This Row],[Net earnings post carbon price @85/t]]="NA",Table1[[#This Row],[Carbon costs in % revenue]]="NA"),"NA","N"))</f>
        <v>#ERROR!</v>
      </c>
      <c r="I41" s="46">
        <v>2.306E9</v>
      </c>
      <c r="J41" s="48">
        <v>1890.0</v>
      </c>
      <c r="K41" s="13" t="s">
        <v>1126</v>
      </c>
      <c r="L41" s="13" t="s">
        <v>1127</v>
      </c>
      <c r="M41" s="13" t="s">
        <v>1127</v>
      </c>
      <c r="P41" s="13" t="s">
        <v>1127</v>
      </c>
      <c r="Q41" s="13" t="s">
        <v>1127</v>
      </c>
      <c r="R41" s="13" t="s">
        <v>1127</v>
      </c>
      <c r="S41" s="13" t="s">
        <v>1127</v>
      </c>
      <c r="T41" s="35" t="str">
        <f>IFERROR((Table1[[#This Row],[2019 Total Scope 1, 2 + 3]])/Table1[[#This Row],[2018 Total Scope 1, 2 + Scope 3]]-1,"NA")</f>
        <v>#ERROR!</v>
      </c>
      <c r="V41" s="50">
        <v>163945.0</v>
      </c>
      <c r="W41" s="50">
        <v>699739.0</v>
      </c>
      <c r="X41" s="50">
        <v>0.0</v>
      </c>
      <c r="Y41" s="50">
        <f t="shared" si="1"/>
        <v>863684</v>
      </c>
      <c r="Z41" s="50" t="s">
        <v>1130</v>
      </c>
      <c r="AA41" s="50" t="str">
        <f t="shared" si="2"/>
        <v/>
      </c>
      <c r="AB41" s="50">
        <v>166132.0</v>
      </c>
      <c r="AC41" s="50">
        <v>699423.0</v>
      </c>
      <c r="AD41" s="50">
        <v>0.0</v>
      </c>
      <c r="AE41" s="50">
        <f t="shared" si="3"/>
        <v>865555</v>
      </c>
      <c r="AF41" s="50" t="s">
        <v>1130</v>
      </c>
      <c r="AG41" s="50" t="str">
        <f t="shared" si="4"/>
        <v/>
      </c>
      <c r="AH41" s="50" t="s">
        <v>1130</v>
      </c>
      <c r="AI41" s="50" t="s">
        <v>1130</v>
      </c>
      <c r="AJ41" s="50"/>
      <c r="AK41" s="50" t="str">
        <f t="shared" si="5"/>
        <v/>
      </c>
      <c r="AL41" s="50" t="s">
        <v>1130</v>
      </c>
      <c r="AM41" s="50" t="str">
        <f t="shared" si="6"/>
        <v/>
      </c>
      <c r="AN41" s="50" t="s">
        <v>1130</v>
      </c>
      <c r="AO41" s="50" t="s">
        <v>1130</v>
      </c>
      <c r="AP41" s="50"/>
      <c r="AQ41" s="50" t="str">
        <f t="shared" si="7"/>
        <v/>
      </c>
      <c r="AR41" s="50" t="s">
        <v>1130</v>
      </c>
      <c r="AS41" s="50" t="str">
        <f t="shared" si="8"/>
        <v/>
      </c>
      <c r="AT41" s="50" t="s">
        <v>1130</v>
      </c>
      <c r="AU41" s="50" t="s">
        <v>1130</v>
      </c>
      <c r="AV41" s="50"/>
      <c r="AW41" s="50" t="str">
        <f t="shared" si="9"/>
        <v/>
      </c>
      <c r="AX41" s="50" t="s">
        <v>1130</v>
      </c>
      <c r="AY41" s="50" t="str">
        <f t="shared" si="10"/>
        <v/>
      </c>
      <c r="AZ41" s="13" t="s">
        <v>1126</v>
      </c>
      <c r="BA41" s="51" t="s">
        <v>1196</v>
      </c>
      <c r="BD41" s="52"/>
    </row>
    <row r="42" ht="12.75" customHeight="1">
      <c r="A42" s="22" t="s">
        <v>249</v>
      </c>
      <c r="B42" s="22" t="s">
        <v>249</v>
      </c>
      <c r="C42" s="22" t="s">
        <v>932</v>
      </c>
      <c r="D42" s="13" t="s">
        <v>932</v>
      </c>
      <c r="E42" s="46">
        <v>3.4438E10</v>
      </c>
      <c r="F42" s="46" t="str">
        <f>IF(ISNUMBER(Table1[[#This Row],[2019 Scope 3 ]]),IF(Table1[[#This Row],[Net Earnings/Income (2019)]]-k_cost*Table1[[#This Row],[2019 Total Scope 1, 2 + 3]]&lt;0,"Y","N"),"NA")</f>
        <v>#ERROR!</v>
      </c>
      <c r="G42" s="47" t="str">
        <f>IF(ISNUMBER(Table1[[#This Row],[2019 Scope 3 ]]),IF(k_cost*Table1[[#This Row],[2019 Total Scope 1, 2 + 3]]/Table1[[#This Row],[Size (2019 Revenue)]]&gt;k_rev_max,"Y","N"),"NA")</f>
        <v>#ERROR!</v>
      </c>
      <c r="H42" s="47" t="str">
        <f>IF(OR(Table1[[#This Row],[Net earnings post carbon price @85/t]]="Y",Table1[[#This Row],[Carbon costs in % revenue]] = "Y"),"Y",IF(OR(Table1[[#This Row],[Net earnings post carbon price @85/t]]="NA",Table1[[#This Row],[Carbon costs in % revenue]]="NA"),"NA","N"))</f>
        <v>#ERROR!</v>
      </c>
      <c r="I42" s="46">
        <v>2.936E9</v>
      </c>
      <c r="J42" s="48">
        <v>2000.0</v>
      </c>
      <c r="K42" s="13" t="s">
        <v>1126</v>
      </c>
      <c r="L42" s="58" t="s">
        <v>1127</v>
      </c>
      <c r="M42" s="22" t="s">
        <v>1127</v>
      </c>
      <c r="O42" s="22"/>
      <c r="P42" s="22" t="s">
        <v>1127</v>
      </c>
      <c r="Q42" s="22" t="s">
        <v>1126</v>
      </c>
      <c r="R42" s="22" t="s">
        <v>1127</v>
      </c>
      <c r="S42" s="22" t="s">
        <v>1127</v>
      </c>
      <c r="T42" s="35" t="str">
        <f>IFERROR((Table1[[#This Row],[2019 Total Scope 1, 2 + 3]])/Table1[[#This Row],[2018 Total Scope 1, 2 + Scope 3]]-1,"NA")</f>
        <v>#ERROR!</v>
      </c>
      <c r="U42" s="22"/>
      <c r="V42" s="50">
        <v>9395000.0</v>
      </c>
      <c r="W42" s="50">
        <v>6103000.0</v>
      </c>
      <c r="X42" s="50">
        <f>W42-4914000</f>
        <v>1189000</v>
      </c>
      <c r="Y42" s="50">
        <f t="shared" si="1"/>
        <v>14309000</v>
      </c>
      <c r="Z42" s="50">
        <v>1.80732E8</v>
      </c>
      <c r="AA42" s="50">
        <f t="shared" si="2"/>
        <v>195041000</v>
      </c>
      <c r="AB42" s="50">
        <v>9526000.0</v>
      </c>
      <c r="AC42" s="50">
        <v>6120000.0</v>
      </c>
      <c r="AD42" s="50">
        <f>AC42-4817000</f>
        <v>1303000</v>
      </c>
      <c r="AE42" s="50">
        <f t="shared" si="3"/>
        <v>14343000</v>
      </c>
      <c r="AF42" s="50">
        <v>1.97376E8</v>
      </c>
      <c r="AG42" s="50">
        <f t="shared" si="4"/>
        <v>211719000</v>
      </c>
      <c r="AH42" s="50">
        <v>1.02E7</v>
      </c>
      <c r="AI42" s="50">
        <v>6521000.0</v>
      </c>
      <c r="AJ42" s="50">
        <f>AI42-5037000</f>
        <v>1484000</v>
      </c>
      <c r="AK42" s="50">
        <f t="shared" si="5"/>
        <v>15237000</v>
      </c>
      <c r="AL42" s="50">
        <v>1.9522E8</v>
      </c>
      <c r="AM42" s="50">
        <f t="shared" si="6"/>
        <v>210457000</v>
      </c>
      <c r="AN42" s="50" t="s">
        <v>1130</v>
      </c>
      <c r="AO42" s="50" t="s">
        <v>1130</v>
      </c>
      <c r="AP42" s="50"/>
      <c r="AQ42" s="50" t="str">
        <f t="shared" si="7"/>
        <v/>
      </c>
      <c r="AR42" s="50" t="s">
        <v>1130</v>
      </c>
      <c r="AS42" s="50" t="str">
        <f t="shared" si="8"/>
        <v/>
      </c>
      <c r="AT42" s="50" t="s">
        <v>1130</v>
      </c>
      <c r="AU42" s="50" t="s">
        <v>1130</v>
      </c>
      <c r="AV42" s="50"/>
      <c r="AW42" s="50" t="str">
        <f t="shared" si="9"/>
        <v/>
      </c>
      <c r="AX42" s="50" t="s">
        <v>1130</v>
      </c>
      <c r="AY42" s="50" t="str">
        <f t="shared" si="10"/>
        <v/>
      </c>
      <c r="AZ42" s="22" t="s">
        <v>1126</v>
      </c>
      <c r="BA42" s="51" t="s">
        <v>1197</v>
      </c>
      <c r="BD42" s="52" t="s">
        <v>1148</v>
      </c>
    </row>
    <row r="43" ht="12.75" customHeight="1">
      <c r="A43" s="22" t="s">
        <v>254</v>
      </c>
      <c r="B43" s="22" t="s">
        <v>254</v>
      </c>
      <c r="C43" s="22" t="s">
        <v>914</v>
      </c>
      <c r="D43" s="22" t="s">
        <v>1171</v>
      </c>
      <c r="E43" s="46">
        <v>2.64938E11</v>
      </c>
      <c r="F43" s="46" t="str">
        <f>IF(ISNUMBER(Table1[[#This Row],[2019 Scope 3 ]]),IF(Table1[[#This Row],[Net Earnings/Income (2019)]]-k_cost*Table1[[#This Row],[2019 Total Scope 1, 2 + 3]]&lt;0,"Y","N"),"NA")</f>
        <v>#ERROR!</v>
      </c>
      <c r="G43" s="47" t="str">
        <f>IF(ISNUMBER(Table1[[#This Row],[2019 Scope 3 ]]),IF(k_cost*Table1[[#This Row],[2019 Total Scope 1, 2 + 3]]/Table1[[#This Row],[Size (2019 Revenue)]]&gt;k_rev_max,"Y","N"),"NA")</f>
        <v>#ERROR!</v>
      </c>
      <c r="H43" s="47" t="str">
        <f>IF(OR(Table1[[#This Row],[Net earnings post carbon price @85/t]]="Y",Table1[[#This Row],[Carbon costs in % revenue]] = "Y"),"Y",IF(OR(Table1[[#This Row],[Net earnings post carbon price @85/t]]="NA",Table1[[#This Row],[Carbon costs in % revenue]]="NA"),"NA","N"))</f>
        <v>#ERROR!</v>
      </c>
      <c r="I43" s="46">
        <v>1.434E10</v>
      </c>
      <c r="J43" s="48">
        <v>1870.0</v>
      </c>
      <c r="K43" s="13" t="s">
        <v>1126</v>
      </c>
      <c r="L43" s="22" t="s">
        <v>1127</v>
      </c>
      <c r="M43" s="22" t="s">
        <v>1127</v>
      </c>
      <c r="N43" s="22"/>
      <c r="O43" s="22"/>
      <c r="P43" s="22" t="s">
        <v>1127</v>
      </c>
      <c r="Q43" s="22" t="s">
        <v>1127</v>
      </c>
      <c r="R43" s="22" t="s">
        <v>1127</v>
      </c>
      <c r="S43" s="22" t="s">
        <v>1127</v>
      </c>
      <c r="T43" s="35" t="str">
        <f>IFERROR((Table1[[#This Row],[2019 Total Scope 1, 2 + 3]])/Table1[[#This Row],[2018 Total Scope 1, 2 + Scope 3]]-1,"NA")</f>
        <v>#ERROR!</v>
      </c>
      <c r="U43" s="22"/>
      <c r="V43" s="50" t="s">
        <v>1130</v>
      </c>
      <c r="W43" s="50" t="s">
        <v>1130</v>
      </c>
      <c r="X43" s="50"/>
      <c r="Y43" s="50" t="str">
        <f t="shared" si="1"/>
        <v/>
      </c>
      <c r="Z43" s="50" t="s">
        <v>1130</v>
      </c>
      <c r="AA43" s="50" t="str">
        <f t="shared" si="2"/>
        <v/>
      </c>
      <c r="AB43" s="50">
        <v>1.16E8</v>
      </c>
      <c r="AC43" s="50">
        <v>8000000.0</v>
      </c>
      <c r="AD43" s="50">
        <v>0.0</v>
      </c>
      <c r="AE43" s="50">
        <f t="shared" si="3"/>
        <v>124000000</v>
      </c>
      <c r="AF43" s="50" t="s">
        <v>1130</v>
      </c>
      <c r="AG43" s="50" t="str">
        <f t="shared" si="4"/>
        <v/>
      </c>
      <c r="AH43" s="50">
        <v>1.15E8</v>
      </c>
      <c r="AI43" s="50">
        <v>8000000.0</v>
      </c>
      <c r="AJ43" s="50">
        <v>0.0</v>
      </c>
      <c r="AK43" s="50">
        <f t="shared" si="5"/>
        <v>123000000</v>
      </c>
      <c r="AL43" s="50" t="s">
        <v>1130</v>
      </c>
      <c r="AM43" s="50" t="str">
        <f t="shared" si="6"/>
        <v/>
      </c>
      <c r="AN43" s="50" t="s">
        <v>1130</v>
      </c>
      <c r="AO43" s="50" t="s">
        <v>1130</v>
      </c>
      <c r="AP43" s="50"/>
      <c r="AQ43" s="50">
        <v>1.25E8</v>
      </c>
      <c r="AR43" s="50" t="s">
        <v>1130</v>
      </c>
      <c r="AS43" s="50" t="str">
        <f t="shared" si="8"/>
        <v/>
      </c>
      <c r="AT43" s="50" t="s">
        <v>1130</v>
      </c>
      <c r="AU43" s="50" t="s">
        <v>1130</v>
      </c>
      <c r="AV43" s="50"/>
      <c r="AW43" s="50">
        <v>1.22E8</v>
      </c>
      <c r="AX43" s="50" t="s">
        <v>1130</v>
      </c>
      <c r="AY43" s="50" t="str">
        <f t="shared" si="10"/>
        <v/>
      </c>
      <c r="AZ43" s="22" t="s">
        <v>1126</v>
      </c>
      <c r="BA43" s="51" t="s">
        <v>1198</v>
      </c>
      <c r="BD43" s="52"/>
    </row>
    <row r="44" ht="12.75" customHeight="1">
      <c r="A44" s="22" t="s">
        <v>256</v>
      </c>
      <c r="B44" s="22" t="s">
        <v>257</v>
      </c>
      <c r="C44" s="22" t="s">
        <v>855</v>
      </c>
      <c r="D44" s="22" t="s">
        <v>1139</v>
      </c>
      <c r="E44" s="46">
        <v>7.0697E10</v>
      </c>
      <c r="F44" s="46" t="str">
        <f>IF(ISNUMBER(Table1[[#This Row],[2019 Scope 3 ]]),IF(Table1[[#This Row],[Net Earnings/Income (2019)]]-k_cost*Table1[[#This Row],[2019 Total Scope 1, 2 + 3]]&lt;0,"Y","N"),"NA")</f>
        <v>#ERROR!</v>
      </c>
      <c r="G44" s="47" t="str">
        <f>IF(ISNUMBER(Table1[[#This Row],[2019 Scope 3 ]]),IF(k_cost*Table1[[#This Row],[2019 Total Scope 1, 2 + 3]]/Table1[[#This Row],[Size (2019 Revenue)]]&gt;k_rev_max,"Y","N"),"NA")</f>
        <v>#ERROR!</v>
      </c>
      <c r="H44" s="47" t="str">
        <f>IF(OR(Table1[[#This Row],[Net earnings post carbon price @85/t]]="Y",Table1[[#This Row],[Carbon costs in % revenue]] = "Y"),"Y",IF(OR(Table1[[#This Row],[Net earnings post carbon price @85/t]]="NA",Table1[[#This Row],[Carbon costs in % revenue]]="NA"),"NA","N"))</f>
        <v>#ERROR!</v>
      </c>
      <c r="I44" s="46">
        <v>1.8485E10</v>
      </c>
      <c r="J44" s="48">
        <v>2012.0</v>
      </c>
      <c r="K44" s="46" t="s">
        <v>1126</v>
      </c>
      <c r="L44" s="22" t="s">
        <v>1126</v>
      </c>
      <c r="M44" s="22" t="s">
        <v>1126</v>
      </c>
      <c r="N44" s="13">
        <v>2030.0</v>
      </c>
      <c r="O44" s="13">
        <v>2020.0</v>
      </c>
      <c r="P44" s="22" t="s">
        <v>1127</v>
      </c>
      <c r="Q44" s="22" t="s">
        <v>1126</v>
      </c>
      <c r="R44" s="13" t="s">
        <v>1126</v>
      </c>
      <c r="S44" s="13">
        <v>2020.0</v>
      </c>
      <c r="T44" s="35" t="str">
        <f>IFERROR((Table1[[#This Row],[2019 Total Scope 1, 2 + 3]])/Table1[[#This Row],[2018 Total Scope 1, 2 + Scope 3]]-1,"NA")</f>
        <v>#ERROR!</v>
      </c>
      <c r="V44" s="50">
        <v>207000.0</v>
      </c>
      <c r="W44" s="50">
        <v>44000.0</v>
      </c>
      <c r="X44" s="50">
        <v>0.0</v>
      </c>
      <c r="Y44" s="50">
        <f t="shared" si="1"/>
        <v>251000</v>
      </c>
      <c r="Z44" s="50" t="s">
        <v>1130</v>
      </c>
      <c r="AA44" s="50" t="str">
        <f t="shared" si="2"/>
        <v/>
      </c>
      <c r="AB44" s="50">
        <v>314000.0</v>
      </c>
      <c r="AC44" s="50">
        <v>42000.0</v>
      </c>
      <c r="AD44" s="50">
        <v>0.0</v>
      </c>
      <c r="AE44" s="50">
        <f t="shared" si="3"/>
        <v>356000</v>
      </c>
      <c r="AF44" s="50" t="s">
        <v>1130</v>
      </c>
      <c r="AG44" s="50" t="str">
        <f t="shared" si="4"/>
        <v/>
      </c>
      <c r="AH44" s="50">
        <v>568000.0</v>
      </c>
      <c r="AI44" s="50">
        <v>48800.0</v>
      </c>
      <c r="AJ44" s="50">
        <v>0.0</v>
      </c>
      <c r="AK44" s="50">
        <f t="shared" si="5"/>
        <v>616800</v>
      </c>
      <c r="AL44" s="50" t="s">
        <v>1130</v>
      </c>
      <c r="AM44" s="50" t="str">
        <f t="shared" si="6"/>
        <v/>
      </c>
      <c r="AN44" s="50">
        <v>516000.0</v>
      </c>
      <c r="AO44" s="50">
        <v>39000.0</v>
      </c>
      <c r="AP44" s="50">
        <v>0.0</v>
      </c>
      <c r="AQ44" s="50">
        <f t="shared" ref="AQ44:AQ70" si="11">IFERROR(AN44+AO44-AP44,"")</f>
        <v>555000</v>
      </c>
      <c r="AR44" s="50" t="s">
        <v>1130</v>
      </c>
      <c r="AS44" s="50" t="str">
        <f t="shared" si="8"/>
        <v/>
      </c>
      <c r="AT44" s="50">
        <v>423000.0</v>
      </c>
      <c r="AU44" s="50">
        <v>28000.0</v>
      </c>
      <c r="AV44" s="50">
        <v>0.0</v>
      </c>
      <c r="AW44" s="50">
        <f t="shared" ref="AW44:AW101" si="12">IFERROR(AT44+AU44-AV44,"")</f>
        <v>451000</v>
      </c>
      <c r="AX44" s="50" t="s">
        <v>1130</v>
      </c>
      <c r="AY44" s="50" t="str">
        <f t="shared" si="10"/>
        <v/>
      </c>
      <c r="AZ44" s="22" t="s">
        <v>1126</v>
      </c>
      <c r="BA44" s="51" t="s">
        <v>1199</v>
      </c>
      <c r="BD44" s="52"/>
    </row>
    <row r="45" ht="12.75" customHeight="1">
      <c r="A45" s="22" t="s">
        <v>259</v>
      </c>
      <c r="B45" s="22" t="s">
        <v>259</v>
      </c>
      <c r="C45" s="22" t="s">
        <v>822</v>
      </c>
      <c r="D45" s="22" t="s">
        <v>1200</v>
      </c>
      <c r="E45" s="46">
        <v>6.9693E10</v>
      </c>
      <c r="F45" s="46" t="str">
        <f>IF(ISNUMBER(Table1[[#This Row],[2019 Scope 3 ]]),IF(Table1[[#This Row],[Net Earnings/Income (2019)]]-k_cost*Table1[[#This Row],[2019 Total Scope 1, 2 + 3]]&lt;0,"Y","N"),"NA")</f>
        <v>#ERROR!</v>
      </c>
      <c r="G45" s="47" t="str">
        <f>IF(ISNUMBER(Table1[[#This Row],[2019 Scope 3 ]]),IF(k_cost*Table1[[#This Row],[2019 Total Scope 1, 2 + 3]]/Table1[[#This Row],[Size (2019 Revenue)]]&gt;k_rev_max,"Y","N"),"NA")</f>
        <v>#ERROR!</v>
      </c>
      <c r="H45" s="47" t="str">
        <f>IF(OR(Table1[[#This Row],[Net earnings post carbon price @85/t]]="Y",Table1[[#This Row],[Carbon costs in % revenue]] = "Y"),"Y",IF(OR(Table1[[#This Row],[Net earnings post carbon price @85/t]]="NA",Table1[[#This Row],[Carbon costs in % revenue]]="NA"),"NA","N"))</f>
        <v>#ERROR!</v>
      </c>
      <c r="I45" s="46">
        <v>5.4E8</v>
      </c>
      <c r="J45" s="48">
        <v>1971.0</v>
      </c>
      <c r="K45" s="46" t="s">
        <v>1126</v>
      </c>
      <c r="L45" s="22" t="s">
        <v>1127</v>
      </c>
      <c r="M45" s="22" t="s">
        <v>1127</v>
      </c>
      <c r="P45" s="13" t="s">
        <v>1127</v>
      </c>
      <c r="Q45" s="13" t="s">
        <v>1127</v>
      </c>
      <c r="R45" s="13" t="s">
        <v>1127</v>
      </c>
      <c r="S45" s="13" t="s">
        <v>1127</v>
      </c>
      <c r="T45" s="35" t="str">
        <f>IFERROR((Table1[[#This Row],[2019 Total Scope 1, 2 + 3]])/Table1[[#This Row],[2018 Total Scope 1, 2 + Scope 3]]-1,"NA")</f>
        <v>#ERROR!</v>
      </c>
      <c r="V45" s="50">
        <v>1.5406173E7</v>
      </c>
      <c r="W45" s="50">
        <v>995988.0</v>
      </c>
      <c r="X45" s="50">
        <v>0.0</v>
      </c>
      <c r="Y45" s="50">
        <f t="shared" si="1"/>
        <v>16402161</v>
      </c>
      <c r="Z45" s="50">
        <v>3099293.0</v>
      </c>
      <c r="AA45" s="50">
        <f t="shared" si="2"/>
        <v>19501454</v>
      </c>
      <c r="AB45" s="50">
        <v>1.5152383E7</v>
      </c>
      <c r="AC45" s="50">
        <v>1049987.0</v>
      </c>
      <c r="AD45" s="50">
        <v>0.0</v>
      </c>
      <c r="AE45" s="50">
        <f t="shared" si="3"/>
        <v>16202370</v>
      </c>
      <c r="AF45" s="50">
        <v>2820965.0</v>
      </c>
      <c r="AG45" s="50">
        <f t="shared" si="4"/>
        <v>19023335</v>
      </c>
      <c r="AH45" s="50">
        <v>1.4053599E7</v>
      </c>
      <c r="AI45" s="50">
        <v>1094109.0</v>
      </c>
      <c r="AJ45" s="50">
        <v>0.0</v>
      </c>
      <c r="AK45" s="50">
        <f t="shared" si="5"/>
        <v>15147708</v>
      </c>
      <c r="AL45" s="50">
        <v>2642415.0</v>
      </c>
      <c r="AM45" s="50">
        <f t="shared" si="6"/>
        <v>17790123</v>
      </c>
      <c r="AN45" s="50">
        <v>1.3759865E7</v>
      </c>
      <c r="AO45" s="50">
        <v>958526.0</v>
      </c>
      <c r="AP45" s="50"/>
      <c r="AQ45" s="50">
        <f t="shared" si="11"/>
        <v>14718391</v>
      </c>
      <c r="AR45" s="50">
        <f>2150216+63944+186515</f>
        <v>2400675</v>
      </c>
      <c r="AS45" s="50">
        <f t="shared" si="8"/>
        <v>17119066</v>
      </c>
      <c r="AT45" s="50">
        <v>1.3751187E7</v>
      </c>
      <c r="AU45" s="50">
        <v>970981.0</v>
      </c>
      <c r="AV45" s="50"/>
      <c r="AW45" s="50">
        <f t="shared" si="12"/>
        <v>14722168</v>
      </c>
      <c r="AX45" s="50">
        <f>2023432+50897</f>
        <v>2074329</v>
      </c>
      <c r="AY45" s="50">
        <f t="shared" si="10"/>
        <v>16796497</v>
      </c>
      <c r="AZ45" s="22" t="s">
        <v>1126</v>
      </c>
      <c r="BA45" s="51" t="s">
        <v>1201</v>
      </c>
      <c r="BB45" s="57" t="s">
        <v>1202</v>
      </c>
      <c r="BD45" s="52"/>
    </row>
    <row r="46" ht="12.75" customHeight="1">
      <c r="A46" s="22" t="s">
        <v>264</v>
      </c>
      <c r="B46" s="22" t="s">
        <v>265</v>
      </c>
      <c r="C46" s="22" t="s">
        <v>950</v>
      </c>
      <c r="D46" s="22" t="s">
        <v>1203</v>
      </c>
      <c r="E46" s="46">
        <v>1.559E11</v>
      </c>
      <c r="F46" s="46" t="str">
        <f>IF(ISNUMBER(Table1[[#This Row],[2019 Scope 3 ]]),IF(Table1[[#This Row],[Net Earnings/Income (2019)]]-k_cost*Table1[[#This Row],[2019 Total Scope 1, 2 + 3]]&lt;0,"Y","N"),"NA")</f>
        <v>#ERROR!</v>
      </c>
      <c r="G46" s="47" t="str">
        <f>IF(ISNUMBER(Table1[[#This Row],[2019 Scope 3 ]]),IF(k_cost*Table1[[#This Row],[2019 Total Scope 1, 2 + 3]]/Table1[[#This Row],[Size (2019 Revenue)]]&gt;k_rev_max,"Y","N"),"NA")</f>
        <v>#ERROR!</v>
      </c>
      <c r="H46" s="47" t="str">
        <f>IF(OR(Table1[[#This Row],[Net earnings post carbon price @85/t]]="Y",Table1[[#This Row],[Carbon costs in % revenue]] = "Y"),"Y",IF(OR(Table1[[#This Row],[Net earnings post carbon price @85/t]]="NA",Table1[[#This Row],[Carbon costs in % revenue]]="NA"),"NA","N"))</f>
        <v>#ERROR!</v>
      </c>
      <c r="I46" s="46">
        <v>4.7E7</v>
      </c>
      <c r="J46" s="48">
        <v>1956.0</v>
      </c>
      <c r="K46" s="46" t="s">
        <v>1126</v>
      </c>
      <c r="L46" s="13" t="s">
        <v>1126</v>
      </c>
      <c r="M46" s="22" t="s">
        <v>1127</v>
      </c>
      <c r="N46" s="13">
        <v>2050.0</v>
      </c>
      <c r="O46" s="13">
        <v>2020.0</v>
      </c>
      <c r="P46" s="13" t="s">
        <v>1127</v>
      </c>
      <c r="Q46" s="13" t="s">
        <v>1127</v>
      </c>
      <c r="R46" s="13" t="s">
        <v>1126</v>
      </c>
      <c r="S46" s="13">
        <v>2035.0</v>
      </c>
      <c r="T46" s="35" t="str">
        <f>IFERROR((Table1[[#This Row],[2019 Total Scope 1, 2 + 3]])/Table1[[#This Row],[2018 Total Scope 1, 2 + Scope 3]]-1,"NA")</f>
        <v>#ERROR!</v>
      </c>
      <c r="V46" s="50">
        <v>1451947.0</v>
      </c>
      <c r="W46" s="50">
        <v>3068182.0</v>
      </c>
      <c r="X46" s="50"/>
      <c r="Y46" s="50">
        <f t="shared" si="1"/>
        <v>4520129</v>
      </c>
      <c r="Z46" s="50">
        <f>39676648+1280384+1066000+2102900+9297+61306+803387+134760000+1360000+1957800</f>
        <v>183077722</v>
      </c>
      <c r="AA46" s="50">
        <f t="shared" si="2"/>
        <v>187597851</v>
      </c>
      <c r="AB46" s="50">
        <v>1442963.0</v>
      </c>
      <c r="AC46" s="50">
        <v>3349808.0</v>
      </c>
      <c r="AD46" s="50">
        <v>0.0</v>
      </c>
      <c r="AE46" s="50">
        <f t="shared" si="3"/>
        <v>4792771</v>
      </c>
      <c r="AF46" s="50">
        <v>1.34409771E8</v>
      </c>
      <c r="AG46" s="50">
        <f t="shared" si="4"/>
        <v>139202542</v>
      </c>
      <c r="AH46" s="50">
        <v>1389740.0</v>
      </c>
      <c r="AI46" s="50">
        <v>3482444.0</v>
      </c>
      <c r="AJ46" s="50">
        <v>0.0</v>
      </c>
      <c r="AK46" s="50">
        <f t="shared" si="5"/>
        <v>4872184</v>
      </c>
      <c r="AL46" s="50" t="s">
        <v>1130</v>
      </c>
      <c r="AM46" s="50" t="str">
        <f t="shared" si="6"/>
        <v/>
      </c>
      <c r="AN46" s="50">
        <v>1304409.0</v>
      </c>
      <c r="AO46" s="50">
        <v>3312936.0</v>
      </c>
      <c r="AP46" s="50"/>
      <c r="AQ46" s="50">
        <f t="shared" si="11"/>
        <v>4617345</v>
      </c>
      <c r="AR46" s="50">
        <f>13133594+2413+1502980+22295+57192+651750+665461+131000000</f>
        <v>147035685</v>
      </c>
      <c r="AS46" s="50">
        <f t="shared" si="8"/>
        <v>151653030</v>
      </c>
      <c r="AT46" s="50" t="s">
        <v>1130</v>
      </c>
      <c r="AU46" s="50" t="s">
        <v>1130</v>
      </c>
      <c r="AV46" s="50"/>
      <c r="AW46" s="50" t="str">
        <f t="shared" si="12"/>
        <v/>
      </c>
      <c r="AX46" s="50" t="s">
        <v>1130</v>
      </c>
      <c r="AY46" s="50" t="str">
        <f t="shared" si="10"/>
        <v/>
      </c>
      <c r="AZ46" s="57" t="s">
        <v>1204</v>
      </c>
      <c r="BA46" s="51" t="s">
        <v>1205</v>
      </c>
      <c r="BD46" s="52"/>
    </row>
    <row r="47" ht="12.75" customHeight="1">
      <c r="A47" s="22" t="s">
        <v>270</v>
      </c>
      <c r="B47" s="22" t="s">
        <v>270</v>
      </c>
      <c r="C47" s="22" t="s">
        <v>822</v>
      </c>
      <c r="D47" s="13" t="s">
        <v>822</v>
      </c>
      <c r="E47" s="46">
        <v>3.935E10</v>
      </c>
      <c r="F47" s="46" t="str">
        <f>IF(ISNUMBER(Table1[[#This Row],[2019 Scope 3 ]]),IF(Table1[[#This Row],[Net Earnings/Income (2019)]]-k_cost*Table1[[#This Row],[2019 Total Scope 1, 2 + 3]]&lt;0,"Y","N"),"NA")</f>
        <v>#ERROR!</v>
      </c>
      <c r="G47" s="47" t="str">
        <f>IF(ISNUMBER(Table1[[#This Row],[2019 Scope 3 ]]),IF(k_cost*Table1[[#This Row],[2019 Total Scope 1, 2 + 3]]/Table1[[#This Row],[Size (2019 Revenue)]]&gt;k_rev_max,"Y","N"),"NA")</f>
        <v>#ERROR!</v>
      </c>
      <c r="H47" s="47" t="str">
        <f>IF(OR(Table1[[#This Row],[Net earnings post carbon price @85/t]]="Y",Table1[[#This Row],[Carbon costs in % revenue]] = "Y"),"Y",IF(OR(Table1[[#This Row],[Net earnings post carbon price @85/t]]="NA",Table1[[#This Row],[Carbon costs in % revenue]]="NA"),"NA","N"))</f>
        <v>#ERROR!</v>
      </c>
      <c r="I47" s="46">
        <v>3.484E9</v>
      </c>
      <c r="J47" s="48">
        <v>1899.0</v>
      </c>
      <c r="K47" s="46" t="s">
        <v>1126</v>
      </c>
      <c r="L47" s="13" t="s">
        <v>1127</v>
      </c>
      <c r="M47" s="22" t="s">
        <v>1127</v>
      </c>
      <c r="N47" s="22"/>
      <c r="O47" s="22"/>
      <c r="P47" s="22" t="s">
        <v>1127</v>
      </c>
      <c r="Q47" s="22" t="s">
        <v>1127</v>
      </c>
      <c r="R47" s="22" t="s">
        <v>1127</v>
      </c>
      <c r="S47" s="22" t="s">
        <v>1127</v>
      </c>
      <c r="T47" s="35" t="str">
        <f>IFERROR((Table1[[#This Row],[2019 Total Scope 1, 2 + 3]])/Table1[[#This Row],[2018 Total Scope 1, 2 + Scope 3]]-1,"NA")</f>
        <v>#ERROR!</v>
      </c>
      <c r="U47" s="22"/>
      <c r="V47" s="50">
        <v>317081.0</v>
      </c>
      <c r="W47" s="50">
        <v>445119.0</v>
      </c>
      <c r="X47" s="50"/>
      <c r="Y47" s="50">
        <f t="shared" si="1"/>
        <v>762200</v>
      </c>
      <c r="Z47" s="50" t="s">
        <v>1130</v>
      </c>
      <c r="AA47" s="50" t="str">
        <f t="shared" si="2"/>
        <v/>
      </c>
      <c r="AB47" s="50">
        <v>306430.0</v>
      </c>
      <c r="AC47" s="50">
        <v>487731.0</v>
      </c>
      <c r="AD47" s="50"/>
      <c r="AE47" s="50">
        <f t="shared" si="3"/>
        <v>794161</v>
      </c>
      <c r="AF47" s="50" t="s">
        <v>1130</v>
      </c>
      <c r="AG47" s="50" t="str">
        <f t="shared" si="4"/>
        <v/>
      </c>
      <c r="AH47" s="50">
        <v>305836.0</v>
      </c>
      <c r="AI47" s="50">
        <v>478428.0</v>
      </c>
      <c r="AJ47" s="50"/>
      <c r="AK47" s="50">
        <f t="shared" si="5"/>
        <v>784264</v>
      </c>
      <c r="AL47" s="50" t="s">
        <v>1130</v>
      </c>
      <c r="AM47" s="50" t="str">
        <f t="shared" si="6"/>
        <v/>
      </c>
      <c r="AN47" s="50">
        <v>298276.0</v>
      </c>
      <c r="AO47" s="50">
        <v>523497.0</v>
      </c>
      <c r="AP47" s="50"/>
      <c r="AQ47" s="50">
        <f t="shared" si="11"/>
        <v>821773</v>
      </c>
      <c r="AR47" s="50" t="s">
        <v>1130</v>
      </c>
      <c r="AS47" s="50" t="str">
        <f t="shared" si="8"/>
        <v/>
      </c>
      <c r="AT47" s="50" t="s">
        <v>1130</v>
      </c>
      <c r="AU47" s="50" t="s">
        <v>1130</v>
      </c>
      <c r="AV47" s="50"/>
      <c r="AW47" s="50" t="str">
        <f t="shared" si="12"/>
        <v/>
      </c>
      <c r="AX47" s="50" t="s">
        <v>1130</v>
      </c>
      <c r="AY47" s="50" t="str">
        <f t="shared" si="10"/>
        <v/>
      </c>
      <c r="AZ47" s="22" t="s">
        <v>1127</v>
      </c>
      <c r="BA47" s="51" t="s">
        <v>1206</v>
      </c>
      <c r="BD47" s="52"/>
    </row>
    <row r="48" ht="12.75" customHeight="1">
      <c r="A48" s="22" t="s">
        <v>275</v>
      </c>
      <c r="B48" s="22" t="s">
        <v>276</v>
      </c>
      <c r="C48" s="22" t="s">
        <v>822</v>
      </c>
      <c r="D48" s="22" t="s">
        <v>1168</v>
      </c>
      <c r="E48" s="46">
        <v>9.5214E10</v>
      </c>
      <c r="F48" s="46" t="str">
        <f>IF(ISNUMBER(Table1[[#This Row],[2019 Scope 3 ]]),IF(Table1[[#This Row],[Net Earnings/Income (2019)]]-k_cost*Table1[[#This Row],[2019 Total Scope 1, 2 + 3]]&lt;0,"Y","N"),"NA")</f>
        <v>#ERROR!</v>
      </c>
      <c r="G48" s="47" t="str">
        <f>IF(ISNUMBER(Table1[[#This Row],[2019 Scope 3 ]]),IF(k_cost*Table1[[#This Row],[2019 Total Scope 1, 2 + 3]]/Table1[[#This Row],[Size (2019 Revenue)]]&gt;k_rev_max,"Y","N"),"NA")</f>
        <v>#ERROR!</v>
      </c>
      <c r="H48" s="47" t="str">
        <f>IF(OR(Table1[[#This Row],[Net earnings post carbon price @85/t]]="Y",Table1[[#This Row],[Carbon costs in % revenue]] = "Y"),"Y",IF(OR(Table1[[#This Row],[Net earnings post carbon price @85/t]]="NA",Table1[[#This Row],[Carbon costs in % revenue]]="NA"),"NA","N"))</f>
        <v>#ERROR!</v>
      </c>
      <c r="I48" s="53">
        <v>-5.439E9</v>
      </c>
      <c r="J48" s="48">
        <v>1896.0</v>
      </c>
      <c r="K48" s="46" t="s">
        <v>1126</v>
      </c>
      <c r="L48" s="13" t="s">
        <v>1127</v>
      </c>
      <c r="M48" s="22" t="s">
        <v>1127</v>
      </c>
      <c r="N48" s="22">
        <v>2030.0</v>
      </c>
      <c r="O48" s="22">
        <v>2020.0</v>
      </c>
      <c r="P48" s="22" t="s">
        <v>1127</v>
      </c>
      <c r="Q48" s="22" t="s">
        <v>1127</v>
      </c>
      <c r="R48" s="22" t="s">
        <v>1127</v>
      </c>
      <c r="S48" s="22" t="s">
        <v>1127</v>
      </c>
      <c r="T48" s="35" t="str">
        <f>IFERROR((Table1[[#This Row],[2019 Total Scope 1, 2 + 3]])/Table1[[#This Row],[2018 Total Scope 1, 2 + Scope 3]]-1,"NA")</f>
        <v>#ERROR!</v>
      </c>
      <c r="U48" s="22"/>
      <c r="V48" s="50">
        <v>1000000.0</v>
      </c>
      <c r="W48" s="50">
        <v>1390000.0</v>
      </c>
      <c r="X48" s="50"/>
      <c r="Y48" s="50">
        <f t="shared" si="1"/>
        <v>2390000</v>
      </c>
      <c r="Z48" s="50">
        <v>680000.0</v>
      </c>
      <c r="AA48" s="50">
        <f t="shared" si="2"/>
        <v>3070000</v>
      </c>
      <c r="AB48" s="50">
        <v>1290000.0</v>
      </c>
      <c r="AC48" s="50">
        <v>1510000.0</v>
      </c>
      <c r="AD48" s="50">
        <v>0.0</v>
      </c>
      <c r="AE48" s="50">
        <f t="shared" si="3"/>
        <v>2800000</v>
      </c>
      <c r="AF48" s="50">
        <v>2340000.0</v>
      </c>
      <c r="AG48" s="50">
        <f t="shared" si="4"/>
        <v>5140000</v>
      </c>
      <c r="AH48" s="50">
        <v>1670000.0</v>
      </c>
      <c r="AI48" s="50">
        <v>2110000.0</v>
      </c>
      <c r="AJ48" s="50">
        <v>0.0</v>
      </c>
      <c r="AK48" s="50">
        <f t="shared" si="5"/>
        <v>3780000</v>
      </c>
      <c r="AL48" s="50">
        <v>2790000.0</v>
      </c>
      <c r="AM48" s="50">
        <f t="shared" si="6"/>
        <v>6570000</v>
      </c>
      <c r="AN48" s="50">
        <v>1621000.0</v>
      </c>
      <c r="AO48" s="50">
        <v>2207000.0</v>
      </c>
      <c r="AP48" s="50"/>
      <c r="AQ48" s="50">
        <f t="shared" si="11"/>
        <v>3828000</v>
      </c>
      <c r="AR48" s="50">
        <f>8000000</f>
        <v>8000000</v>
      </c>
      <c r="AS48" s="50">
        <f t="shared" si="8"/>
        <v>11828000</v>
      </c>
      <c r="AT48" s="50">
        <v>1961000.0</v>
      </c>
      <c r="AU48" s="50">
        <v>2572000.0</v>
      </c>
      <c r="AV48" s="50"/>
      <c r="AW48" s="50">
        <f t="shared" si="12"/>
        <v>4533000</v>
      </c>
      <c r="AX48" s="50">
        <f>11500000</f>
        <v>11500000</v>
      </c>
      <c r="AY48" s="50">
        <f t="shared" si="10"/>
        <v>16033000</v>
      </c>
      <c r="AZ48" s="22" t="s">
        <v>1126</v>
      </c>
      <c r="BA48" s="51" t="s">
        <v>1207</v>
      </c>
      <c r="BB48" s="22" t="s">
        <v>1208</v>
      </c>
      <c r="BD48" s="52"/>
    </row>
    <row r="49" ht="12.75" customHeight="1">
      <c r="A49" s="22" t="s">
        <v>281</v>
      </c>
      <c r="B49" s="22" t="s">
        <v>282</v>
      </c>
      <c r="C49" s="22" t="s">
        <v>950</v>
      </c>
      <c r="D49" s="22" t="s">
        <v>1203</v>
      </c>
      <c r="E49" s="46">
        <v>1.37237E11</v>
      </c>
      <c r="F49" s="46" t="str">
        <f>IF(ISNUMBER(Table1[[#This Row],[2019 Scope 3 ]]),IF(Table1[[#This Row],[Net Earnings/Income (2019)]]-k_cost*Table1[[#This Row],[2019 Total Scope 1, 2 + 3]]&lt;0,"Y","N"),"NA")</f>
        <v>#ERROR!</v>
      </c>
      <c r="G49" s="47" t="str">
        <f>IF(ISNUMBER(Table1[[#This Row],[2019 Scope 3 ]]),IF(k_cost*Table1[[#This Row],[2019 Total Scope 1, 2 + 3]]/Table1[[#This Row],[Size (2019 Revenue)]]&gt;k_rev_max,"Y","N"),"NA")</f>
        <v>#ERROR!</v>
      </c>
      <c r="H49" s="47" t="str">
        <f>IF(OR(Table1[[#This Row],[Net earnings post carbon price @85/t]]="Y",Table1[[#This Row],[Carbon costs in % revenue]] = "Y"),"Y",IF(OR(Table1[[#This Row],[Net earnings post carbon price @85/t]]="NA",Table1[[#This Row],[Carbon costs in % revenue]]="NA"),"NA","N"))</f>
        <v>#ERROR!</v>
      </c>
      <c r="I49" s="46">
        <v>6.581E9</v>
      </c>
      <c r="J49" s="48">
        <v>1908.0</v>
      </c>
      <c r="K49" s="46" t="s">
        <v>1126</v>
      </c>
      <c r="L49" s="13" t="s">
        <v>1126</v>
      </c>
      <c r="M49" s="22" t="s">
        <v>1127</v>
      </c>
      <c r="N49" s="13">
        <v>2050.0</v>
      </c>
      <c r="O49" s="13">
        <v>2020.0</v>
      </c>
      <c r="P49" s="22" t="s">
        <v>1127</v>
      </c>
      <c r="Q49" s="22" t="s">
        <v>1127</v>
      </c>
      <c r="R49" s="13" t="s">
        <v>1126</v>
      </c>
      <c r="S49" s="13">
        <v>2040.0</v>
      </c>
      <c r="T49" s="35" t="str">
        <f>IFERROR((Table1[[#This Row],[2019 Total Scope 1, 2 + 3]])/Table1[[#This Row],[2018 Total Scope 1, 2 + Scope 3]]-1,"NA")</f>
        <v>#ERROR!</v>
      </c>
      <c r="V49" s="50">
        <v>1589700.0</v>
      </c>
      <c r="W49" s="50">
        <v>3721875.0</v>
      </c>
      <c r="X49" s="50">
        <v>0.0</v>
      </c>
      <c r="Y49" s="50">
        <f t="shared" si="1"/>
        <v>5311575</v>
      </c>
      <c r="Z49" s="50">
        <v>2.49384317E8</v>
      </c>
      <c r="AA49" s="50">
        <f t="shared" si="2"/>
        <v>254695892</v>
      </c>
      <c r="AB49" s="50">
        <v>1763555.0</v>
      </c>
      <c r="AC49" s="50">
        <v>4322761.0</v>
      </c>
      <c r="AD49" s="50">
        <v>0.0</v>
      </c>
      <c r="AE49" s="50">
        <f t="shared" si="3"/>
        <v>6086316</v>
      </c>
      <c r="AF49" s="50">
        <v>2.64563698E8</v>
      </c>
      <c r="AG49" s="50">
        <f t="shared" si="4"/>
        <v>270650014</v>
      </c>
      <c r="AH49" s="50">
        <v>1848804.0</v>
      </c>
      <c r="AI49" s="50">
        <v>4302887.0</v>
      </c>
      <c r="AJ49" s="50"/>
      <c r="AK49" s="50">
        <f t="shared" si="5"/>
        <v>6151691</v>
      </c>
      <c r="AL49" s="50">
        <v>2.86310319E8</v>
      </c>
      <c r="AM49" s="50">
        <f t="shared" si="6"/>
        <v>292462010</v>
      </c>
      <c r="AN49" s="50">
        <v>1815001.0</v>
      </c>
      <c r="AO49" s="50">
        <v>5095809.0</v>
      </c>
      <c r="AP49" s="50"/>
      <c r="AQ49" s="50">
        <f t="shared" si="11"/>
        <v>6910810</v>
      </c>
      <c r="AR49" s="50">
        <v>3.20911918E8</v>
      </c>
      <c r="AS49" s="50">
        <f t="shared" si="8"/>
        <v>327822728</v>
      </c>
      <c r="AT49" s="50">
        <v>1863495.0</v>
      </c>
      <c r="AU49" s="50">
        <v>4763994.0</v>
      </c>
      <c r="AV49" s="50"/>
      <c r="AW49" s="50">
        <f t="shared" si="12"/>
        <v>6627489</v>
      </c>
      <c r="AX49" s="50" t="s">
        <v>1130</v>
      </c>
      <c r="AY49" s="50" t="str">
        <f t="shared" si="10"/>
        <v/>
      </c>
      <c r="AZ49" s="22" t="s">
        <v>1126</v>
      </c>
      <c r="BD49" s="52"/>
    </row>
    <row r="50" ht="12.75" customHeight="1">
      <c r="A50" s="22" t="s">
        <v>287</v>
      </c>
      <c r="B50" s="22" t="s">
        <v>288</v>
      </c>
      <c r="C50" s="22" t="s">
        <v>829</v>
      </c>
      <c r="D50" s="22" t="s">
        <v>1132</v>
      </c>
      <c r="E50" s="46">
        <v>2.2449E10</v>
      </c>
      <c r="F50" s="46" t="str">
        <f>IF(ISNUMBER(Table1[[#This Row],[2019 Scope 3 ]]),IF(Table1[[#This Row],[Net Earnings/Income (2019)]]-k_cost*Table1[[#This Row],[2019 Total Scope 1, 2 + 3]]&lt;0,"Y","N"),"NA")</f>
        <v>#ERROR!</v>
      </c>
      <c r="G50" s="47" t="str">
        <f>IF(ISNUMBER(Table1[[#This Row],[2019 Scope 3 ]]),IF(k_cost*Table1[[#This Row],[2019 Total Scope 1, 2 + 3]]/Table1[[#This Row],[Size (2019 Revenue)]]&gt;k_rev_max,"Y","N"),"NA")</f>
        <v>#ERROR!</v>
      </c>
      <c r="H50" s="47" t="str">
        <f>IF(OR(Table1[[#This Row],[Net earnings post carbon price @85/t]]="Y",Table1[[#This Row],[Carbon costs in % revenue]] = "Y"),"Y",IF(OR(Table1[[#This Row],[Net earnings post carbon price @85/t]]="NA",Table1[[#This Row],[Carbon costs in % revenue]]="NA"),"NA","N"))</f>
        <v>#ERROR!</v>
      </c>
      <c r="I50" s="46">
        <v>5.386E9</v>
      </c>
      <c r="J50" s="48">
        <v>1992.0</v>
      </c>
      <c r="K50" s="46" t="s">
        <v>1126</v>
      </c>
      <c r="L50" s="13" t="s">
        <v>1127</v>
      </c>
      <c r="M50" s="22" t="s">
        <v>1127</v>
      </c>
      <c r="P50" s="13">
        <v>69620.0</v>
      </c>
      <c r="Q50" s="22" t="s">
        <v>1127</v>
      </c>
      <c r="R50" s="22" t="s">
        <v>1127</v>
      </c>
      <c r="S50" s="22" t="s">
        <v>1127</v>
      </c>
      <c r="T50" s="35" t="str">
        <f>IFERROR((Table1[[#This Row],[2019 Total Scope 1, 2 + 3]])/Table1[[#This Row],[2018 Total Scope 1, 2 + Scope 3]]-1,"NA")</f>
        <v>#ERROR!</v>
      </c>
      <c r="U50" s="22"/>
      <c r="V50" s="50">
        <v>52019.0</v>
      </c>
      <c r="W50" s="50">
        <v>21716.0</v>
      </c>
      <c r="X50" s="50"/>
      <c r="Y50" s="50">
        <f t="shared" si="1"/>
        <v>73735</v>
      </c>
      <c r="Z50" s="50">
        <f>1229479+95700+25250+17003+4810+40399+23656</f>
        <v>1436297</v>
      </c>
      <c r="AA50" s="50">
        <f t="shared" si="2"/>
        <v>1510032</v>
      </c>
      <c r="AB50" s="50">
        <v>47256.0</v>
      </c>
      <c r="AC50" s="50">
        <v>26647.0</v>
      </c>
      <c r="AD50" s="50"/>
      <c r="AE50" s="50">
        <f t="shared" si="3"/>
        <v>73903</v>
      </c>
      <c r="AF50" s="50">
        <f>22519+10881+38186</f>
        <v>71586</v>
      </c>
      <c r="AG50" s="50">
        <f t="shared" si="4"/>
        <v>145489</v>
      </c>
      <c r="AH50" s="50">
        <v>46330.0</v>
      </c>
      <c r="AI50" s="50">
        <v>46217.0</v>
      </c>
      <c r="AJ50" s="50">
        <v>0.0</v>
      </c>
      <c r="AK50" s="50">
        <f t="shared" si="5"/>
        <v>92547</v>
      </c>
      <c r="AL50" s="50">
        <v>33056.0</v>
      </c>
      <c r="AM50" s="50">
        <f t="shared" si="6"/>
        <v>125603</v>
      </c>
      <c r="AN50" s="50">
        <v>44531.0</v>
      </c>
      <c r="AO50" s="50">
        <v>48296.0</v>
      </c>
      <c r="AP50" s="50">
        <v>0.0</v>
      </c>
      <c r="AQ50" s="50">
        <f t="shared" si="11"/>
        <v>92827</v>
      </c>
      <c r="AR50" s="50">
        <v>32003.0</v>
      </c>
      <c r="AS50" s="50">
        <f t="shared" si="8"/>
        <v>124830</v>
      </c>
      <c r="AT50" s="50" t="s">
        <v>1130</v>
      </c>
      <c r="AU50" s="50" t="s">
        <v>1130</v>
      </c>
      <c r="AV50" s="50"/>
      <c r="AW50" s="50" t="str">
        <f t="shared" si="12"/>
        <v/>
      </c>
      <c r="AX50" s="50" t="s">
        <v>1130</v>
      </c>
      <c r="AY50" s="50" t="str">
        <f t="shared" si="10"/>
        <v/>
      </c>
      <c r="AZ50" s="22" t="s">
        <v>1127</v>
      </c>
      <c r="BA50" s="51" t="s">
        <v>1209</v>
      </c>
      <c r="BD50" s="52"/>
    </row>
    <row r="51" ht="12.75" customHeight="1">
      <c r="A51" s="22" t="s">
        <v>293</v>
      </c>
      <c r="B51" s="22" t="s">
        <v>294</v>
      </c>
      <c r="C51" s="22" t="s">
        <v>850</v>
      </c>
      <c r="D51" s="22" t="s">
        <v>1159</v>
      </c>
      <c r="E51" s="46">
        <v>3.6546E10</v>
      </c>
      <c r="F51" s="46" t="str">
        <f>IF(ISNUMBER(Table1[[#This Row],[2019 Scope 3 ]]),IF(Table1[[#This Row],[Net Earnings/Income (2019)]]-k_cost*Table1[[#This Row],[2019 Total Scope 1, 2 + 3]]&lt;0,"Y","N"),"NA")</f>
        <v>#ERROR!</v>
      </c>
      <c r="G51" s="47" t="str">
        <f>IF(ISNUMBER(Table1[[#This Row],[2019 Scope 3 ]]),IF(k_cost*Table1[[#This Row],[2019 Total Scope 1, 2 + 3]]/Table1[[#This Row],[Size (2019 Revenue)]]&gt;k_rev_max,"Y","N"),"NA")</f>
        <v>#ERROR!</v>
      </c>
      <c r="H51" s="47" t="str">
        <f>IF(OR(Table1[[#This Row],[Net earnings post carbon price @85/t]]="Y",Table1[[#This Row],[Carbon costs in % revenue]] = "Y"),"Y",IF(OR(Table1[[#This Row],[Net earnings post carbon price @85/t]]="NA",Table1[[#This Row],[Carbon costs in % revenue]]="NA"),"NA","N"))</f>
        <v>#ERROR!</v>
      </c>
      <c r="I51" s="46">
        <v>8.47E9</v>
      </c>
      <c r="J51" s="48">
        <v>1999.0</v>
      </c>
      <c r="K51" s="46" t="s">
        <v>1126</v>
      </c>
      <c r="L51" s="13" t="s">
        <v>1126</v>
      </c>
      <c r="M51" s="13" t="s">
        <v>1127</v>
      </c>
      <c r="N51" s="13">
        <v>2015.0</v>
      </c>
      <c r="O51" s="13">
        <v>2009.0</v>
      </c>
      <c r="Q51" s="13" t="s">
        <v>1126</v>
      </c>
      <c r="R51" s="13" t="s">
        <v>1126</v>
      </c>
      <c r="S51" s="13">
        <v>2020.0</v>
      </c>
      <c r="T51" s="35" t="str">
        <f>IFERROR((Table1[[#This Row],[2019 Total Scope 1, 2 + 3]])/Table1[[#This Row],[2018 Total Scope 1, 2 + Scope 3]]-1,"NA")</f>
        <v>#ERROR!</v>
      </c>
      <c r="V51" s="50">
        <v>12673.0</v>
      </c>
      <c r="W51" s="50">
        <v>9109.0</v>
      </c>
      <c r="X51" s="50">
        <v>0.0</v>
      </c>
      <c r="Y51" s="50">
        <f t="shared" si="1"/>
        <v>21782</v>
      </c>
      <c r="Z51" s="50">
        <v>135473.0</v>
      </c>
      <c r="AA51" s="50">
        <f t="shared" si="2"/>
        <v>157255</v>
      </c>
      <c r="AB51" s="50">
        <v>11565.0</v>
      </c>
      <c r="AC51" s="50">
        <v>16284.0</v>
      </c>
      <c r="AD51" s="50"/>
      <c r="AE51" s="50">
        <f t="shared" si="3"/>
        <v>27849</v>
      </c>
      <c r="AF51" s="50">
        <v>139893.0</v>
      </c>
      <c r="AG51" s="50">
        <f t="shared" si="4"/>
        <v>167742</v>
      </c>
      <c r="AH51" s="50">
        <v>11231.0</v>
      </c>
      <c r="AI51" s="50">
        <v>18410.0</v>
      </c>
      <c r="AJ51" s="50"/>
      <c r="AK51" s="50">
        <f t="shared" si="5"/>
        <v>29641</v>
      </c>
      <c r="AL51" s="50">
        <v>120001.0</v>
      </c>
      <c r="AM51" s="50">
        <f t="shared" si="6"/>
        <v>149642</v>
      </c>
      <c r="AN51" s="50">
        <v>11520.0</v>
      </c>
      <c r="AO51" s="50">
        <v>34179.0</v>
      </c>
      <c r="AP51" s="50"/>
      <c r="AQ51" s="50">
        <f t="shared" si="11"/>
        <v>45699</v>
      </c>
      <c r="AR51" s="50">
        <v>102266.0</v>
      </c>
      <c r="AS51" s="50">
        <f t="shared" si="8"/>
        <v>147965</v>
      </c>
      <c r="AT51" s="50">
        <v>11900.0</v>
      </c>
      <c r="AU51" s="50">
        <v>51690.0</v>
      </c>
      <c r="AV51" s="50"/>
      <c r="AW51" s="50">
        <f t="shared" si="12"/>
        <v>63590</v>
      </c>
      <c r="AX51" s="50">
        <v>148918.0</v>
      </c>
      <c r="AY51" s="50">
        <f t="shared" si="10"/>
        <v>212508</v>
      </c>
      <c r="AZ51" s="57" t="s">
        <v>1126</v>
      </c>
      <c r="BA51" s="51" t="s">
        <v>1210</v>
      </c>
      <c r="BB51" s="22" t="s">
        <v>1208</v>
      </c>
      <c r="BC51" s="57" t="s">
        <v>1211</v>
      </c>
      <c r="BD51" s="52"/>
    </row>
    <row r="52" ht="12.75" customHeight="1">
      <c r="A52" s="22" t="s">
        <v>299</v>
      </c>
      <c r="B52" s="22" t="s">
        <v>299</v>
      </c>
      <c r="C52" s="22" t="s">
        <v>950</v>
      </c>
      <c r="D52" s="22" t="s">
        <v>923</v>
      </c>
      <c r="E52" s="53">
        <v>1.102E11</v>
      </c>
      <c r="F52" s="46" t="str">
        <f>IF(ISNUMBER(Table1[[#This Row],[2019 Scope 3 ]]),IF(Table1[[#This Row],[Net Earnings/Income (2019)]]-k_cost*Table1[[#This Row],[2019 Total Scope 1, 2 + 3]]&lt;0,"Y","N"),"NA")</f>
        <v>#ERROR!</v>
      </c>
      <c r="G52" s="47" t="str">
        <f>IF(ISNUMBER(Table1[[#This Row],[2019 Scope 3 ]]),IF(k_cost*Table1[[#This Row],[2019 Total Scope 1, 2 + 3]]/Table1[[#This Row],[Size (2019 Revenue)]]&gt;k_rev_max,"Y","N"),"NA")</f>
        <v>#ERROR!</v>
      </c>
      <c r="H52" s="47" t="str">
        <f>IF(OR(Table1[[#This Row],[Net earnings post carbon price @85/t]]="Y",Table1[[#This Row],[Carbon costs in % revenue]] = "Y"),"Y",IF(OR(Table1[[#This Row],[Net earnings post carbon price @85/t]]="NA",Table1[[#This Row],[Carbon costs in % revenue]]="NA"),"NA","N"))</f>
        <v>#ERROR!</v>
      </c>
      <c r="I52" s="53">
        <v>1.124E10</v>
      </c>
      <c r="J52" s="48">
        <v>1981.0</v>
      </c>
      <c r="K52" s="13" t="s">
        <v>1126</v>
      </c>
      <c r="L52" s="13" t="s">
        <v>1127</v>
      </c>
      <c r="M52" s="57" t="s">
        <v>1127</v>
      </c>
      <c r="P52" s="57" t="s">
        <v>1212</v>
      </c>
      <c r="Q52" s="13" t="s">
        <v>1127</v>
      </c>
      <c r="R52" s="13" t="s">
        <v>1127</v>
      </c>
      <c r="S52" s="22" t="s">
        <v>1127</v>
      </c>
      <c r="T52" s="35" t="str">
        <f>IFERROR((Table1[[#This Row],[2019 Total Scope 1, 2 + 3]])/Table1[[#This Row],[2018 Total Scope 1, 2 + Scope 3]]-1,"NA")</f>
        <v>#ERROR!</v>
      </c>
      <c r="U52" s="22"/>
      <c r="V52" s="50">
        <v>554317.0</v>
      </c>
      <c r="W52" s="50">
        <v>1302648.0</v>
      </c>
      <c r="X52" s="50"/>
      <c r="Y52" s="50">
        <f t="shared" si="1"/>
        <v>1856965</v>
      </c>
      <c r="Z52" s="50">
        <f>44487507+420000+2665080+564400+156500611</f>
        <v>204637598</v>
      </c>
      <c r="AA52" s="50">
        <f t="shared" si="2"/>
        <v>206494563</v>
      </c>
      <c r="AB52" s="50">
        <v>516246.0</v>
      </c>
      <c r="AC52" s="50">
        <v>1549876.0</v>
      </c>
      <c r="AD52" s="50"/>
      <c r="AE52" s="50">
        <f t="shared" si="3"/>
        <v>2066122</v>
      </c>
      <c r="AF52" s="50">
        <f>54000000+440000+2865590+569500+260000000</f>
        <v>317875090</v>
      </c>
      <c r="AG52" s="50">
        <f t="shared" si="4"/>
        <v>319941212</v>
      </c>
      <c r="AH52" s="50">
        <v>433633.0</v>
      </c>
      <c r="AI52" s="50">
        <v>1681640.0</v>
      </c>
      <c r="AJ52" s="50"/>
      <c r="AK52" s="50">
        <f t="shared" si="5"/>
        <v>2115273</v>
      </c>
      <c r="AL52" s="50">
        <v>3791806.0</v>
      </c>
      <c r="AM52" s="50">
        <f t="shared" si="6"/>
        <v>5907079</v>
      </c>
      <c r="AN52" s="50">
        <v>438335.0</v>
      </c>
      <c r="AO52" s="50">
        <v>1906283.0</v>
      </c>
      <c r="AP52" s="50"/>
      <c r="AQ52" s="50">
        <f t="shared" si="11"/>
        <v>2344618</v>
      </c>
      <c r="AR52" s="50">
        <v>2293060.0</v>
      </c>
      <c r="AS52" s="50">
        <f t="shared" si="8"/>
        <v>4637678</v>
      </c>
      <c r="AT52" s="50">
        <v>388664.0</v>
      </c>
      <c r="AU52" s="50">
        <v>2249712.0</v>
      </c>
      <c r="AV52" s="50"/>
      <c r="AW52" s="50">
        <f t="shared" si="12"/>
        <v>2638376</v>
      </c>
      <c r="AX52" s="50">
        <v>2133972.0</v>
      </c>
      <c r="AY52" s="50">
        <f t="shared" si="10"/>
        <v>4772348</v>
      </c>
      <c r="AZ52" s="13" t="s">
        <v>1127</v>
      </c>
      <c r="BA52" s="51" t="s">
        <v>1213</v>
      </c>
      <c r="BC52" s="57" t="s">
        <v>1214</v>
      </c>
      <c r="BD52" s="52"/>
    </row>
    <row r="53" ht="12.75" customHeight="1">
      <c r="A53" s="22" t="s">
        <v>304</v>
      </c>
      <c r="B53" s="22" t="s">
        <v>305</v>
      </c>
      <c r="C53" s="22" t="s">
        <v>822</v>
      </c>
      <c r="D53" s="22" t="s">
        <v>1168</v>
      </c>
      <c r="E53" s="53">
        <v>3.6709E10</v>
      </c>
      <c r="F53" s="46" t="str">
        <f>IF(ISNUMBER(Table1[[#This Row],[2019 Scope 3 ]]),IF(Table1[[#This Row],[Net Earnings/Income (2019)]]-k_cost*Table1[[#This Row],[2019 Total Scope 1, 2 + 3]]&lt;0,"Y","N"),"NA")</f>
        <v>#ERROR!</v>
      </c>
      <c r="G53" s="47" t="str">
        <f>IF(ISNUMBER(Table1[[#This Row],[2019 Scope 3 ]]),IF(k_cost*Table1[[#This Row],[2019 Total Scope 1, 2 + 3]]/Table1[[#This Row],[Size (2019 Revenue)]]&gt;k_rev_max,"Y","N"),"NA")</f>
        <v>#ERROR!</v>
      </c>
      <c r="H53" s="47" t="str">
        <f>IF(OR(Table1[[#This Row],[Net earnings post carbon price @85/t]]="Y",Table1[[#This Row],[Carbon costs in % revenue]] = "Y"),"Y",IF(OR(Table1[[#This Row],[Net earnings post carbon price @85/t]]="NA",Table1[[#This Row],[Carbon costs in % revenue]]="NA"),"NA","N"))</f>
        <v>#ERROR!</v>
      </c>
      <c r="I53" s="53">
        <v>6.143E9</v>
      </c>
      <c r="J53" s="48"/>
      <c r="K53" s="13" t="s">
        <v>1126</v>
      </c>
      <c r="L53" s="13" t="s">
        <v>1127</v>
      </c>
      <c r="M53" s="13" t="s">
        <v>1127</v>
      </c>
      <c r="P53" s="57" t="s">
        <v>1215</v>
      </c>
      <c r="Q53" s="13" t="s">
        <v>1127</v>
      </c>
      <c r="R53" s="13" t="s">
        <v>1127</v>
      </c>
      <c r="S53" s="22" t="s">
        <v>1127</v>
      </c>
      <c r="T53" s="35" t="str">
        <f>IFERROR((Table1[[#This Row],[2019 Total Scope 1, 2 + 3]])/Table1[[#This Row],[2018 Total Scope 1, 2 + Scope 3]]-1,"NA")</f>
        <v>#ERROR!</v>
      </c>
      <c r="U53" s="22"/>
      <c r="V53" s="50">
        <v>1090649.0</v>
      </c>
      <c r="W53" s="50">
        <v>933484.0</v>
      </c>
      <c r="X53" s="50"/>
      <c r="Y53" s="50">
        <f t="shared" si="1"/>
        <v>2024133</v>
      </c>
      <c r="Z53" s="50">
        <f>16976983+518408+306478+163207+104444+17530</f>
        <v>18087050</v>
      </c>
      <c r="AA53" s="50">
        <f t="shared" si="2"/>
        <v>20111183</v>
      </c>
      <c r="AB53" s="50">
        <v>1479149.0</v>
      </c>
      <c r="AC53" s="50">
        <v>1036941.0</v>
      </c>
      <c r="AD53" s="50"/>
      <c r="AE53" s="50">
        <f t="shared" si="3"/>
        <v>2516090</v>
      </c>
      <c r="AF53" s="50">
        <f>17689014+504252+336382+173925+147869+12404</f>
        <v>18863846</v>
      </c>
      <c r="AG53" s="50">
        <f t="shared" si="4"/>
        <v>21379936</v>
      </c>
      <c r="AH53" s="50">
        <v>1355420.0</v>
      </c>
      <c r="AI53" s="50">
        <v>1228457.0</v>
      </c>
      <c r="AJ53" s="50"/>
      <c r="AK53" s="50">
        <f t="shared" si="5"/>
        <v>2583877</v>
      </c>
      <c r="AL53" s="50" t="s">
        <v>1130</v>
      </c>
      <c r="AM53" s="50" t="str">
        <f t="shared" si="6"/>
        <v/>
      </c>
      <c r="AN53" s="50">
        <v>2699554.0</v>
      </c>
      <c r="AO53" s="50">
        <v>1518875.0</v>
      </c>
      <c r="AP53" s="50"/>
      <c r="AQ53" s="50">
        <f t="shared" si="11"/>
        <v>4218429</v>
      </c>
      <c r="AR53" s="50" t="s">
        <v>1130</v>
      </c>
      <c r="AS53" s="50" t="str">
        <f t="shared" si="8"/>
        <v/>
      </c>
      <c r="AT53" s="50">
        <v>3526031.0</v>
      </c>
      <c r="AU53" s="50">
        <v>1736106.0</v>
      </c>
      <c r="AV53" s="50"/>
      <c r="AW53" s="50">
        <f t="shared" si="12"/>
        <v>5262137</v>
      </c>
      <c r="AX53" s="50" t="s">
        <v>1130</v>
      </c>
      <c r="AY53" s="50" t="str">
        <f t="shared" si="10"/>
        <v/>
      </c>
      <c r="AZ53" s="13" t="s">
        <v>1127</v>
      </c>
      <c r="BA53" s="57" t="s">
        <v>1216</v>
      </c>
      <c r="BC53" s="57" t="s">
        <v>1217</v>
      </c>
      <c r="BD53" s="52"/>
    </row>
    <row r="54" ht="12.75" customHeight="1">
      <c r="A54" s="22" t="s">
        <v>310</v>
      </c>
      <c r="B54" s="22" t="s">
        <v>311</v>
      </c>
      <c r="C54" s="22" t="s">
        <v>840</v>
      </c>
      <c r="D54" s="22" t="s">
        <v>1134</v>
      </c>
      <c r="E54" s="53">
        <v>7.714E10</v>
      </c>
      <c r="F54" s="46" t="str">
        <f>IF(ISNUMBER(Table1[[#This Row],[2019 Scope 3 ]]),IF(Table1[[#This Row],[Net Earnings/Income (2019)]]-k_cost*Table1[[#This Row],[2019 Total Scope 1, 2 + 3]]&lt;0,"Y","N"),"NA")</f>
        <v>#ERROR!</v>
      </c>
      <c r="G54" s="47" t="str">
        <f>IF(ISNUMBER(Table1[[#This Row],[2019 Scope 3 ]]),IF(k_cost*Table1[[#This Row],[2019 Total Scope 1, 2 + 3]]/Table1[[#This Row],[Size (2019 Revenue)]]&gt;k_rev_max,"Y","N"),"NA")</f>
        <v>#ERROR!</v>
      </c>
      <c r="H54" s="47" t="str">
        <f>IF(OR(Table1[[#This Row],[Net earnings post carbon price @85/t]]="Y",Table1[[#This Row],[Carbon costs in % revenue]] = "Y"),"Y",IF(OR(Table1[[#This Row],[Net earnings post carbon price @85/t]]="NA",Table1[[#This Row],[Carbon costs in % revenue]]="NA"),"NA","N"))</f>
        <v>#ERROR!</v>
      </c>
      <c r="I54" s="53">
        <v>9.43E9</v>
      </c>
      <c r="J54" s="48">
        <v>1911.0</v>
      </c>
      <c r="K54" s="13" t="s">
        <v>1126</v>
      </c>
      <c r="L54" s="13" t="s">
        <v>1127</v>
      </c>
      <c r="M54" s="13" t="s">
        <v>1127</v>
      </c>
      <c r="P54" s="57" t="s">
        <v>1218</v>
      </c>
      <c r="R54" s="13" t="s">
        <v>1127</v>
      </c>
      <c r="S54" s="13" t="s">
        <v>1219</v>
      </c>
      <c r="T54" s="35" t="str">
        <f>IFERROR((Table1[[#This Row],[2019 Total Scope 1, 2 + 3]])/Table1[[#This Row],[2018 Total Scope 1, 2 + Scope 3]]-1,"NA")</f>
        <v>#ERROR!</v>
      </c>
      <c r="V54" s="50">
        <v>114640.0</v>
      </c>
      <c r="W54" s="50">
        <v>822616.0</v>
      </c>
      <c r="X54" s="50"/>
      <c r="Y54" s="50">
        <f t="shared" si="1"/>
        <v>937256</v>
      </c>
      <c r="Z54" s="50">
        <v>1158416.0</v>
      </c>
      <c r="AA54" s="50">
        <f t="shared" si="2"/>
        <v>2095672</v>
      </c>
      <c r="AB54" s="50">
        <v>124633.0</v>
      </c>
      <c r="AC54" s="50">
        <v>963304.0</v>
      </c>
      <c r="AD54" s="50"/>
      <c r="AE54" s="50">
        <f t="shared" si="3"/>
        <v>1087937</v>
      </c>
      <c r="AF54" s="50">
        <f>329409+39017+458090+122800+397386</f>
        <v>1346702</v>
      </c>
      <c r="AG54" s="50">
        <f t="shared" si="4"/>
        <v>2434639</v>
      </c>
      <c r="AH54" s="50">
        <f>84000+40700</f>
        <v>124700</v>
      </c>
      <c r="AI54" s="50">
        <v>1077000.0</v>
      </c>
      <c r="AJ54" s="50"/>
      <c r="AK54" s="50">
        <f t="shared" si="5"/>
        <v>1201700</v>
      </c>
      <c r="AL54" s="50" t="s">
        <v>1130</v>
      </c>
      <c r="AM54" s="50" t="str">
        <f t="shared" si="6"/>
        <v/>
      </c>
      <c r="AN54" s="50">
        <f>91000+42300</f>
        <v>133300</v>
      </c>
      <c r="AO54" s="50">
        <v>1156000.0</v>
      </c>
      <c r="AP54" s="50"/>
      <c r="AQ54" s="50">
        <f t="shared" si="11"/>
        <v>1289300</v>
      </c>
      <c r="AR54" s="50" t="s">
        <v>1130</v>
      </c>
      <c r="AS54" s="50" t="str">
        <f t="shared" si="8"/>
        <v/>
      </c>
      <c r="AT54" s="50">
        <v>354046.0</v>
      </c>
      <c r="AU54" s="50">
        <v>1433456.0</v>
      </c>
      <c r="AV54" s="50"/>
      <c r="AW54" s="50">
        <f t="shared" si="12"/>
        <v>1787502</v>
      </c>
      <c r="AX54" s="50" t="s">
        <v>1130</v>
      </c>
      <c r="AY54" s="50" t="str">
        <f t="shared" si="10"/>
        <v/>
      </c>
      <c r="AZ54" s="13" t="s">
        <v>1127</v>
      </c>
      <c r="BA54" s="57" t="s">
        <v>1220</v>
      </c>
      <c r="BC54" s="57" t="s">
        <v>1221</v>
      </c>
      <c r="BD54" s="52"/>
    </row>
    <row r="55" ht="12.75" customHeight="1">
      <c r="A55" s="22" t="s">
        <v>316</v>
      </c>
      <c r="B55" s="22" t="s">
        <v>317</v>
      </c>
      <c r="C55" s="22" t="s">
        <v>840</v>
      </c>
      <c r="D55" s="22" t="s">
        <v>1150</v>
      </c>
      <c r="E55" s="53">
        <v>7.19E10</v>
      </c>
      <c r="F55" s="46" t="str">
        <f>IF(ISNUMBER(Table1[[#This Row],[2019 Scope 3 ]]),IF(Table1[[#This Row],[Net Earnings/Income (2019)]]-k_cost*Table1[[#This Row],[2019 Total Scope 1, 2 + 3]]&lt;0,"Y","N"),"NA")</f>
        <v>#ERROR!</v>
      </c>
      <c r="G55" s="47" t="str">
        <f>IF(ISNUMBER(Table1[[#This Row],[2019 Scope 3 ]]),IF(k_cost*Table1[[#This Row],[2019 Total Scope 1, 2 + 3]]/Table1[[#This Row],[Size (2019 Revenue)]]&gt;k_rev_max,"Y","N"),"NA")</f>
        <v>#ERROR!</v>
      </c>
      <c r="H55" s="47" t="str">
        <f>IF(OR(Table1[[#This Row],[Net earnings post carbon price @85/t]]="Y",Table1[[#This Row],[Carbon costs in % revenue]] = "Y"),"Y",IF(OR(Table1[[#This Row],[Net earnings post carbon price @85/t]]="NA",Table1[[#This Row],[Carbon costs in % revenue]]="NA"),"NA","N"))</f>
        <v>#ERROR!</v>
      </c>
      <c r="I55" s="53">
        <v>2.1E10</v>
      </c>
      <c r="J55" s="48">
        <v>1971.0</v>
      </c>
      <c r="K55" s="13" t="s">
        <v>1126</v>
      </c>
      <c r="L55" s="13" t="s">
        <v>1127</v>
      </c>
      <c r="M55" s="13" t="s">
        <v>1127</v>
      </c>
      <c r="P55" s="57" t="s">
        <v>1222</v>
      </c>
      <c r="Q55" s="13" t="s">
        <v>1127</v>
      </c>
      <c r="R55" s="13" t="s">
        <v>1127</v>
      </c>
      <c r="S55" s="13">
        <v>2030.0</v>
      </c>
      <c r="T55" s="35" t="str">
        <f>IFERROR((Table1[[#This Row],[2019 Total Scope 1, 2 + 3]])/Table1[[#This Row],[2018 Total Scope 1, 2 + Scope 3]]-1,"NA")</f>
        <v>#ERROR!</v>
      </c>
      <c r="V55" s="50">
        <v>1489000.0</v>
      </c>
      <c r="W55" s="50">
        <v>1299000.0</v>
      </c>
      <c r="X55" s="50"/>
      <c r="Y55" s="50">
        <f t="shared" si="1"/>
        <v>2788000</v>
      </c>
      <c r="Z55" s="50">
        <v>2.0342E7</v>
      </c>
      <c r="AA55" s="50">
        <f t="shared" si="2"/>
        <v>23130000</v>
      </c>
      <c r="AB55" s="50">
        <v>1458000.0</v>
      </c>
      <c r="AC55" s="50">
        <v>1120000.0</v>
      </c>
      <c r="AD55" s="50"/>
      <c r="AE55" s="50">
        <f t="shared" si="3"/>
        <v>2578000</v>
      </c>
      <c r="AF55" s="50">
        <v>2.0979E7</v>
      </c>
      <c r="AG55" s="50">
        <f t="shared" si="4"/>
        <v>23557000</v>
      </c>
      <c r="AH55" s="50">
        <v>1490000.0</v>
      </c>
      <c r="AI55" s="50">
        <v>971000.0</v>
      </c>
      <c r="AJ55" s="50"/>
      <c r="AK55" s="50">
        <f t="shared" si="5"/>
        <v>2461000</v>
      </c>
      <c r="AL55" s="50">
        <v>1.232E7</v>
      </c>
      <c r="AM55" s="50">
        <f t="shared" si="6"/>
        <v>14781000</v>
      </c>
      <c r="AN55" s="50">
        <v>976000.0</v>
      </c>
      <c r="AO55" s="50">
        <v>647000.0</v>
      </c>
      <c r="AP55" s="50"/>
      <c r="AQ55" s="50">
        <f t="shared" si="11"/>
        <v>1623000</v>
      </c>
      <c r="AR55" s="50">
        <v>2740000.0</v>
      </c>
      <c r="AS55" s="50">
        <f t="shared" si="8"/>
        <v>4363000</v>
      </c>
      <c r="AT55" s="50">
        <v>1050000.0</v>
      </c>
      <c r="AU55" s="50">
        <v>950000.0</v>
      </c>
      <c r="AV55" s="50"/>
      <c r="AW55" s="50">
        <f t="shared" si="12"/>
        <v>2000000</v>
      </c>
      <c r="AX55" s="50">
        <v>1562000.0</v>
      </c>
      <c r="AY55" s="50">
        <f t="shared" si="10"/>
        <v>3562000</v>
      </c>
      <c r="AZ55" s="57" t="s">
        <v>1126</v>
      </c>
      <c r="BA55" s="57" t="s">
        <v>1223</v>
      </c>
      <c r="BC55" s="57" t="s">
        <v>1224</v>
      </c>
      <c r="BD55" s="52"/>
    </row>
    <row r="56" ht="12.75" customHeight="1">
      <c r="A56" s="22" t="s">
        <v>322</v>
      </c>
      <c r="B56" s="22" t="s">
        <v>323</v>
      </c>
      <c r="C56" s="22" t="s">
        <v>829</v>
      </c>
      <c r="D56" s="22" t="s">
        <v>1132</v>
      </c>
      <c r="E56" s="46">
        <v>8.206E10</v>
      </c>
      <c r="F56" s="46" t="str">
        <f>IF(ISNUMBER(Table1[[#This Row],[2019 Scope 3 ]]),IF(Table1[[#This Row],[Net Earnings/Income (2019)]]-k_cost*Table1[[#This Row],[2019 Total Scope 1, 2 + 3]]&lt;0,"Y","N"),"NA")</f>
        <v>#ERROR!</v>
      </c>
      <c r="G56" s="47" t="str">
        <f>IF(ISNUMBER(Table1[[#This Row],[2019 Scope 3 ]]),IF(k_cost*Table1[[#This Row],[2019 Total Scope 1, 2 + 3]]/Table1[[#This Row],[Size (2019 Revenue)]]&gt;k_rev_max,"Y","N"),"NA")</f>
        <v>#ERROR!</v>
      </c>
      <c r="H56" s="47" t="str">
        <f>IF(OR(Table1[[#This Row],[Net earnings post carbon price @85/t]]="Y",Table1[[#This Row],[Carbon costs in % revenue]] = "Y"),"Y",IF(OR(Table1[[#This Row],[Net earnings post carbon price @85/t]]="NA",Table1[[#This Row],[Carbon costs in % revenue]]="NA"),"NA","N"))</f>
        <v>#ERROR!</v>
      </c>
      <c r="I56" s="46">
        <v>1.512E10</v>
      </c>
      <c r="J56" s="48">
        <v>1944.0</v>
      </c>
      <c r="K56" s="46" t="s">
        <v>1126</v>
      </c>
      <c r="L56" s="13" t="s">
        <v>1127</v>
      </c>
      <c r="M56" s="13" t="s">
        <v>1127</v>
      </c>
      <c r="P56" s="57" t="s">
        <v>1225</v>
      </c>
      <c r="Q56" s="13" t="s">
        <v>1127</v>
      </c>
      <c r="R56" s="13" t="s">
        <v>1126</v>
      </c>
      <c r="S56" s="13">
        <v>2050.0</v>
      </c>
      <c r="T56" s="35" t="str">
        <f>IFERROR((Table1[[#This Row],[2019 Total Scope 1, 2 + 3]])/Table1[[#This Row],[2018 Total Scope 1, 2 + Scope 3]]-1,"NA")</f>
        <v>#ERROR!</v>
      </c>
      <c r="V56" s="50">
        <v>415094.0</v>
      </c>
      <c r="W56" s="50">
        <v>518542.0</v>
      </c>
      <c r="X56" s="50"/>
      <c r="Y56" s="50">
        <f t="shared" si="1"/>
        <v>933636</v>
      </c>
      <c r="Z56" s="50">
        <v>2.0300054E7</v>
      </c>
      <c r="AA56" s="50">
        <f t="shared" si="2"/>
        <v>21233690</v>
      </c>
      <c r="AB56" s="50">
        <v>452407.0</v>
      </c>
      <c r="AC56" s="50">
        <v>583361.0</v>
      </c>
      <c r="AD56" s="50"/>
      <c r="AE56" s="50">
        <f t="shared" si="3"/>
        <v>1035768</v>
      </c>
      <c r="AF56" s="50">
        <v>1.9612181E7</v>
      </c>
      <c r="AG56" s="50">
        <f t="shared" si="4"/>
        <v>20647949</v>
      </c>
      <c r="AH56" s="50">
        <v>474497.0</v>
      </c>
      <c r="AI56" s="50">
        <v>639323.0</v>
      </c>
      <c r="AJ56" s="50"/>
      <c r="AK56" s="50">
        <f t="shared" si="5"/>
        <v>1113820</v>
      </c>
      <c r="AL56" s="50">
        <v>1.798849E7</v>
      </c>
      <c r="AM56" s="50">
        <f t="shared" si="6"/>
        <v>19102310</v>
      </c>
      <c r="AN56" s="50">
        <v>463622.0</v>
      </c>
      <c r="AO56" s="50">
        <v>694257.0</v>
      </c>
      <c r="AP56" s="50"/>
      <c r="AQ56" s="50">
        <f t="shared" si="11"/>
        <v>1157879</v>
      </c>
      <c r="AR56" s="50">
        <v>284901.0</v>
      </c>
      <c r="AS56" s="50">
        <f t="shared" si="8"/>
        <v>1442780</v>
      </c>
      <c r="AT56" s="50">
        <v>449078.0</v>
      </c>
      <c r="AU56" s="50">
        <v>724819.0</v>
      </c>
      <c r="AV56" s="50"/>
      <c r="AW56" s="50">
        <f t="shared" si="12"/>
        <v>1173897</v>
      </c>
      <c r="AX56" s="50">
        <v>353974.0</v>
      </c>
      <c r="AY56" s="50">
        <f t="shared" si="10"/>
        <v>1527871</v>
      </c>
      <c r="AZ56" s="13" t="s">
        <v>1126</v>
      </c>
      <c r="BA56" s="57" t="s">
        <v>1226</v>
      </c>
      <c r="BB56" s="57" t="s">
        <v>1227</v>
      </c>
      <c r="BC56" s="57" t="s">
        <v>1228</v>
      </c>
      <c r="BD56" s="52"/>
    </row>
    <row r="57" ht="12.75" customHeight="1">
      <c r="A57" s="22" t="s">
        <v>328</v>
      </c>
      <c r="B57" s="22" t="s">
        <v>329</v>
      </c>
      <c r="C57" s="22" t="s">
        <v>850</v>
      </c>
      <c r="D57" s="22" t="s">
        <v>868</v>
      </c>
      <c r="E57" s="46">
        <v>1.156E11</v>
      </c>
      <c r="F57" s="46" t="str">
        <f>IF(ISNUMBER(Table1[[#This Row],[2019 Scope 3 ]]),IF(Table1[[#This Row],[Net Earnings/Income (2019)]]-k_cost*Table1[[#This Row],[2019 Total Scope 1, 2 + 3]]&lt;0,"Y","N"),"NA")</f>
        <v>#ERROR!</v>
      </c>
      <c r="G57" s="47" t="str">
        <f>IF(ISNUMBER(Table1[[#This Row],[2019 Scope 3 ]]),IF(k_cost*Table1[[#This Row],[2019 Total Scope 1, 2 + 3]]/Table1[[#This Row],[Size (2019 Revenue)]]&gt;k_rev_max,"Y","N"),"NA")</f>
        <v>#ERROR!</v>
      </c>
      <c r="H57" s="47" t="str">
        <f>IF(OR(Table1[[#This Row],[Net earnings post carbon price @85/t]]="Y",Table1[[#This Row],[Carbon costs in % revenue]] = "Y"),"Y",IF(OR(Table1[[#This Row],[Net earnings post carbon price @85/t]]="NA",Table1[[#This Row],[Carbon costs in % revenue]]="NA"),"NA","N"))</f>
        <v>#ERROR!</v>
      </c>
      <c r="I57" s="46">
        <v>3.643E10</v>
      </c>
      <c r="J57" s="48">
        <v>1940.0</v>
      </c>
      <c r="K57" s="46" t="s">
        <v>1126</v>
      </c>
      <c r="L57" s="13" t="s">
        <v>1127</v>
      </c>
      <c r="M57" s="13" t="s">
        <v>1127</v>
      </c>
      <c r="Q57" s="13" t="s">
        <v>1126</v>
      </c>
      <c r="R57" s="13" t="s">
        <v>1126</v>
      </c>
      <c r="S57" s="13">
        <v>2020.0</v>
      </c>
      <c r="T57" s="35" t="str">
        <f>IFERROR((Table1[[#This Row],[2019 Total Scope 1, 2 + 3]])/Table1[[#This Row],[2018 Total Scope 1, 2 + Scope 3]]-1,"NA")</f>
        <v>#ERROR!</v>
      </c>
      <c r="V57" s="50">
        <v>81655.0</v>
      </c>
      <c r="W57" s="50">
        <v>556142.0</v>
      </c>
      <c r="X57" s="50"/>
      <c r="Y57" s="50">
        <f t="shared" si="1"/>
        <v>637797</v>
      </c>
      <c r="Z57" s="50">
        <v>181004.0</v>
      </c>
      <c r="AA57" s="50">
        <f t="shared" si="2"/>
        <v>818801</v>
      </c>
      <c r="AB57" s="50">
        <v>83101.0</v>
      </c>
      <c r="AC57" s="50">
        <v>572067.0</v>
      </c>
      <c r="AD57" s="50"/>
      <c r="AE57" s="50">
        <f t="shared" si="3"/>
        <v>655168</v>
      </c>
      <c r="AF57" s="50">
        <v>176356.0</v>
      </c>
      <c r="AG57" s="50">
        <f t="shared" si="4"/>
        <v>831524</v>
      </c>
      <c r="AH57" s="50">
        <v>78229.0</v>
      </c>
      <c r="AI57" s="50">
        <v>596843.0</v>
      </c>
      <c r="AJ57" s="50"/>
      <c r="AK57" s="50">
        <f t="shared" si="5"/>
        <v>675072</v>
      </c>
      <c r="AL57" s="50">
        <v>187020.0</v>
      </c>
      <c r="AM57" s="50">
        <f t="shared" si="6"/>
        <v>862092</v>
      </c>
      <c r="AN57" s="50">
        <v>79556.0</v>
      </c>
      <c r="AO57" s="50">
        <v>780710.0</v>
      </c>
      <c r="AP57" s="50"/>
      <c r="AQ57" s="50">
        <f t="shared" si="11"/>
        <v>860266</v>
      </c>
      <c r="AR57" s="50">
        <v>130430.0</v>
      </c>
      <c r="AS57" s="50">
        <f t="shared" si="8"/>
        <v>990696</v>
      </c>
      <c r="AT57" s="50">
        <v>82525.0</v>
      </c>
      <c r="AU57" s="50">
        <v>844403.0</v>
      </c>
      <c r="AV57" s="50"/>
      <c r="AW57" s="50">
        <f t="shared" si="12"/>
        <v>926928</v>
      </c>
      <c r="AX57" s="50">
        <v>138878.0</v>
      </c>
      <c r="AY57" s="50">
        <f t="shared" si="10"/>
        <v>1065806</v>
      </c>
      <c r="AZ57" s="57" t="s">
        <v>1126</v>
      </c>
      <c r="BA57" s="51" t="s">
        <v>1229</v>
      </c>
      <c r="BB57" s="22" t="s">
        <v>1230</v>
      </c>
      <c r="BC57" s="57" t="s">
        <v>1231</v>
      </c>
      <c r="BD57" s="52"/>
    </row>
    <row r="58" ht="12.75" customHeight="1">
      <c r="A58" s="22" t="s">
        <v>334</v>
      </c>
      <c r="B58" s="22" t="s">
        <v>335</v>
      </c>
      <c r="C58" s="22" t="s">
        <v>914</v>
      </c>
      <c r="D58" s="22" t="s">
        <v>1171</v>
      </c>
      <c r="E58" s="46">
        <v>1.3209E10</v>
      </c>
      <c r="F58" s="46" t="str">
        <f>IF(ISNUMBER(Table1[[#This Row],[2019 Scope 3 ]]),IF(Table1[[#This Row],[Net Earnings/Income (2019)]]-k_cost*Table1[[#This Row],[2019 Total Scope 1, 2 + 3]]&lt;0,"Y","N"),"NA")</f>
        <v>#ERROR!</v>
      </c>
      <c r="G58" s="47" t="str">
        <f>IF(ISNUMBER(Table1[[#This Row],[2019 Scope 3 ]]),IF(k_cost*Table1[[#This Row],[2019 Total Scope 1, 2 + 3]]/Table1[[#This Row],[Size (2019 Revenue)]]&gt;k_rev_max,"Y","N"),"NA")</f>
        <v>#ERROR!</v>
      </c>
      <c r="H58" s="47" t="str">
        <f>IF(OR(Table1[[#This Row],[Net earnings post carbon price @85/t]]="Y",Table1[[#This Row],[Carbon costs in % revenue]] = "Y"),"Y",IF(OR(Table1[[#This Row],[Net earnings post carbon price @85/t]]="NA",Table1[[#This Row],[Carbon costs in % revenue]]="NA"),"NA","N"))</f>
        <v>#ERROR!</v>
      </c>
      <c r="I58" s="46">
        <v>2.19E9</v>
      </c>
      <c r="J58" s="48">
        <v>2011.0</v>
      </c>
      <c r="K58" s="46" t="s">
        <v>1126</v>
      </c>
      <c r="L58" s="13" t="s">
        <v>1127</v>
      </c>
      <c r="M58" s="13" t="s">
        <v>1127</v>
      </c>
      <c r="Q58" s="13" t="s">
        <v>1126</v>
      </c>
      <c r="R58" s="13" t="s">
        <v>1127</v>
      </c>
      <c r="T58" s="35" t="str">
        <f>IFERROR((Table1[[#This Row],[2019 Total Scope 1, 2 + 3]])/Table1[[#This Row],[2018 Total Scope 1, 2 + Scope 3]]-1,"NA")</f>
        <v>#ERROR!</v>
      </c>
      <c r="V58" s="50" t="s">
        <v>1130</v>
      </c>
      <c r="W58" s="50" t="s">
        <v>1130</v>
      </c>
      <c r="X58" s="50"/>
      <c r="Y58" s="50" t="str">
        <f t="shared" si="1"/>
        <v/>
      </c>
      <c r="Z58" s="50" t="s">
        <v>1130</v>
      </c>
      <c r="AA58" s="50" t="str">
        <f t="shared" si="2"/>
        <v/>
      </c>
      <c r="AB58" s="50" t="s">
        <v>1130</v>
      </c>
      <c r="AC58" s="50" t="s">
        <v>1130</v>
      </c>
      <c r="AD58" s="50"/>
      <c r="AE58" s="50" t="str">
        <f t="shared" si="3"/>
        <v/>
      </c>
      <c r="AF58" s="50" t="s">
        <v>1130</v>
      </c>
      <c r="AG58" s="50" t="str">
        <f t="shared" si="4"/>
        <v/>
      </c>
      <c r="AH58" s="50" t="s">
        <v>1130</v>
      </c>
      <c r="AI58" s="50" t="s">
        <v>1130</v>
      </c>
      <c r="AJ58" s="50"/>
      <c r="AK58" s="50" t="str">
        <f t="shared" si="5"/>
        <v/>
      </c>
      <c r="AL58" s="50" t="s">
        <v>1130</v>
      </c>
      <c r="AM58" s="50" t="str">
        <f t="shared" si="6"/>
        <v/>
      </c>
      <c r="AN58" s="50" t="s">
        <v>1130</v>
      </c>
      <c r="AO58" s="50" t="s">
        <v>1130</v>
      </c>
      <c r="AP58" s="50"/>
      <c r="AQ58" s="50" t="str">
        <f t="shared" si="11"/>
        <v/>
      </c>
      <c r="AR58" s="50" t="s">
        <v>1130</v>
      </c>
      <c r="AS58" s="50" t="str">
        <f t="shared" si="8"/>
        <v/>
      </c>
      <c r="AT58" s="50" t="s">
        <v>1130</v>
      </c>
      <c r="AU58" s="50" t="s">
        <v>1130</v>
      </c>
      <c r="AV58" s="50"/>
      <c r="AW58" s="50" t="str">
        <f t="shared" si="12"/>
        <v/>
      </c>
      <c r="AX58" s="50" t="s">
        <v>1130</v>
      </c>
      <c r="AY58" s="50" t="str">
        <f t="shared" si="10"/>
        <v/>
      </c>
      <c r="AZ58" s="56" t="s">
        <v>1127</v>
      </c>
      <c r="BA58" s="57" t="s">
        <v>1232</v>
      </c>
      <c r="BB58" s="57" t="s">
        <v>1233</v>
      </c>
      <c r="BC58" s="57" t="s">
        <v>1234</v>
      </c>
      <c r="BD58" s="52"/>
    </row>
    <row r="59" ht="12.75" customHeight="1">
      <c r="A59" s="22" t="s">
        <v>336</v>
      </c>
      <c r="B59" s="22" t="s">
        <v>337</v>
      </c>
      <c r="C59" s="22" t="s">
        <v>860</v>
      </c>
      <c r="D59" s="22" t="s">
        <v>1177</v>
      </c>
      <c r="E59" s="46">
        <v>2.497E10</v>
      </c>
      <c r="F59" s="46" t="str">
        <f>IF(ISNUMBER(Table1[[#This Row],[2019 Scope 3 ]]),IF(Table1[[#This Row],[Net Earnings/Income (2019)]]-k_cost*Table1[[#This Row],[2019 Total Scope 1, 2 + 3]]&lt;0,"Y","N"),"NA")</f>
        <v>#ERROR!</v>
      </c>
      <c r="G59" s="47" t="str">
        <f>IF(ISNUMBER(Table1[[#This Row],[2019 Scope 3 ]]),IF(k_cost*Table1[[#This Row],[2019 Total Scope 1, 2 + 3]]/Table1[[#This Row],[Size (2019 Revenue)]]&gt;k_rev_max,"Y","N"),"NA")</f>
        <v>#ERROR!</v>
      </c>
      <c r="H59" s="47" t="str">
        <f>IF(OR(Table1[[#This Row],[Net earnings post carbon price @85/t]]="Y",Table1[[#This Row],[Carbon costs in % revenue]] = "Y"),"Y",IF(OR(Table1[[#This Row],[Net earnings post carbon price @85/t]]="NA",Table1[[#This Row],[Carbon costs in % revenue]]="NA"),"NA","N"))</f>
        <v>#ERROR!</v>
      </c>
      <c r="I59" s="46">
        <v>1.935E9</v>
      </c>
      <c r="J59" s="48">
        <v>2001.0</v>
      </c>
      <c r="K59" s="46" t="s">
        <v>1126</v>
      </c>
      <c r="L59" s="13" t="s">
        <v>1127</v>
      </c>
      <c r="M59" s="13" t="s">
        <v>1126</v>
      </c>
      <c r="R59" s="58" t="s">
        <v>1127</v>
      </c>
      <c r="T59" s="35" t="str">
        <f>IFERROR((Table1[[#This Row],[2019 Total Scope 1, 2 + 3]])/Table1[[#This Row],[2018 Total Scope 1, 2 + Scope 3]]-1,"NA")</f>
        <v>#ERROR!</v>
      </c>
      <c r="V59" s="50">
        <v>649256.0</v>
      </c>
      <c r="W59" s="50">
        <v>773066.0</v>
      </c>
      <c r="X59" s="50"/>
      <c r="Y59" s="50">
        <f t="shared" si="1"/>
        <v>1422322</v>
      </c>
      <c r="Z59" s="50">
        <f>18282750.168+397603.648+717228.775+1366415.404+52106.122+18988.075+105896.625+1307392.304+1029151.785</f>
        <v>23277532.91</v>
      </c>
      <c r="AA59" s="50">
        <f t="shared" si="2"/>
        <v>24699854.91</v>
      </c>
      <c r="AB59" s="50">
        <v>649256.0</v>
      </c>
      <c r="AC59" s="50">
        <v>773066.0</v>
      </c>
      <c r="AD59" s="50"/>
      <c r="AE59" s="50">
        <f t="shared" si="3"/>
        <v>1422322</v>
      </c>
      <c r="AF59" s="50">
        <f>18010670.91+436667.62+685766.14+1444101+50550.66+19031.77+108758.7+1150017.93+1017158.52</f>
        <v>22922723.25</v>
      </c>
      <c r="AG59" s="50">
        <f t="shared" si="4"/>
        <v>24345045.25</v>
      </c>
      <c r="AH59" s="50">
        <v>709692.0</v>
      </c>
      <c r="AI59" s="50">
        <v>765557.0</v>
      </c>
      <c r="AJ59" s="50"/>
      <c r="AK59" s="50">
        <f t="shared" si="5"/>
        <v>1475249</v>
      </c>
      <c r="AL59" s="50">
        <f>16751871.94+739999.79+1352970.13+191539.38+49063.7+18587.51+189896.51+1203705.71+970000+51440.68</f>
        <v>21519075.35</v>
      </c>
      <c r="AM59" s="50">
        <f t="shared" si="6"/>
        <v>22994324.35</v>
      </c>
      <c r="AN59" s="50">
        <v>742200.0</v>
      </c>
      <c r="AO59" s="50">
        <v>800400.0</v>
      </c>
      <c r="AP59" s="50"/>
      <c r="AQ59" s="50">
        <f t="shared" si="11"/>
        <v>1542600</v>
      </c>
      <c r="AR59" s="50">
        <f>21674146+732601+1402638+855051+392623+19182+188691+1236974+63352</f>
        <v>26565258</v>
      </c>
      <c r="AS59" s="50">
        <f t="shared" si="8"/>
        <v>28107858</v>
      </c>
      <c r="AT59" s="50">
        <v>769761.0</v>
      </c>
      <c r="AU59" s="50">
        <v>804156.0</v>
      </c>
      <c r="AV59" s="50"/>
      <c r="AW59" s="50">
        <f t="shared" si="12"/>
        <v>1573917</v>
      </c>
      <c r="AX59" s="50"/>
      <c r="AY59" s="50">
        <f t="shared" si="10"/>
        <v>1573917</v>
      </c>
      <c r="BA59" s="57" t="s">
        <v>1235</v>
      </c>
      <c r="BB59" s="57" t="s">
        <v>1236</v>
      </c>
      <c r="BC59" s="57" t="s">
        <v>1237</v>
      </c>
      <c r="BD59" s="52" t="s">
        <v>1158</v>
      </c>
    </row>
    <row r="60" ht="12.75" customHeight="1">
      <c r="A60" s="22" t="s">
        <v>342</v>
      </c>
      <c r="B60" s="22" t="s">
        <v>343</v>
      </c>
      <c r="C60" s="22" t="s">
        <v>822</v>
      </c>
      <c r="D60" s="22" t="s">
        <v>1161</v>
      </c>
      <c r="E60" s="53">
        <v>5.981E10</v>
      </c>
      <c r="F60" s="46" t="str">
        <f>IF(ISNUMBER(Table1[[#This Row],[2019 Scope 3 ]]),IF(Table1[[#This Row],[Net Earnings/Income (2019)]]-k_cost*Table1[[#This Row],[2019 Total Scope 1, 2 + 3]]&lt;0,"Y","N"),"NA")</f>
        <v>#ERROR!</v>
      </c>
      <c r="G60" s="47" t="str">
        <f>IF(ISNUMBER(Table1[[#This Row],[2019 Scope 3 ]]),IF(k_cost*Table1[[#This Row],[2019 Total Scope 1, 2 + 3]]/Table1[[#This Row],[Size (2019 Revenue)]]&gt;k_rev_max,"Y","N"),"NA")</f>
        <v>#ERROR!</v>
      </c>
      <c r="H60" s="47" t="str">
        <f>IF(OR(Table1[[#This Row],[Net earnings post carbon price @85/t]]="Y",Table1[[#This Row],[Carbon costs in % revenue]] = "Y"),"Y",IF(OR(Table1[[#This Row],[Net earnings post carbon price @85/t]]="NA",Table1[[#This Row],[Carbon costs in % revenue]]="NA"),"NA","N"))</f>
        <v>#ERROR!</v>
      </c>
      <c r="I60" s="53">
        <v>6.23E9</v>
      </c>
      <c r="J60" s="48" t="s">
        <v>1238</v>
      </c>
      <c r="K60" s="13" t="s">
        <v>1126</v>
      </c>
      <c r="L60" s="13" t="s">
        <v>1127</v>
      </c>
      <c r="M60" s="13" t="s">
        <v>1127</v>
      </c>
      <c r="P60" s="57" t="s">
        <v>1239</v>
      </c>
      <c r="R60" s="13" t="s">
        <v>1127</v>
      </c>
      <c r="T60" s="35" t="str">
        <f>IFERROR((Table1[[#This Row],[2019 Total Scope 1, 2 + 3]])/Table1[[#This Row],[2018 Total Scope 1, 2 + Scope 3]]-1,"NA")</f>
        <v>#ERROR!</v>
      </c>
      <c r="V60" s="50">
        <v>305362.0</v>
      </c>
      <c r="W60" s="50">
        <v>466073.0</v>
      </c>
      <c r="X60" s="50"/>
      <c r="Y60" s="50">
        <f t="shared" si="1"/>
        <v>771435</v>
      </c>
      <c r="Z60" s="50">
        <v>3.05845E7</v>
      </c>
      <c r="AA60" s="50">
        <f t="shared" si="2"/>
        <v>31355935</v>
      </c>
      <c r="AB60" s="50">
        <v>291782.0</v>
      </c>
      <c r="AC60" s="50">
        <v>527766.0</v>
      </c>
      <c r="AD60" s="50"/>
      <c r="AE60" s="50">
        <f t="shared" si="3"/>
        <v>819548</v>
      </c>
      <c r="AF60" s="50">
        <v>3.0551E7</v>
      </c>
      <c r="AG60" s="50">
        <f t="shared" si="4"/>
        <v>31370548</v>
      </c>
      <c r="AH60" s="50">
        <v>291523.0</v>
      </c>
      <c r="AI60" s="50">
        <v>552851.0</v>
      </c>
      <c r="AJ60" s="50"/>
      <c r="AK60" s="50">
        <f t="shared" si="5"/>
        <v>844374</v>
      </c>
      <c r="AL60" s="50">
        <v>3.0605E7</v>
      </c>
      <c r="AM60" s="50">
        <f t="shared" si="6"/>
        <v>31449374</v>
      </c>
      <c r="AN60" s="50">
        <v>302679.0</v>
      </c>
      <c r="AO60" s="50">
        <f>804245-302679</f>
        <v>501566</v>
      </c>
      <c r="AP60" s="50"/>
      <c r="AQ60" s="50">
        <f t="shared" si="11"/>
        <v>804245</v>
      </c>
      <c r="AR60" s="50"/>
      <c r="AS60" s="50">
        <f t="shared" si="8"/>
        <v>804245</v>
      </c>
      <c r="AT60" s="50" t="s">
        <v>1127</v>
      </c>
      <c r="AU60" s="50" t="s">
        <v>1127</v>
      </c>
      <c r="AV60" s="50" t="s">
        <v>1127</v>
      </c>
      <c r="AW60" s="50" t="str">
        <f t="shared" si="12"/>
        <v/>
      </c>
      <c r="AX60" s="50" t="s">
        <v>1127</v>
      </c>
      <c r="AY60" s="50" t="str">
        <f t="shared" si="10"/>
        <v/>
      </c>
      <c r="AZ60" s="13" t="s">
        <v>1127</v>
      </c>
      <c r="BA60" s="51" t="s">
        <v>1240</v>
      </c>
      <c r="BB60" s="57" t="s">
        <v>1241</v>
      </c>
      <c r="BC60" s="57" t="s">
        <v>1242</v>
      </c>
      <c r="BD60" s="52"/>
    </row>
    <row r="61" ht="12.75" customHeight="1">
      <c r="A61" s="22" t="s">
        <v>348</v>
      </c>
      <c r="B61" s="22" t="s">
        <v>349</v>
      </c>
      <c r="C61" s="22" t="s">
        <v>950</v>
      </c>
      <c r="D61" s="22" t="s">
        <v>923</v>
      </c>
      <c r="E61" s="53">
        <v>7.13E10</v>
      </c>
      <c r="F61" s="46" t="str">
        <f>IF(ISNUMBER(Table1[[#This Row],[2019 Scope 3 ]]),IF(Table1[[#This Row],[Net Earnings/Income (2019)]]-k_cost*Table1[[#This Row],[2019 Total Scope 1, 2 + 3]]&lt;0,"Y","N"),"NA")</f>
        <v>#ERROR!</v>
      </c>
      <c r="G61" s="47" t="str">
        <f>IF(ISNUMBER(Table1[[#This Row],[2019 Scope 3 ]]),IF(k_cost*Table1[[#This Row],[2019 Total Scope 1, 2 + 3]]/Table1[[#This Row],[Size (2019 Revenue)]]&gt;k_rev_max,"Y","N"),"NA")</f>
        <v>#ERROR!</v>
      </c>
      <c r="H61" s="47" t="str">
        <f>IF(OR(Table1[[#This Row],[Net earnings post carbon price @85/t]]="Y",Table1[[#This Row],[Carbon costs in % revenue]] = "Y"),"Y",IF(OR(Table1[[#This Row],[Net earnings post carbon price @85/t]]="NA",Table1[[#This Row],[Carbon costs in % revenue]]="NA"),"NA","N"))</f>
        <v>#ERROR!</v>
      </c>
      <c r="I61" s="53">
        <v>2.307E9</v>
      </c>
      <c r="J61" s="48">
        <v>1961.0</v>
      </c>
      <c r="K61" s="13" t="s">
        <v>1126</v>
      </c>
      <c r="L61" s="13" t="s">
        <v>1127</v>
      </c>
      <c r="M61" s="13" t="s">
        <v>1127</v>
      </c>
      <c r="P61" s="57" t="s">
        <v>1243</v>
      </c>
      <c r="R61" s="13" t="s">
        <v>1127</v>
      </c>
      <c r="T61" s="35" t="str">
        <f>IFERROR((Table1[[#This Row],[2019 Total Scope 1, 2 + 3]])/Table1[[#This Row],[2018 Total Scope 1, 2 + Scope 3]]-1,"NA")</f>
        <v>#ERROR!</v>
      </c>
      <c r="V61" s="50">
        <v>484737.0</v>
      </c>
      <c r="W61" s="50">
        <v>1623768.0</v>
      </c>
      <c r="X61" s="50"/>
      <c r="Y61" s="50">
        <f t="shared" si="1"/>
        <v>2108505</v>
      </c>
      <c r="Z61" s="50">
        <f>426134+10700+123208225.78</f>
        <v>123645059.8</v>
      </c>
      <c r="AA61" s="50">
        <f t="shared" si="2"/>
        <v>125753564.8</v>
      </c>
      <c r="AB61" s="50">
        <v>473689.0</v>
      </c>
      <c r="AC61" s="50">
        <v>1932514.0</v>
      </c>
      <c r="AD61" s="50"/>
      <c r="AE61" s="50">
        <f t="shared" si="3"/>
        <v>2406203</v>
      </c>
      <c r="AF61" s="50">
        <f>463300+342179673</f>
        <v>342642973</v>
      </c>
      <c r="AG61" s="50">
        <f t="shared" si="4"/>
        <v>345049176</v>
      </c>
      <c r="AH61" s="50">
        <v>400000.0</v>
      </c>
      <c r="AI61" s="50">
        <v>2022000.0</v>
      </c>
      <c r="AJ61" s="50"/>
      <c r="AK61" s="50">
        <f t="shared" si="5"/>
        <v>2422000</v>
      </c>
      <c r="AL61" s="50" t="s">
        <v>1130</v>
      </c>
      <c r="AM61" s="50" t="str">
        <f t="shared" si="6"/>
        <v/>
      </c>
      <c r="AN61" s="50">
        <v>354000.0</v>
      </c>
      <c r="AO61" s="50">
        <v>2054000.0</v>
      </c>
      <c r="AP61" s="50"/>
      <c r="AQ61" s="50">
        <f t="shared" si="11"/>
        <v>2408000</v>
      </c>
      <c r="AR61" s="50" t="s">
        <v>1130</v>
      </c>
      <c r="AS61" s="50" t="str">
        <f t="shared" si="8"/>
        <v/>
      </c>
      <c r="AT61" s="50">
        <v>368000.0</v>
      </c>
      <c r="AU61" s="50">
        <v>2322000.0</v>
      </c>
      <c r="AV61" s="50"/>
      <c r="AW61" s="50">
        <f t="shared" si="12"/>
        <v>2690000</v>
      </c>
      <c r="AX61" s="50" t="s">
        <v>1130</v>
      </c>
      <c r="AY61" s="50" t="str">
        <f t="shared" si="10"/>
        <v/>
      </c>
      <c r="BA61" s="57" t="s">
        <v>1244</v>
      </c>
      <c r="BC61" s="57" t="s">
        <v>1245</v>
      </c>
      <c r="BD61" s="52"/>
    </row>
    <row r="62" ht="12.75" customHeight="1">
      <c r="A62" s="22" t="s">
        <v>354</v>
      </c>
      <c r="B62" s="22" t="s">
        <v>355</v>
      </c>
      <c r="C62" s="22" t="s">
        <v>850</v>
      </c>
      <c r="D62" s="22" t="s">
        <v>1144</v>
      </c>
      <c r="E62" s="46">
        <v>1.6883E10</v>
      </c>
      <c r="F62" s="46" t="str">
        <f>IF(ISNUMBER(Table1[[#This Row],[2019 Scope 3 ]]),IF(Table1[[#This Row],[Net Earnings/Income (2019)]]-k_cost*Table1[[#This Row],[2019 Total Scope 1, 2 + 3]]&lt;0,"Y","N"),"NA")</f>
        <v>#ERROR!</v>
      </c>
      <c r="G62" s="47" t="str">
        <f>IF(ISNUMBER(Table1[[#This Row],[2019 Scope 3 ]]),IF(k_cost*Table1[[#This Row],[2019 Total Scope 1, 2 + 3]]/Table1[[#This Row],[Size (2019 Revenue)]]&gt;k_rev_max,"Y","N"),"NA")</f>
        <v>#ERROR!</v>
      </c>
      <c r="H62" s="47" t="str">
        <f>IF(OR(Table1[[#This Row],[Net earnings post carbon price @85/t]]="Y",Table1[[#This Row],[Carbon costs in % revenue]] = "Y"),"Y",IF(OR(Table1[[#This Row],[Net earnings post carbon price @85/t]]="NA",Table1[[#This Row],[Carbon costs in % revenue]]="NA"),"NA","N"))</f>
        <v>#ERROR!</v>
      </c>
      <c r="I62" s="46">
        <v>8.12E9</v>
      </c>
      <c r="J62" s="48">
        <v>2006.0</v>
      </c>
      <c r="K62" s="46" t="s">
        <v>1126</v>
      </c>
      <c r="L62" s="13" t="s">
        <v>1127</v>
      </c>
      <c r="M62" s="13" t="s">
        <v>1126</v>
      </c>
      <c r="P62" s="57" t="s">
        <v>1246</v>
      </c>
      <c r="R62" s="13" t="s">
        <v>1126</v>
      </c>
      <c r="S62" s="13">
        <v>2020.0</v>
      </c>
      <c r="T62" s="35" t="str">
        <f>IFERROR((Table1[[#This Row],[2019 Total Scope 1, 2 + 3]])/Table1[[#This Row],[2018 Total Scope 1, 2 + Scope 3]]-1,"NA")</f>
        <v>#ERROR!</v>
      </c>
      <c r="V62" s="50">
        <v>4758.4</v>
      </c>
      <c r="W62" s="50">
        <v>162.0</v>
      </c>
      <c r="X62" s="50"/>
      <c r="Y62" s="50">
        <f t="shared" si="1"/>
        <v>4920.4</v>
      </c>
      <c r="Z62" s="50">
        <f>396269.96+8451.87+1288.49+53738+43263.87</f>
        <v>503012.19</v>
      </c>
      <c r="AA62" s="50">
        <f t="shared" si="2"/>
        <v>507932.59</v>
      </c>
      <c r="AB62" s="50">
        <f>57687-AC62</f>
        <v>4828</v>
      </c>
      <c r="AC62" s="50">
        <v>52859.0</v>
      </c>
      <c r="AD62" s="50"/>
      <c r="AE62" s="50">
        <f t="shared" si="3"/>
        <v>57687</v>
      </c>
      <c r="AF62" s="50">
        <v>495962.0</v>
      </c>
      <c r="AG62" s="50">
        <f t="shared" si="4"/>
        <v>553649</v>
      </c>
      <c r="AH62" s="50">
        <f>71504-AI62</f>
        <v>6587</v>
      </c>
      <c r="AI62" s="50">
        <v>64917.0</v>
      </c>
      <c r="AJ62" s="50"/>
      <c r="AK62" s="50">
        <f t="shared" si="5"/>
        <v>71504</v>
      </c>
      <c r="AL62" s="50">
        <v>471614.0</v>
      </c>
      <c r="AM62" s="50">
        <f t="shared" si="6"/>
        <v>543118</v>
      </c>
      <c r="AN62" s="50">
        <f>99214-AO62</f>
        <v>4486</v>
      </c>
      <c r="AO62" s="50">
        <v>94728.0</v>
      </c>
      <c r="AP62" s="50"/>
      <c r="AQ62" s="50">
        <f t="shared" si="11"/>
        <v>99214</v>
      </c>
      <c r="AR62" s="50">
        <v>849277.0</v>
      </c>
      <c r="AS62" s="50">
        <f t="shared" si="8"/>
        <v>948491</v>
      </c>
      <c r="AT62" s="50" t="s">
        <v>1130</v>
      </c>
      <c r="AU62" s="50" t="s">
        <v>1130</v>
      </c>
      <c r="AV62" s="50"/>
      <c r="AW62" s="50" t="str">
        <f t="shared" si="12"/>
        <v/>
      </c>
      <c r="AX62" s="50" t="s">
        <v>1130</v>
      </c>
      <c r="AY62" s="50" t="str">
        <f t="shared" si="10"/>
        <v/>
      </c>
      <c r="BA62" s="57" t="s">
        <v>1247</v>
      </c>
      <c r="BB62" s="57" t="s">
        <v>1248</v>
      </c>
      <c r="BC62" s="57" t="s">
        <v>1249</v>
      </c>
      <c r="BD62" s="52"/>
    </row>
    <row r="63" ht="12.75" customHeight="1">
      <c r="A63" s="22" t="s">
        <v>360</v>
      </c>
      <c r="B63" s="22" t="s">
        <v>361</v>
      </c>
      <c r="C63" s="22" t="s">
        <v>950</v>
      </c>
      <c r="D63" s="22" t="s">
        <v>1177</v>
      </c>
      <c r="E63" s="53">
        <v>2.1076E10</v>
      </c>
      <c r="F63" s="46" t="str">
        <f>IF(ISNUMBER(Table1[[#This Row],[2019 Scope 3 ]]),IF(Table1[[#This Row],[Net Earnings/Income (2019)]]-k_cost*Table1[[#This Row],[2019 Total Scope 1, 2 + 3]]&lt;0,"Y","N"),"NA")</f>
        <v>#ERROR!</v>
      </c>
      <c r="G63" s="47" t="str">
        <f>IF(ISNUMBER(Table1[[#This Row],[2019 Scope 3 ]]),IF(k_cost*Table1[[#This Row],[2019 Total Scope 1, 2 + 3]]/Table1[[#This Row],[Size (2019 Revenue)]]&gt;k_rev_max,"Y","N"),"NA")</f>
        <v>#ERROR!</v>
      </c>
      <c r="H63" s="47" t="str">
        <f>IF(OR(Table1[[#This Row],[Net earnings post carbon price @85/t]]="Y",Table1[[#This Row],[Carbon costs in % revenue]] = "Y"),"Y",IF(OR(Table1[[#This Row],[Net earnings post carbon price @85/t]]="NA",Table1[[#This Row],[Carbon costs in % revenue]]="NA"),"NA","N"))</f>
        <v>#ERROR!</v>
      </c>
      <c r="I63" s="53">
        <v>6.025E9</v>
      </c>
      <c r="J63" s="48">
        <v>1965.0</v>
      </c>
      <c r="K63" s="13" t="s">
        <v>1126</v>
      </c>
      <c r="L63" s="13" t="s">
        <v>1127</v>
      </c>
      <c r="M63" s="13" t="s">
        <v>1126</v>
      </c>
      <c r="P63" s="57" t="s">
        <v>1250</v>
      </c>
      <c r="R63" s="13" t="s">
        <v>1127</v>
      </c>
      <c r="T63" s="35" t="str">
        <f>IFERROR((Table1[[#This Row],[2019 Total Scope 1, 2 + 3]])/Table1[[#This Row],[2018 Total Scope 1, 2 + Scope 3]]-1,"NA")</f>
        <v>#ERROR!</v>
      </c>
      <c r="V63" s="50">
        <v>107034.65</v>
      </c>
      <c r="W63" s="50">
        <v>492114.18</v>
      </c>
      <c r="X63" s="50"/>
      <c r="Y63" s="50">
        <f t="shared" si="1"/>
        <v>599148.83</v>
      </c>
      <c r="Z63" s="50">
        <f>41115851.55+2358793.15+1947637.85+1535857.79+5997501.76</f>
        <v>52955642.1</v>
      </c>
      <c r="AA63" s="50">
        <f t="shared" si="2"/>
        <v>53554790.93</v>
      </c>
      <c r="AB63" s="50">
        <v>111499.18</v>
      </c>
      <c r="AC63" s="50">
        <v>491052.97</v>
      </c>
      <c r="AD63" s="50"/>
      <c r="AE63" s="50">
        <f t="shared" si="3"/>
        <v>602552.15</v>
      </c>
      <c r="AF63" s="50">
        <f>31745364+1422677+745592+1487635+17507+115459+756660</f>
        <v>36290894</v>
      </c>
      <c r="AG63" s="50">
        <f t="shared" si="4"/>
        <v>36893446.15</v>
      </c>
      <c r="AH63" s="50">
        <f>0.151*1000000</f>
        <v>151000</v>
      </c>
      <c r="AI63" s="50">
        <f>0.764*1000000</f>
        <v>764000</v>
      </c>
      <c r="AJ63" s="50"/>
      <c r="AK63" s="50">
        <f t="shared" si="5"/>
        <v>915000</v>
      </c>
      <c r="AL63" s="50"/>
      <c r="AM63" s="50">
        <f t="shared" si="6"/>
        <v>915000</v>
      </c>
      <c r="AN63" s="50">
        <f>0.182*1000000</f>
        <v>182000</v>
      </c>
      <c r="AO63" s="50">
        <f>1.78*1000000</f>
        <v>1780000</v>
      </c>
      <c r="AP63" s="50"/>
      <c r="AQ63" s="50">
        <f t="shared" si="11"/>
        <v>1962000</v>
      </c>
      <c r="AR63" s="50">
        <f>28983578+850284+6843336</f>
        <v>36677198</v>
      </c>
      <c r="AS63" s="50">
        <f t="shared" si="8"/>
        <v>38639198</v>
      </c>
      <c r="AT63" s="50">
        <f>0.178*1000000</f>
        <v>178000</v>
      </c>
      <c r="AU63" s="50">
        <f>2.03*1000000</f>
        <v>2030000</v>
      </c>
      <c r="AV63" s="50"/>
      <c r="AW63" s="50">
        <f t="shared" si="12"/>
        <v>2208000</v>
      </c>
      <c r="AX63" s="50" t="s">
        <v>1130</v>
      </c>
      <c r="AY63" s="50" t="str">
        <f t="shared" si="10"/>
        <v/>
      </c>
      <c r="BA63" s="57" t="s">
        <v>1251</v>
      </c>
      <c r="BB63" s="57" t="s">
        <v>1252</v>
      </c>
      <c r="BC63" s="57" t="s">
        <v>1253</v>
      </c>
      <c r="BD63" s="52"/>
    </row>
    <row r="64" ht="12.75" customHeight="1">
      <c r="A64" s="22" t="s">
        <v>366</v>
      </c>
      <c r="B64" s="22" t="s">
        <v>366</v>
      </c>
      <c r="C64" s="22" t="s">
        <v>829</v>
      </c>
      <c r="D64" s="22" t="s">
        <v>1129</v>
      </c>
      <c r="E64" s="53">
        <v>3.0557E10</v>
      </c>
      <c r="F64" s="46" t="str">
        <f>IF(ISNUMBER(Table1[[#This Row],[2019 Scope 3 ]]),IF(Table1[[#This Row],[Net Earnings/Income (2019)]]-k_cost*Table1[[#This Row],[2019 Total Scope 1, 2 + 3]]&lt;0,"Y","N"),"NA")</f>
        <v>#ERROR!</v>
      </c>
      <c r="G64" s="47" t="str">
        <f>IF(ISNUMBER(Table1[[#This Row],[2019 Scope 3 ]]),IF(k_cost*Table1[[#This Row],[2019 Total Scope 1, 2 + 3]]/Table1[[#This Row],[Size (2019 Revenue)]]&gt;k_rev_max,"Y","N"),"NA")</f>
        <v>#ERROR!</v>
      </c>
      <c r="H64" s="47" t="str">
        <f>IF(OR(Table1[[#This Row],[Net earnings post carbon price @85/t]]="Y",Table1[[#This Row],[Carbon costs in % revenue]] = "Y"),"Y",IF(OR(Table1[[#This Row],[Net earnings post carbon price @85/t]]="NA",Table1[[#This Row],[Carbon costs in % revenue]]="NA"),"NA","N"))</f>
        <v>#ERROR!</v>
      </c>
      <c r="I64" s="53">
        <v>4.631E9</v>
      </c>
      <c r="J64" s="48">
        <v>1982.0</v>
      </c>
      <c r="K64" s="13" t="s">
        <v>1126</v>
      </c>
      <c r="L64" s="13" t="s">
        <v>1127</v>
      </c>
      <c r="M64" s="13" t="s">
        <v>1127</v>
      </c>
      <c r="P64" s="57" t="s">
        <v>1254</v>
      </c>
      <c r="R64" s="13" t="s">
        <v>1127</v>
      </c>
      <c r="T64" s="35" t="str">
        <f>IFERROR((Table1[[#This Row],[2019 Total Scope 1, 2 + 3]])/Table1[[#This Row],[2018 Total Scope 1, 2 + Scope 3]]-1,"NA")</f>
        <v>#ERROR!</v>
      </c>
      <c r="V64" s="50">
        <v>62931.0</v>
      </c>
      <c r="W64" s="50">
        <v>225841.0</v>
      </c>
      <c r="X64" s="50"/>
      <c r="Y64" s="50">
        <f t="shared" si="1"/>
        <v>288772</v>
      </c>
      <c r="Z64" s="50">
        <f>235863+42619</f>
        <v>278482</v>
      </c>
      <c r="AA64" s="50">
        <f t="shared" si="2"/>
        <v>567254</v>
      </c>
      <c r="AB64" s="50">
        <v>65312.0</v>
      </c>
      <c r="AC64" s="50">
        <v>233364.0</v>
      </c>
      <c r="AD64" s="50"/>
      <c r="AE64" s="50">
        <f t="shared" si="3"/>
        <v>298676</v>
      </c>
      <c r="AF64" s="50">
        <f>203421+35371</f>
        <v>238792</v>
      </c>
      <c r="AG64" s="50">
        <f t="shared" si="4"/>
        <v>537468</v>
      </c>
      <c r="AH64" s="50">
        <v>74992.0</v>
      </c>
      <c r="AI64" s="50">
        <v>269008.0</v>
      </c>
      <c r="AJ64" s="50"/>
      <c r="AK64" s="50">
        <f t="shared" si="5"/>
        <v>344000</v>
      </c>
      <c r="AL64" s="50"/>
      <c r="AM64" s="50">
        <f t="shared" si="6"/>
        <v>344000</v>
      </c>
      <c r="AN64" s="50" t="s">
        <v>1127</v>
      </c>
      <c r="AO64" s="50" t="s">
        <v>1127</v>
      </c>
      <c r="AP64" s="50" t="s">
        <v>1127</v>
      </c>
      <c r="AQ64" s="50" t="str">
        <f t="shared" si="11"/>
        <v/>
      </c>
      <c r="AR64" s="50" t="s">
        <v>1127</v>
      </c>
      <c r="AS64" s="50" t="str">
        <f t="shared" si="8"/>
        <v/>
      </c>
      <c r="AT64" s="50" t="s">
        <v>1127</v>
      </c>
      <c r="AU64" s="50" t="s">
        <v>1127</v>
      </c>
      <c r="AV64" s="50" t="s">
        <v>1127</v>
      </c>
      <c r="AW64" s="50" t="str">
        <f t="shared" si="12"/>
        <v/>
      </c>
      <c r="AX64" s="50" t="s">
        <v>1127</v>
      </c>
      <c r="AY64" s="50" t="str">
        <f t="shared" si="10"/>
        <v/>
      </c>
      <c r="BA64" s="57" t="s">
        <v>1255</v>
      </c>
      <c r="BB64" s="22" t="s">
        <v>1230</v>
      </c>
      <c r="BC64" s="57" t="s">
        <v>1256</v>
      </c>
      <c r="BD64" s="52"/>
    </row>
    <row r="65" ht="12.75" customHeight="1">
      <c r="A65" s="22" t="s">
        <v>371</v>
      </c>
      <c r="B65" s="22" t="s">
        <v>372</v>
      </c>
      <c r="C65" s="22" t="s">
        <v>829</v>
      </c>
      <c r="D65" s="22" t="s">
        <v>1132</v>
      </c>
      <c r="E65" s="46">
        <v>4.229E10</v>
      </c>
      <c r="F65" s="46" t="str">
        <f>IF(ISNUMBER(Table1[[#This Row],[2019 Scope 3 ]]),IF(Table1[[#This Row],[Net Earnings/Income (2019)]]-k_cost*Table1[[#This Row],[2019 Total Scope 1, 2 + 3]]&lt;0,"Y","N"),"NA")</f>
        <v>#ERROR!</v>
      </c>
      <c r="G65" s="47" t="str">
        <f>IF(ISNUMBER(Table1[[#This Row],[2019 Scope 3 ]]),IF(k_cost*Table1[[#This Row],[2019 Total Scope 1, 2 + 3]]/Table1[[#This Row],[Size (2019 Revenue)]]&gt;k_rev_max,"Y","N"),"NA")</f>
        <v>#ERROR!</v>
      </c>
      <c r="H65" s="47" t="str">
        <f>IF(OR(Table1[[#This Row],[Net earnings post carbon price @85/t]]="Y",Table1[[#This Row],[Carbon costs in % revenue]] = "Y"),"Y",IF(OR(Table1[[#This Row],[Net earnings post carbon price @85/t]]="NA",Table1[[#This Row],[Carbon costs in % revenue]]="NA"),"NA","N"))</f>
        <v>#ERROR!</v>
      </c>
      <c r="I65" s="46">
        <v>6.22E9</v>
      </c>
      <c r="J65" s="48"/>
      <c r="K65" s="46" t="s">
        <v>1126</v>
      </c>
      <c r="L65" s="13" t="s">
        <v>1127</v>
      </c>
      <c r="M65" s="13" t="s">
        <v>1127</v>
      </c>
      <c r="P65" s="57" t="s">
        <v>1257</v>
      </c>
      <c r="R65" s="13" t="s">
        <v>1127</v>
      </c>
      <c r="S65" s="57" t="s">
        <v>1258</v>
      </c>
      <c r="T65" s="61" t="str">
        <f>IFERROR((Table1[[#This Row],[2019 Total Scope 1, 2 + 3]])/Table1[[#This Row],[2018 Total Scope 1, 2 + Scope 3]]-1,"NA")</f>
        <v>#ERROR!</v>
      </c>
      <c r="U65" s="57"/>
      <c r="V65" s="50">
        <v>755340.0</v>
      </c>
      <c r="W65" s="50">
        <v>316630.0</v>
      </c>
      <c r="X65" s="50"/>
      <c r="Y65" s="50">
        <f t="shared" si="1"/>
        <v>1071970</v>
      </c>
      <c r="Z65" s="50">
        <f>5155100+339900+240700+271200+19500+340400+272000+133200+142100+51500</f>
        <v>6965600</v>
      </c>
      <c r="AA65" s="50">
        <f t="shared" si="2"/>
        <v>8037570</v>
      </c>
      <c r="AB65" s="50">
        <v>783500.0</v>
      </c>
      <c r="AC65" s="50">
        <v>389700.0</v>
      </c>
      <c r="AD65" s="50"/>
      <c r="AE65" s="50">
        <f t="shared" si="3"/>
        <v>1173200</v>
      </c>
      <c r="AF65" s="50">
        <v>6231700.0</v>
      </c>
      <c r="AG65" s="50">
        <f t="shared" si="4"/>
        <v>7404900</v>
      </c>
      <c r="AH65" s="50">
        <v>801600.0</v>
      </c>
      <c r="AI65" s="50">
        <v>462500.0</v>
      </c>
      <c r="AJ65" s="50"/>
      <c r="AK65" s="50">
        <f t="shared" si="5"/>
        <v>1264100</v>
      </c>
      <c r="AL65" s="50">
        <f>4997600+192900+262100+267100+16000+218200+262200+121900+205800+42200</f>
        <v>6586000</v>
      </c>
      <c r="AM65" s="50">
        <f t="shared" si="6"/>
        <v>7850100</v>
      </c>
      <c r="AN65" s="50">
        <v>847400.0</v>
      </c>
      <c r="AO65" s="50">
        <v>562200.0</v>
      </c>
      <c r="AP65" s="50"/>
      <c r="AQ65" s="50">
        <f t="shared" si="11"/>
        <v>1409600</v>
      </c>
      <c r="AR65" s="50">
        <f>6204000+224000+304500+255500+16800+265400+301500+118000+248400+37000</f>
        <v>7975100</v>
      </c>
      <c r="AS65" s="50">
        <f t="shared" si="8"/>
        <v>9384700</v>
      </c>
      <c r="AT65" s="50">
        <v>865100.0</v>
      </c>
      <c r="AU65" s="50">
        <v>635900.0</v>
      </c>
      <c r="AV65" s="50"/>
      <c r="AW65" s="50">
        <f t="shared" si="12"/>
        <v>1501000</v>
      </c>
      <c r="AX65" s="50" t="s">
        <v>1130</v>
      </c>
      <c r="AY65" s="50" t="str">
        <f t="shared" si="10"/>
        <v/>
      </c>
      <c r="BA65" s="57" t="s">
        <v>1259</v>
      </c>
      <c r="BC65" s="57" t="s">
        <v>1260</v>
      </c>
      <c r="BD65" s="52"/>
    </row>
    <row r="66" ht="12.75" customHeight="1">
      <c r="A66" s="22" t="s">
        <v>377</v>
      </c>
      <c r="B66" s="22" t="s">
        <v>378</v>
      </c>
      <c r="C66" s="22" t="s">
        <v>850</v>
      </c>
      <c r="D66" s="22" t="s">
        <v>853</v>
      </c>
      <c r="E66" s="46">
        <v>6.7941E10</v>
      </c>
      <c r="F66" s="46" t="str">
        <f>IF(ISNUMBER(Table1[[#This Row],[2019 Scope 3 ]]),IF(Table1[[#This Row],[Net Earnings/Income (2019)]]-k_cost*Table1[[#This Row],[2019 Total Scope 1, 2 + 3]]&lt;0,"Y","N"),"NA")</f>
        <v>#ERROR!</v>
      </c>
      <c r="G66" s="47" t="str">
        <f>IF(ISNUMBER(Table1[[#This Row],[2019 Scope 3 ]]),IF(k_cost*Table1[[#This Row],[2019 Total Scope 1, 2 + 3]]/Table1[[#This Row],[Size (2019 Revenue)]]&gt;k_rev_max,"Y","N"),"NA")</f>
        <v>#ERROR!</v>
      </c>
      <c r="H66" s="47" t="str">
        <f>IF(OR(Table1[[#This Row],[Net earnings post carbon price @85/t]]="Y",Table1[[#This Row],[Carbon costs in % revenue]] = "Y"),"Y",IF(OR(Table1[[#This Row],[Net earnings post carbon price @85/t]]="NA",Table1[[#This Row],[Carbon costs in % revenue]]="NA"),"NA","N"))</f>
        <v>#ERROR!</v>
      </c>
      <c r="I66" s="46">
        <v>5.07E9</v>
      </c>
      <c r="J66" s="48">
        <v>2000.0</v>
      </c>
      <c r="K66" s="46" t="s">
        <v>1126</v>
      </c>
      <c r="L66" s="13" t="s">
        <v>1126</v>
      </c>
      <c r="M66" s="13" t="s">
        <v>1127</v>
      </c>
      <c r="N66" s="13">
        <v>2016.0</v>
      </c>
      <c r="O66" s="13">
        <v>2015.0</v>
      </c>
      <c r="Q66" s="13" t="s">
        <v>1126</v>
      </c>
      <c r="R66" s="13" t="s">
        <v>1127</v>
      </c>
      <c r="T66" s="35" t="str">
        <f>IFERROR((Table1[[#This Row],[2019 Total Scope 1, 2 + 3]])/Table1[[#This Row],[2018 Total Scope 1, 2 + Scope 3]]-1,"NA")</f>
        <v>#ERROR!</v>
      </c>
      <c r="V66" s="50">
        <v>13613.0</v>
      </c>
      <c r="W66" s="50">
        <v>0.0</v>
      </c>
      <c r="X66" s="50"/>
      <c r="Y66" s="50">
        <f t="shared" si="1"/>
        <v>13613</v>
      </c>
      <c r="Z66" s="50">
        <v>25959.0</v>
      </c>
      <c r="AA66" s="50">
        <f t="shared" si="2"/>
        <v>39572</v>
      </c>
      <c r="AB66" s="50">
        <v>16016.0</v>
      </c>
      <c r="AC66" s="50">
        <v>0.0</v>
      </c>
      <c r="AD66" s="50"/>
      <c r="AE66" s="50">
        <f t="shared" si="3"/>
        <v>16016</v>
      </c>
      <c r="AF66" s="50">
        <v>26381.0</v>
      </c>
      <c r="AG66" s="50">
        <f t="shared" si="4"/>
        <v>42397</v>
      </c>
      <c r="AH66" s="50">
        <v>15722.0</v>
      </c>
      <c r="AI66" s="50">
        <v>0.0</v>
      </c>
      <c r="AJ66" s="50"/>
      <c r="AK66" s="50">
        <f t="shared" si="5"/>
        <v>15722</v>
      </c>
      <c r="AL66" s="50">
        <v>34019.0</v>
      </c>
      <c r="AM66" s="50">
        <f t="shared" si="6"/>
        <v>49741</v>
      </c>
      <c r="AN66" s="50">
        <v>17555.0</v>
      </c>
      <c r="AO66" s="50">
        <v>0.0</v>
      </c>
      <c r="AP66" s="50"/>
      <c r="AQ66" s="50">
        <f t="shared" si="11"/>
        <v>17555</v>
      </c>
      <c r="AR66" s="50">
        <v>34019.0</v>
      </c>
      <c r="AS66" s="50">
        <f t="shared" si="8"/>
        <v>51574</v>
      </c>
      <c r="AT66" s="50">
        <v>19780.0</v>
      </c>
      <c r="AU66" s="50">
        <v>67962.0</v>
      </c>
      <c r="AV66" s="50"/>
      <c r="AW66" s="50">
        <f t="shared" si="12"/>
        <v>87742</v>
      </c>
      <c r="AX66" s="50">
        <v>36166.0</v>
      </c>
      <c r="AY66" s="50">
        <f t="shared" si="10"/>
        <v>123908</v>
      </c>
      <c r="AZ66" s="57" t="s">
        <v>1127</v>
      </c>
      <c r="BA66" s="51" t="s">
        <v>1261</v>
      </c>
      <c r="BB66" s="13" t="s">
        <v>1262</v>
      </c>
      <c r="BC66" s="57" t="s">
        <v>1263</v>
      </c>
      <c r="BD66" s="52"/>
    </row>
    <row r="67" ht="12.75" customHeight="1">
      <c r="A67" s="22" t="s">
        <v>383</v>
      </c>
      <c r="B67" s="22" t="s">
        <v>384</v>
      </c>
      <c r="C67" s="22" t="s">
        <v>840</v>
      </c>
      <c r="D67" s="22" t="s">
        <v>849</v>
      </c>
      <c r="E67" s="46">
        <v>1.258E11</v>
      </c>
      <c r="F67" s="46" t="str">
        <f>IF(ISNUMBER(Table1[[#This Row],[2019 Scope 3 ]]),IF(Table1[[#This Row],[Net Earnings/Income (2019)]]-k_cost*Table1[[#This Row],[2019 Total Scope 1, 2 + 3]]&lt;0,"Y","N"),"NA")</f>
        <v>#ERROR!</v>
      </c>
      <c r="G67" s="47" t="str">
        <f>IF(ISNUMBER(Table1[[#This Row],[2019 Scope 3 ]]),IF(k_cost*Table1[[#This Row],[2019 Total Scope 1, 2 + 3]]/Table1[[#This Row],[Size (2019 Revenue)]]&gt;k_rev_max,"Y","N"),"NA")</f>
        <v>#ERROR!</v>
      </c>
      <c r="H67" s="47" t="str">
        <f>IF(OR(Table1[[#This Row],[Net earnings post carbon price @85/t]]="Y",Table1[[#This Row],[Carbon costs in % revenue]] = "Y"),"Y",IF(OR(Table1[[#This Row],[Net earnings post carbon price @85/t]]="NA",Table1[[#This Row],[Carbon costs in % revenue]]="NA"),"NA","N"))</f>
        <v>#ERROR!</v>
      </c>
      <c r="I67" s="46">
        <v>3.924E10</v>
      </c>
      <c r="J67" s="48">
        <v>1986.0</v>
      </c>
      <c r="K67" s="46" t="s">
        <v>1126</v>
      </c>
      <c r="L67" s="13" t="s">
        <v>1126</v>
      </c>
      <c r="M67" s="57" t="s">
        <v>1126</v>
      </c>
      <c r="N67" s="13">
        <v>2030.0</v>
      </c>
      <c r="O67" s="13">
        <v>2020.0</v>
      </c>
      <c r="Q67" s="13" t="s">
        <v>1126</v>
      </c>
      <c r="R67" s="13" t="s">
        <v>1126</v>
      </c>
      <c r="S67" s="13">
        <v>2014.0</v>
      </c>
      <c r="T67" s="35" t="str">
        <f>IFERROR((Table1[[#This Row],[2019 Total Scope 1, 2 + 3]])/Table1[[#This Row],[2018 Total Scope 1, 2 + Scope 3]]-1,"NA")</f>
        <v>#ERROR!</v>
      </c>
      <c r="V67" s="50">
        <v>113412.0</v>
      </c>
      <c r="W67" s="50">
        <v>275375.0</v>
      </c>
      <c r="X67" s="50"/>
      <c r="Y67" s="50">
        <f t="shared" si="1"/>
        <v>388787</v>
      </c>
      <c r="Z67" s="50">
        <v>1.1322213E7</v>
      </c>
      <c r="AA67" s="50">
        <f t="shared" si="2"/>
        <v>11711000</v>
      </c>
      <c r="AB67" s="50">
        <v>90723.0</v>
      </c>
      <c r="AC67" s="50">
        <v>183329.0</v>
      </c>
      <c r="AD67" s="50"/>
      <c r="AE67" s="50">
        <f t="shared" si="3"/>
        <v>274052</v>
      </c>
      <c r="AF67" s="50">
        <v>1.1820948E7</v>
      </c>
      <c r="AG67" s="50">
        <f t="shared" si="4"/>
        <v>12095000</v>
      </c>
      <c r="AH67" s="50">
        <v>97639.0</v>
      </c>
      <c r="AI67" s="50">
        <v>139110.0</v>
      </c>
      <c r="AJ67" s="50"/>
      <c r="AK67" s="50">
        <f t="shared" si="5"/>
        <v>236749</v>
      </c>
      <c r="AL67" s="50">
        <v>1.0963251E7</v>
      </c>
      <c r="AM67" s="50">
        <f t="shared" si="6"/>
        <v>11200000</v>
      </c>
      <c r="AN67" s="50">
        <v>94651.0</v>
      </c>
      <c r="AO67" s="50">
        <v>37087.0</v>
      </c>
      <c r="AP67" s="50"/>
      <c r="AQ67" s="50">
        <f t="shared" si="11"/>
        <v>131738</v>
      </c>
      <c r="AR67" s="50">
        <v>1.1155883E7</v>
      </c>
      <c r="AS67" s="50">
        <f t="shared" si="8"/>
        <v>11287621</v>
      </c>
      <c r="AT67" s="50">
        <v>94548.0</v>
      </c>
      <c r="AU67" s="50">
        <v>1697297.0</v>
      </c>
      <c r="AV67" s="50"/>
      <c r="AW67" s="50">
        <f t="shared" si="12"/>
        <v>1791845</v>
      </c>
      <c r="AX67" s="50">
        <v>9050676.0</v>
      </c>
      <c r="AY67" s="50">
        <f t="shared" si="10"/>
        <v>10842521</v>
      </c>
      <c r="AZ67" s="57" t="s">
        <v>1126</v>
      </c>
      <c r="BA67" s="51" t="s">
        <v>1264</v>
      </c>
      <c r="BC67" s="57" t="s">
        <v>1265</v>
      </c>
      <c r="BD67" s="52"/>
    </row>
    <row r="68" ht="12.75" customHeight="1">
      <c r="A68" s="22" t="s">
        <v>389</v>
      </c>
      <c r="B68" s="22" t="s">
        <v>390</v>
      </c>
      <c r="C68" s="22" t="s">
        <v>860</v>
      </c>
      <c r="D68" s="22" t="s">
        <v>1177</v>
      </c>
      <c r="E68" s="53">
        <v>2.587E10</v>
      </c>
      <c r="F68" s="46" t="str">
        <f>IF(ISNUMBER(Table1[[#This Row],[2019 Scope 3 ]]),IF(Table1[[#This Row],[Net Earnings/Income (2019)]]-k_cost*Table1[[#This Row],[2019 Total Scope 1, 2 + 3]]&lt;0,"Y","N"),"NA")</f>
        <v>#ERROR!</v>
      </c>
      <c r="G68" s="47" t="str">
        <f>IF(ISNUMBER(Table1[[#This Row],[2019 Scope 3 ]]),IF(k_cost*Table1[[#This Row],[2019 Total Scope 1, 2 + 3]]/Table1[[#This Row],[Size (2019 Revenue)]]&gt;k_rev_max,"Y","N"),"NA")</f>
        <v>#ERROR!</v>
      </c>
      <c r="H68" s="47" t="str">
        <f>IF(OR(Table1[[#This Row],[Net earnings post carbon price @85/t]]="Y",Table1[[#This Row],[Carbon costs in % revenue]] = "Y"),"Y",IF(OR(Table1[[#This Row],[Net earnings post carbon price @85/t]]="NA",Table1[[#This Row],[Carbon costs in % revenue]]="NA"),"NA","N"))</f>
        <v>#ERROR!</v>
      </c>
      <c r="I68" s="53">
        <v>3.87E9</v>
      </c>
      <c r="J68" s="48">
        <v>2012.0</v>
      </c>
      <c r="K68" s="13" t="s">
        <v>1126</v>
      </c>
      <c r="L68" s="13" t="s">
        <v>1127</v>
      </c>
      <c r="M68" s="13" t="s">
        <v>1126</v>
      </c>
      <c r="P68" s="57" t="s">
        <v>1266</v>
      </c>
      <c r="R68" s="13" t="s">
        <v>1127</v>
      </c>
      <c r="T68" s="35" t="str">
        <f>IFERROR((Table1[[#This Row],[2019 Total Scope 1, 2 + 3]])/Table1[[#This Row],[2018 Total Scope 1, 2 + Scope 3]]-1,"NA")</f>
        <v>#ERROR!</v>
      </c>
      <c r="V68" s="50">
        <v>856590.0</v>
      </c>
      <c r="W68" s="50">
        <v>906349.0</v>
      </c>
      <c r="X68" s="50"/>
      <c r="Y68" s="50">
        <f t="shared" si="1"/>
        <v>1762939</v>
      </c>
      <c r="Z68" s="50">
        <f>15034298+1164761+2311217+84072+41446+190306+89945+52986+883179</f>
        <v>19852210</v>
      </c>
      <c r="AA68" s="50">
        <f t="shared" si="2"/>
        <v>21615149</v>
      </c>
      <c r="AB68" s="50">
        <v>819933.0</v>
      </c>
      <c r="AC68" s="50">
        <v>958647.0</v>
      </c>
      <c r="AD68" s="50"/>
      <c r="AE68" s="50">
        <f t="shared" si="3"/>
        <v>1778580</v>
      </c>
      <c r="AF68" s="50">
        <f>16999803+1043010+1261233+124957+47729+208314+1047969+207837+789072</f>
        <v>21729924</v>
      </c>
      <c r="AG68" s="50">
        <f t="shared" si="4"/>
        <v>23508504</v>
      </c>
      <c r="AH68" s="50">
        <v>778304.0</v>
      </c>
      <c r="AI68" s="50">
        <v>907536.0</v>
      </c>
      <c r="AJ68" s="50"/>
      <c r="AK68" s="50">
        <f t="shared" si="5"/>
        <v>1685840</v>
      </c>
      <c r="AL68" s="50">
        <f>8964770+457311+1005369+74429+80431+210026+641840+90737+692102</f>
        <v>12217015</v>
      </c>
      <c r="AM68" s="50">
        <f t="shared" si="6"/>
        <v>13902855</v>
      </c>
      <c r="AN68" s="50">
        <v>812564.0</v>
      </c>
      <c r="AO68" s="50">
        <v>987618.0</v>
      </c>
      <c r="AP68" s="50"/>
      <c r="AQ68" s="50">
        <f t="shared" si="11"/>
        <v>1800182</v>
      </c>
      <c r="AR68" s="50">
        <f>9288253+462304+1049737+74019+74623+215465+629249+93432+691352</f>
        <v>12578434</v>
      </c>
      <c r="AS68" s="50">
        <f t="shared" si="8"/>
        <v>14378616</v>
      </c>
      <c r="AT68" s="50">
        <v>757010.0</v>
      </c>
      <c r="AU68" s="50">
        <v>772308.0</v>
      </c>
      <c r="AV68" s="50"/>
      <c r="AW68" s="50">
        <f t="shared" si="12"/>
        <v>1529318</v>
      </c>
      <c r="AX68" s="50">
        <f>11056117+352033+1062374+109729+122282+204317+1174506+773746+499727+101190</f>
        <v>15456021</v>
      </c>
      <c r="AY68" s="50">
        <f t="shared" si="10"/>
        <v>16985339</v>
      </c>
      <c r="BA68" s="51" t="s">
        <v>1267</v>
      </c>
      <c r="BB68" s="57" t="s">
        <v>1268</v>
      </c>
      <c r="BC68" s="57" t="s">
        <v>1269</v>
      </c>
      <c r="BD68" s="52"/>
    </row>
    <row r="69" ht="12.75" customHeight="1">
      <c r="A69" s="22" t="s">
        <v>395</v>
      </c>
      <c r="B69" s="22" t="s">
        <v>395</v>
      </c>
      <c r="C69" s="22" t="s">
        <v>850</v>
      </c>
      <c r="D69" s="22" t="s">
        <v>1159</v>
      </c>
      <c r="E69" s="46">
        <v>4.1419E10</v>
      </c>
      <c r="F69" s="46" t="str">
        <f>IF(ISNUMBER(Table1[[#This Row],[2019 Scope 3 ]]),IF(Table1[[#This Row],[Net Earnings/Income (2019)]]-k_cost*Table1[[#This Row],[2019 Total Scope 1, 2 + 3]]&lt;0,"Y","N"),"NA")</f>
        <v>#ERROR!</v>
      </c>
      <c r="G69" s="47" t="str">
        <f>IF(ISNUMBER(Table1[[#This Row],[2019 Scope 3 ]]),IF(k_cost*Table1[[#This Row],[2019 Total Scope 1, 2 + 3]]/Table1[[#This Row],[Size (2019 Revenue)]]&gt;k_rev_max,"Y","N"),"NA")</f>
        <v>#ERROR!</v>
      </c>
      <c r="H69" s="47" t="str">
        <f>IF(OR(Table1[[#This Row],[Net earnings post carbon price @85/t]]="Y",Table1[[#This Row],[Carbon costs in % revenue]] = "Y"),"Y",IF(OR(Table1[[#This Row],[Net earnings post carbon price @85/t]]="NA",Table1[[#This Row],[Carbon costs in % revenue]]="NA"),"NA","N"))</f>
        <v>#ERROR!</v>
      </c>
      <c r="I69" s="46">
        <v>8.512E9</v>
      </c>
      <c r="J69" s="48">
        <v>1935.0</v>
      </c>
      <c r="K69" s="46" t="s">
        <v>1126</v>
      </c>
      <c r="L69" s="13" t="s">
        <v>1126</v>
      </c>
      <c r="M69" s="13" t="s">
        <v>1127</v>
      </c>
      <c r="N69" s="13">
        <v>2022.0</v>
      </c>
      <c r="O69" s="13">
        <v>2017.0</v>
      </c>
      <c r="R69" s="13" t="s">
        <v>1126</v>
      </c>
      <c r="S69" s="13">
        <v>2022.0</v>
      </c>
      <c r="T69" s="35" t="str">
        <f>IFERROR((Table1[[#This Row],[2019 Total Scope 1, 2 + 3]])/Table1[[#This Row],[2018 Total Scope 1, 2 + Scope 3]]-1,"NA")</f>
        <v>#ERROR!</v>
      </c>
      <c r="V69" s="50">
        <v>28300.0</v>
      </c>
      <c r="W69" s="50">
        <v>176200.0</v>
      </c>
      <c r="X69" s="50"/>
      <c r="Y69" s="50">
        <f t="shared" si="1"/>
        <v>204500</v>
      </c>
      <c r="Z69" s="50">
        <f>911000+192000+46600+6490+99700+112550+6000+200</f>
        <v>1374540</v>
      </c>
      <c r="AA69" s="50">
        <f t="shared" si="2"/>
        <v>1579040</v>
      </c>
      <c r="AB69" s="50">
        <v>29800.0</v>
      </c>
      <c r="AC69" s="50">
        <v>183900.0</v>
      </c>
      <c r="AD69" s="50"/>
      <c r="AE69" s="50">
        <f t="shared" si="3"/>
        <v>213700</v>
      </c>
      <c r="AF69" s="50">
        <v>1227000.0</v>
      </c>
      <c r="AG69" s="50">
        <f t="shared" si="4"/>
        <v>1440700</v>
      </c>
      <c r="AH69" s="50">
        <v>29450.0</v>
      </c>
      <c r="AI69" s="50">
        <v>178350.0</v>
      </c>
      <c r="AJ69" s="50"/>
      <c r="AK69" s="50">
        <f t="shared" si="5"/>
        <v>207800</v>
      </c>
      <c r="AL69" s="50">
        <v>1357000.0</v>
      </c>
      <c r="AM69" s="50">
        <f t="shared" si="6"/>
        <v>1564800</v>
      </c>
      <c r="AN69" s="50">
        <v>27610.0</v>
      </c>
      <c r="AO69" s="50">
        <v>237080.0</v>
      </c>
      <c r="AP69" s="50"/>
      <c r="AQ69" s="50">
        <f t="shared" si="11"/>
        <v>264690</v>
      </c>
      <c r="AR69" s="50">
        <f>1600000+190000+54941+3110+93950+110000+6000+260</f>
        <v>2058261</v>
      </c>
      <c r="AS69" s="50">
        <f t="shared" si="8"/>
        <v>2322951</v>
      </c>
      <c r="AT69" s="50">
        <v>33870.0</v>
      </c>
      <c r="AU69" s="50">
        <v>272720.0</v>
      </c>
      <c r="AV69" s="50"/>
      <c r="AW69" s="50">
        <f t="shared" si="12"/>
        <v>306590</v>
      </c>
      <c r="AX69" s="50">
        <f>1100000+190000+59920+4480+118650+112000+6000+250</f>
        <v>1591300</v>
      </c>
      <c r="AY69" s="50">
        <f t="shared" si="10"/>
        <v>1897890</v>
      </c>
      <c r="BB69" s="13" t="s">
        <v>1270</v>
      </c>
      <c r="BC69" s="57" t="s">
        <v>1271</v>
      </c>
      <c r="BD69" s="52"/>
    </row>
    <row r="70" ht="12.75" customHeight="1">
      <c r="A70" s="22" t="s">
        <v>400</v>
      </c>
      <c r="B70" s="22" t="s">
        <v>401</v>
      </c>
      <c r="C70" s="22" t="s">
        <v>855</v>
      </c>
      <c r="D70" s="22" t="s">
        <v>1170</v>
      </c>
      <c r="E70" s="53">
        <v>2.016E10</v>
      </c>
      <c r="F70" s="46" t="str">
        <f>IF(ISNUMBER(Table1[[#This Row],[2019 Scope 3 ]]),IF(Table1[[#This Row],[Net Earnings/Income (2019)]]-k_cost*Table1[[#This Row],[2019 Total Scope 1, 2 + 3]]&lt;0,"Y","N"),"NA")</f>
        <v>#ERROR!</v>
      </c>
      <c r="G70" s="47" t="str">
        <f>IF(ISNUMBER(Table1[[#This Row],[2019 Scope 3 ]]),IF(k_cost*Table1[[#This Row],[2019 Total Scope 1, 2 + 3]]/Table1[[#This Row],[Size (2019 Revenue)]]&gt;k_rev_max,"Y","N"),"NA")</f>
        <v>#ERROR!</v>
      </c>
      <c r="H70" s="47" t="str">
        <f>IF(OR(Table1[[#This Row],[Net earnings post carbon price @85/t]]="Y",Table1[[#This Row],[Carbon costs in % revenue]] = "Y"),"Y",IF(OR(Table1[[#This Row],[Net earnings post carbon price @85/t]]="NA",Table1[[#This Row],[Carbon costs in % revenue]]="NA"),"NA","N"))</f>
        <v>#ERROR!</v>
      </c>
      <c r="I70" s="53">
        <v>1.866E9</v>
      </c>
      <c r="J70" s="48">
        <v>2002.0</v>
      </c>
      <c r="K70" s="13" t="s">
        <v>1126</v>
      </c>
      <c r="L70" s="13" t="s">
        <v>1127</v>
      </c>
      <c r="M70" s="13" t="s">
        <v>1127</v>
      </c>
      <c r="P70" s="13" t="s">
        <v>1127</v>
      </c>
      <c r="Q70" s="13" t="s">
        <v>1126</v>
      </c>
      <c r="R70" s="13" t="s">
        <v>1127</v>
      </c>
      <c r="S70" s="13" t="s">
        <v>1127</v>
      </c>
      <c r="T70" s="35" t="str">
        <f>IFERROR((Table1[[#This Row],[2019 Total Scope 1, 2 + 3]])/Table1[[#This Row],[2018 Total Scope 1, 2 + Scope 3]]-1,"NA")</f>
        <v>#ERROR!</v>
      </c>
      <c r="V70" s="50" t="s">
        <v>1130</v>
      </c>
      <c r="W70" s="50" t="s">
        <v>1130</v>
      </c>
      <c r="X70" s="50"/>
      <c r="Y70" s="50" t="str">
        <f t="shared" si="1"/>
        <v/>
      </c>
      <c r="Z70" s="50" t="s">
        <v>1130</v>
      </c>
      <c r="AA70" s="50" t="str">
        <f t="shared" si="2"/>
        <v/>
      </c>
      <c r="AB70" s="50" t="s">
        <v>1130</v>
      </c>
      <c r="AC70" s="50" t="s">
        <v>1130</v>
      </c>
      <c r="AD70" s="50"/>
      <c r="AE70" s="50" t="str">
        <f t="shared" si="3"/>
        <v/>
      </c>
      <c r="AF70" s="50" t="s">
        <v>1130</v>
      </c>
      <c r="AG70" s="50" t="str">
        <f t="shared" si="4"/>
        <v/>
      </c>
      <c r="AH70" s="50" t="s">
        <v>1130</v>
      </c>
      <c r="AI70" s="50" t="s">
        <v>1130</v>
      </c>
      <c r="AJ70" s="50"/>
      <c r="AK70" s="50" t="str">
        <f t="shared" si="5"/>
        <v/>
      </c>
      <c r="AL70" s="50" t="s">
        <v>1130</v>
      </c>
      <c r="AM70" s="50" t="str">
        <f t="shared" si="6"/>
        <v/>
      </c>
      <c r="AN70" s="50" t="s">
        <v>1130</v>
      </c>
      <c r="AO70" s="50" t="s">
        <v>1130</v>
      </c>
      <c r="AP70" s="50"/>
      <c r="AQ70" s="50" t="str">
        <f t="shared" si="11"/>
        <v/>
      </c>
      <c r="AR70" s="50" t="s">
        <v>1130</v>
      </c>
      <c r="AS70" s="50" t="str">
        <f t="shared" si="8"/>
        <v/>
      </c>
      <c r="AT70" s="50" t="s">
        <v>1130</v>
      </c>
      <c r="AU70" s="50" t="s">
        <v>1130</v>
      </c>
      <c r="AV70" s="50"/>
      <c r="AW70" s="50" t="str">
        <f t="shared" si="12"/>
        <v/>
      </c>
      <c r="AX70" s="50" t="s">
        <v>1130</v>
      </c>
      <c r="AY70" s="50" t="str">
        <f t="shared" si="10"/>
        <v/>
      </c>
      <c r="AZ70" s="13" t="s">
        <v>1127</v>
      </c>
      <c r="BB70" s="57" t="s">
        <v>1272</v>
      </c>
      <c r="BC70" s="57" t="s">
        <v>1273</v>
      </c>
      <c r="BD70" s="52"/>
    </row>
    <row r="71" ht="12.75" customHeight="1">
      <c r="A71" s="22" t="s">
        <v>402</v>
      </c>
      <c r="B71" s="22" t="s">
        <v>403</v>
      </c>
      <c r="C71" s="22" t="s">
        <v>932</v>
      </c>
      <c r="D71" s="13" t="s">
        <v>932</v>
      </c>
      <c r="E71" s="53">
        <v>1.9204E10</v>
      </c>
      <c r="F71" s="46" t="str">
        <f>IF(ISNUMBER(Table1[[#This Row],[2019 Scope 3 ]]),IF(Table1[[#This Row],[Net Earnings/Income (2019)]]-k_cost*Table1[[#This Row],[2019 Total Scope 1, 2 + 3]]&lt;0,"Y","N"),"NA")</f>
        <v>#ERROR!</v>
      </c>
      <c r="G71" s="47" t="str">
        <f>IF(ISNUMBER(Table1[[#This Row],[2019 Scope 3 ]]),IF(k_cost*Table1[[#This Row],[2019 Total Scope 1, 2 + 3]]/Table1[[#This Row],[Size (2019 Revenue)]]&gt;k_rev_max,"Y","N"),"NA")</f>
        <v>#ERROR!</v>
      </c>
      <c r="H71" s="47" t="str">
        <f>IF(OR(Table1[[#This Row],[Net earnings post carbon price @85/t]]="Y",Table1[[#This Row],[Carbon costs in % revenue]] = "Y"),"Y",IF(OR(Table1[[#This Row],[Net earnings post carbon price @85/t]]="NA",Table1[[#This Row],[Carbon costs in % revenue]]="NA"),"NA","N"))</f>
        <v>#ERROR!</v>
      </c>
      <c r="I71" s="53">
        <v>3.769E9</v>
      </c>
      <c r="J71" s="48">
        <v>2014.0</v>
      </c>
      <c r="K71" s="13" t="s">
        <v>1126</v>
      </c>
      <c r="L71" s="13" t="s">
        <v>1127</v>
      </c>
      <c r="M71" s="13" t="s">
        <v>1127</v>
      </c>
      <c r="P71" s="13" t="s">
        <v>1127</v>
      </c>
      <c r="Q71" s="13" t="s">
        <v>1127</v>
      </c>
      <c r="R71" s="13" t="s">
        <v>1127</v>
      </c>
      <c r="S71" s="13" t="s">
        <v>1127</v>
      </c>
      <c r="T71" s="35" t="str">
        <f>IFERROR((Table1[[#This Row],[2019 Total Scope 1, 2 + 3]])/Table1[[#This Row],[2018 Total Scope 1, 2 + Scope 3]]-1,"NA")</f>
        <v>#ERROR!</v>
      </c>
      <c r="V71" s="50" t="s">
        <v>1130</v>
      </c>
      <c r="W71" s="50" t="s">
        <v>1130</v>
      </c>
      <c r="X71" s="50"/>
      <c r="Y71" s="50">
        <v>1.07082396E8</v>
      </c>
      <c r="Z71" s="50" t="s">
        <v>1130</v>
      </c>
      <c r="AA71" s="50" t="str">
        <f t="shared" si="2"/>
        <v/>
      </c>
      <c r="AB71" s="50" t="s">
        <v>1130</v>
      </c>
      <c r="AC71" s="50" t="s">
        <v>1130</v>
      </c>
      <c r="AD71" s="50"/>
      <c r="AE71" s="50">
        <v>9.0006931E7</v>
      </c>
      <c r="AF71" s="50" t="s">
        <v>1130</v>
      </c>
      <c r="AG71" s="50" t="str">
        <f t="shared" si="4"/>
        <v/>
      </c>
      <c r="AH71" s="50" t="s">
        <v>1130</v>
      </c>
      <c r="AI71" s="50" t="s">
        <v>1130</v>
      </c>
      <c r="AJ71" s="50"/>
      <c r="AK71" s="50">
        <v>9.3387385E7</v>
      </c>
      <c r="AL71" s="50" t="s">
        <v>1130</v>
      </c>
      <c r="AM71" s="50" t="str">
        <f t="shared" si="6"/>
        <v/>
      </c>
      <c r="AN71" s="50" t="s">
        <v>1130</v>
      </c>
      <c r="AO71" s="50" t="s">
        <v>1130</v>
      </c>
      <c r="AP71" s="50"/>
      <c r="AQ71" s="50">
        <v>1.00072736E8</v>
      </c>
      <c r="AR71" s="50" t="s">
        <v>1130</v>
      </c>
      <c r="AS71" s="50" t="str">
        <f t="shared" si="8"/>
        <v/>
      </c>
      <c r="AT71" s="50" t="s">
        <v>1130</v>
      </c>
      <c r="AU71" s="50" t="s">
        <v>1130</v>
      </c>
      <c r="AV71" s="50"/>
      <c r="AW71" s="50" t="str">
        <f t="shared" si="12"/>
        <v/>
      </c>
      <c r="AX71" s="50" t="s">
        <v>1130</v>
      </c>
      <c r="AY71" s="50" t="str">
        <f t="shared" si="10"/>
        <v/>
      </c>
      <c r="AZ71" s="13" t="s">
        <v>1126</v>
      </c>
      <c r="BA71" s="51" t="s">
        <v>1274</v>
      </c>
      <c r="BB71" s="57" t="s">
        <v>1275</v>
      </c>
      <c r="BC71" s="51" t="s">
        <v>1276</v>
      </c>
      <c r="BD71" s="52"/>
    </row>
    <row r="72" ht="12.75" customHeight="1">
      <c r="A72" s="22" t="s">
        <v>404</v>
      </c>
      <c r="B72" s="22" t="s">
        <v>405</v>
      </c>
      <c r="C72" s="22" t="s">
        <v>950</v>
      </c>
      <c r="D72" s="22" t="s">
        <v>1277</v>
      </c>
      <c r="E72" s="46">
        <v>3.91E10</v>
      </c>
      <c r="F72" s="46" t="str">
        <f>IF(ISNUMBER(Table1[[#This Row],[2019 Scope 3 ]]),IF(Table1[[#This Row],[Net Earnings/Income (2019)]]-k_cost*Table1[[#This Row],[2019 Total Scope 1, 2 + 3]]&lt;0,"Y","N"),"NA")</f>
        <v>#ERROR!</v>
      </c>
      <c r="G72" s="47" t="str">
        <f>IF(ISNUMBER(Table1[[#This Row],[2019 Scope 3 ]]),IF(k_cost*Table1[[#This Row],[2019 Total Scope 1, 2 + 3]]/Table1[[#This Row],[Size (2019 Revenue)]]&gt;k_rev_max,"Y","N"),"NA")</f>
        <v>#ERROR!</v>
      </c>
      <c r="H72" s="47" t="str">
        <f>IF(OR(Table1[[#This Row],[Net earnings post carbon price @85/t]]="Y",Table1[[#This Row],[Carbon costs in % revenue]] = "Y"),"Y",IF(OR(Table1[[#This Row],[Net earnings post carbon price @85/t]]="NA",Table1[[#This Row],[Carbon costs in % revenue]]="NA"),"NA","N"))</f>
        <v>#ERROR!</v>
      </c>
      <c r="I72" s="46">
        <v>4.0E9</v>
      </c>
      <c r="J72" s="48">
        <v>1980.0</v>
      </c>
      <c r="K72" s="46" t="s">
        <v>1126</v>
      </c>
      <c r="L72" s="13" t="s">
        <v>1126</v>
      </c>
      <c r="M72" s="13" t="s">
        <v>1126</v>
      </c>
      <c r="N72" s="13">
        <v>2050.0</v>
      </c>
      <c r="O72" s="13">
        <v>2020.0</v>
      </c>
      <c r="P72" s="57" t="s">
        <v>1278</v>
      </c>
      <c r="Q72" s="13" t="s">
        <v>1127</v>
      </c>
      <c r="R72" s="13" t="s">
        <v>1126</v>
      </c>
      <c r="S72" s="13">
        <v>2025.0</v>
      </c>
      <c r="T72" s="35" t="str">
        <f>IFERROR((Table1[[#This Row],[2019 Total Scope 1, 2 + 3]])/Table1[[#This Row],[2018 Total Scope 1, 2 + Scope 3]]-1,"NA")</f>
        <v>#ERROR!</v>
      </c>
      <c r="V72" s="50">
        <v>46714.0</v>
      </c>
      <c r="W72" s="50">
        <v>209065.0</v>
      </c>
      <c r="X72" s="50"/>
      <c r="Y72" s="50">
        <f t="shared" ref="Y72:Y101" si="13">IFERROR(V72+W72-X72,"")</f>
        <v>255779</v>
      </c>
      <c r="Z72" s="50">
        <v>3250744.0</v>
      </c>
      <c r="AA72" s="50">
        <f t="shared" si="2"/>
        <v>3506523</v>
      </c>
      <c r="AB72" s="50">
        <v>41942.0</v>
      </c>
      <c r="AC72" s="50">
        <v>218240.0</v>
      </c>
      <c r="AD72" s="50"/>
      <c r="AE72" s="50">
        <f t="shared" ref="AE72:AE101" si="14">IFERROR(AB72+AC72-AD72,"")</f>
        <v>260182</v>
      </c>
      <c r="AF72" s="50">
        <v>2787707.0</v>
      </c>
      <c r="AG72" s="50">
        <f t="shared" si="4"/>
        <v>3047889</v>
      </c>
      <c r="AH72" s="50">
        <v>40139.0</v>
      </c>
      <c r="AI72" s="50">
        <v>224489.0</v>
      </c>
      <c r="AJ72" s="50"/>
      <c r="AK72" s="50">
        <f t="shared" ref="AK72:AK101" si="15">IFERROR(AH72+AI72-AJ72,"")</f>
        <v>264628</v>
      </c>
      <c r="AL72" s="50">
        <v>2751744.0</v>
      </c>
      <c r="AM72" s="50">
        <f t="shared" si="6"/>
        <v>3016372</v>
      </c>
      <c r="AN72" s="50">
        <v>37325.0</v>
      </c>
      <c r="AO72" s="50">
        <v>225772.0</v>
      </c>
      <c r="AP72" s="50"/>
      <c r="AQ72" s="50">
        <f t="shared" ref="AQ72:AQ101" si="16">IFERROR(AN72+AO72-AP72,"")</f>
        <v>263097</v>
      </c>
      <c r="AR72" s="50">
        <v>2468365.0</v>
      </c>
      <c r="AS72" s="50">
        <f t="shared" si="8"/>
        <v>2731462</v>
      </c>
      <c r="AT72" s="50">
        <v>35623.0</v>
      </c>
      <c r="AU72" s="50">
        <v>228680.0</v>
      </c>
      <c r="AV72" s="50"/>
      <c r="AW72" s="50">
        <f t="shared" si="12"/>
        <v>264303</v>
      </c>
      <c r="AX72" s="50">
        <v>2460556.0</v>
      </c>
      <c r="AY72" s="50">
        <f t="shared" si="10"/>
        <v>2724859</v>
      </c>
      <c r="AZ72" s="57" t="s">
        <v>1279</v>
      </c>
      <c r="BA72" s="51" t="s">
        <v>1280</v>
      </c>
      <c r="BC72" s="57" t="s">
        <v>1281</v>
      </c>
      <c r="BD72" s="52"/>
    </row>
    <row r="73" ht="12.75" customHeight="1">
      <c r="A73" s="22" t="s">
        <v>410</v>
      </c>
      <c r="B73" s="22" t="s">
        <v>410</v>
      </c>
      <c r="C73" s="22" t="s">
        <v>840</v>
      </c>
      <c r="D73" s="22" t="s">
        <v>1150</v>
      </c>
      <c r="E73" s="46">
        <v>1.172E10</v>
      </c>
      <c r="F73" s="46" t="str">
        <f>IF(ISNUMBER(Table1[[#This Row],[2019 Scope 3 ]]),IF(Table1[[#This Row],[Net Earnings/Income (2019)]]-k_cost*Table1[[#This Row],[2019 Total Scope 1, 2 + 3]]&lt;0,"Y","N"),"NA")</f>
        <v>#ERROR!</v>
      </c>
      <c r="G73" s="47" t="str">
        <f>IF(ISNUMBER(Table1[[#This Row],[2019 Scope 3 ]]),IF(k_cost*Table1[[#This Row],[2019 Total Scope 1, 2 + 3]]/Table1[[#This Row],[Size (2019 Revenue)]]&gt;k_rev_max,"Y","N"),"NA")</f>
        <v>#ERROR!</v>
      </c>
      <c r="H73" s="47" t="str">
        <f>IF(OR(Table1[[#This Row],[Net earnings post carbon price @85/t]]="Y",Table1[[#This Row],[Carbon costs in % revenue]] = "Y"),"Y",IF(OR(Table1[[#This Row],[Net earnings post carbon price @85/t]]="NA",Table1[[#This Row],[Carbon costs in % revenue]]="NA"),"NA","N"))</f>
        <v>#ERROR!</v>
      </c>
      <c r="I73" s="46">
        <v>4.141E9</v>
      </c>
      <c r="J73" s="48">
        <v>1999.0</v>
      </c>
      <c r="K73" s="46" t="s">
        <v>1126</v>
      </c>
      <c r="L73" s="22" t="s">
        <v>1127</v>
      </c>
      <c r="M73" s="13" t="s">
        <v>1127</v>
      </c>
      <c r="P73" s="57" t="s">
        <v>1282</v>
      </c>
      <c r="R73" s="58" t="s">
        <v>1127</v>
      </c>
      <c r="S73" s="57" t="s">
        <v>1283</v>
      </c>
      <c r="T73" s="61" t="str">
        <f>IFERROR((Table1[[#This Row],[2019 Total Scope 1, 2 + 3]])/Table1[[#This Row],[2018 Total Scope 1, 2 + Scope 3]]-1,"NA")</f>
        <v>#ERROR!</v>
      </c>
      <c r="U73" s="57"/>
      <c r="V73" s="50">
        <v>2695.0</v>
      </c>
      <c r="W73" s="50">
        <v>60093.0</v>
      </c>
      <c r="X73" s="50"/>
      <c r="Y73" s="50">
        <f t="shared" si="13"/>
        <v>62788</v>
      </c>
      <c r="Z73" s="50">
        <v>427730.0</v>
      </c>
      <c r="AA73" s="50">
        <f t="shared" si="2"/>
        <v>490518</v>
      </c>
      <c r="AB73" s="50">
        <v>2370.0</v>
      </c>
      <c r="AC73" s="50">
        <v>56903.0</v>
      </c>
      <c r="AD73" s="50"/>
      <c r="AE73" s="50">
        <f t="shared" si="14"/>
        <v>59273</v>
      </c>
      <c r="AF73" s="50">
        <v>326648.0</v>
      </c>
      <c r="AG73" s="50">
        <f t="shared" si="4"/>
        <v>385921</v>
      </c>
      <c r="AH73" s="50">
        <v>2571.0</v>
      </c>
      <c r="AI73" s="50">
        <v>47142.0</v>
      </c>
      <c r="AJ73" s="50"/>
      <c r="AK73" s="50">
        <f t="shared" si="15"/>
        <v>49713</v>
      </c>
      <c r="AL73" s="50">
        <v>277014.0</v>
      </c>
      <c r="AM73" s="50">
        <f t="shared" si="6"/>
        <v>326727</v>
      </c>
      <c r="AN73" s="50">
        <v>2419.0</v>
      </c>
      <c r="AO73" s="50">
        <v>43889.0</v>
      </c>
      <c r="AP73" s="50"/>
      <c r="AQ73" s="50">
        <f t="shared" si="16"/>
        <v>46308</v>
      </c>
      <c r="AR73" s="50">
        <v>237579.0</v>
      </c>
      <c r="AS73" s="50">
        <f t="shared" si="8"/>
        <v>283887</v>
      </c>
      <c r="AT73" s="50">
        <v>3339.0</v>
      </c>
      <c r="AU73" s="50">
        <v>51482.0</v>
      </c>
      <c r="AV73" s="50"/>
      <c r="AW73" s="50">
        <f t="shared" si="12"/>
        <v>54821</v>
      </c>
      <c r="AX73" s="50">
        <v>114259.0</v>
      </c>
      <c r="AY73" s="50">
        <f t="shared" si="10"/>
        <v>169080</v>
      </c>
      <c r="AZ73" s="57"/>
      <c r="BA73" s="51" t="s">
        <v>1284</v>
      </c>
      <c r="BC73" s="57" t="s">
        <v>1285</v>
      </c>
      <c r="BD73" s="52" t="s">
        <v>1158</v>
      </c>
    </row>
    <row r="74" ht="12.75" customHeight="1">
      <c r="A74" s="22" t="s">
        <v>415</v>
      </c>
      <c r="B74" s="22" t="s">
        <v>415</v>
      </c>
      <c r="C74" s="22" t="s">
        <v>914</v>
      </c>
      <c r="D74" s="22" t="s">
        <v>1171</v>
      </c>
      <c r="E74" s="53">
        <v>2.123E10</v>
      </c>
      <c r="F74" s="46" t="str">
        <f>IF(ISNUMBER(Table1[[#This Row],[2019 Scope 3 ]]),IF(Table1[[#This Row],[Net Earnings/Income (2019)]]-k_cost*Table1[[#This Row],[2019 Total Scope 1, 2 + 3]]&lt;0,"Y","N"),"NA")</f>
        <v>#ERROR!</v>
      </c>
      <c r="G74" s="47" t="str">
        <f>IF(ISNUMBER(Table1[[#This Row],[2019 Scope 3 ]]),IF(k_cost*Table1[[#This Row],[2019 Total Scope 1, 2 + 3]]/Table1[[#This Row],[Size (2019 Revenue)]]&gt;k_rev_max,"Y","N"),"NA")</f>
        <v>#ERROR!</v>
      </c>
      <c r="H74" s="47" t="str">
        <f>IF(OR(Table1[[#This Row],[Net earnings post carbon price @85/t]]="Y",Table1[[#This Row],[Carbon costs in % revenue]] = "Y"),"Y",IF(OR(Table1[[#This Row],[Net earnings post carbon price @85/t]]="NA",Table1[[#This Row],[Carbon costs in % revenue]]="NA"),"NA","N"))</f>
        <v>#ERROR!</v>
      </c>
      <c r="I74" s="53">
        <v>-6.52E8</v>
      </c>
      <c r="J74" s="48">
        <v>1986.0</v>
      </c>
      <c r="K74" s="13" t="s">
        <v>1126</v>
      </c>
      <c r="L74" s="13" t="s">
        <v>1127</v>
      </c>
      <c r="M74" s="13" t="s">
        <v>1127</v>
      </c>
      <c r="P74" s="57" t="s">
        <v>1286</v>
      </c>
      <c r="Q74" s="57" t="s">
        <v>1287</v>
      </c>
      <c r="R74" s="13" t="s">
        <v>1127</v>
      </c>
      <c r="T74" s="35" t="str">
        <f>IFERROR((Table1[[#This Row],[2019 Total Scope 1, 2 + 3]])/Table1[[#This Row],[2018 Total Scope 1, 2 + Scope 3]]-1,"NA")</f>
        <v>#ERROR!</v>
      </c>
      <c r="V74" s="50">
        <v>2.2430197E7</v>
      </c>
      <c r="W74" s="50">
        <v>6420000.0</v>
      </c>
      <c r="X74" s="50"/>
      <c r="Y74" s="50">
        <f t="shared" si="13"/>
        <v>28850197</v>
      </c>
      <c r="Z74" s="50">
        <f>103000000</f>
        <v>103000000</v>
      </c>
      <c r="AA74" s="50">
        <f t="shared" si="2"/>
        <v>131850197</v>
      </c>
      <c r="AB74" s="50">
        <v>1.037E7</v>
      </c>
      <c r="AC74" s="50">
        <v>4100000.0</v>
      </c>
      <c r="AD74" s="50"/>
      <c r="AE74" s="50">
        <f t="shared" si="14"/>
        <v>14470000</v>
      </c>
      <c r="AF74" s="50">
        <v>7.1E7</v>
      </c>
      <c r="AG74" s="50">
        <f t="shared" si="4"/>
        <v>85470000</v>
      </c>
      <c r="AH74" s="50">
        <v>1.13E7</v>
      </c>
      <c r="AI74" s="50">
        <v>4200000.0</v>
      </c>
      <c r="AJ74" s="50"/>
      <c r="AK74" s="50">
        <f t="shared" si="15"/>
        <v>15500000</v>
      </c>
      <c r="AL74" s="50">
        <v>6.3E7</v>
      </c>
      <c r="AM74" s="50">
        <f t="shared" si="6"/>
        <v>78500000</v>
      </c>
      <c r="AN74" s="50">
        <v>1.049E7</v>
      </c>
      <c r="AO74" s="50">
        <v>5380000.0</v>
      </c>
      <c r="AP74" s="50"/>
      <c r="AQ74" s="50">
        <f t="shared" si="16"/>
        <v>15870000</v>
      </c>
      <c r="AR74" s="50"/>
      <c r="AS74" s="50">
        <f t="shared" si="8"/>
        <v>15870000</v>
      </c>
      <c r="AT74" s="50">
        <v>9300000.0</v>
      </c>
      <c r="AU74" s="50">
        <v>4800000.0</v>
      </c>
      <c r="AV74" s="50"/>
      <c r="AW74" s="50">
        <f t="shared" si="12"/>
        <v>14100000</v>
      </c>
      <c r="AX74" s="50"/>
      <c r="AY74" s="50">
        <f t="shared" si="10"/>
        <v>14100000</v>
      </c>
      <c r="BA74" s="51" t="s">
        <v>1288</v>
      </c>
      <c r="BC74" s="57" t="s">
        <v>1289</v>
      </c>
      <c r="BD74" s="52"/>
    </row>
    <row r="75" ht="12.75" customHeight="1">
      <c r="A75" s="22" t="s">
        <v>420</v>
      </c>
      <c r="B75" s="22" t="s">
        <v>420</v>
      </c>
      <c r="C75" s="22" t="s">
        <v>840</v>
      </c>
      <c r="D75" s="22" t="s">
        <v>849</v>
      </c>
      <c r="E75" s="53">
        <v>3.95E10</v>
      </c>
      <c r="F75" s="46" t="str">
        <f>IF(ISNUMBER(Table1[[#This Row],[2019 Scope 3 ]]),IF(Table1[[#This Row],[Net Earnings/Income (2019)]]-k_cost*Table1[[#This Row],[2019 Total Scope 1, 2 + 3]]&lt;0,"Y","N"),"NA")</f>
        <v>#ERROR!</v>
      </c>
      <c r="G75" s="47" t="str">
        <f>IF(ISNUMBER(Table1[[#This Row],[2019 Scope 3 ]]),IF(k_cost*Table1[[#This Row],[2019 Total Scope 1, 2 + 3]]/Table1[[#This Row],[Size (2019 Revenue)]]&gt;k_rev_max,"Y","N"),"NA")</f>
        <v>#ERROR!</v>
      </c>
      <c r="H75" s="47" t="str">
        <f>IF(OR(Table1[[#This Row],[Net earnings post carbon price @85/t]]="Y",Table1[[#This Row],[Carbon costs in % revenue]] = "Y"),"Y",IF(OR(Table1[[#This Row],[Net earnings post carbon price @85/t]]="NA",Table1[[#This Row],[Carbon costs in % revenue]]="NA"),"NA","N"))</f>
        <v>#ERROR!</v>
      </c>
      <c r="I75" s="53">
        <v>1.108E10</v>
      </c>
      <c r="J75" s="48">
        <v>1986.0</v>
      </c>
      <c r="K75" s="13" t="s">
        <v>1126</v>
      </c>
      <c r="L75" s="22" t="s">
        <v>1127</v>
      </c>
      <c r="M75" s="13" t="s">
        <v>1127</v>
      </c>
      <c r="P75" s="57" t="s">
        <v>1290</v>
      </c>
      <c r="R75" s="13" t="s">
        <v>1127</v>
      </c>
      <c r="T75" s="35" t="str">
        <f>IFERROR((Table1[[#This Row],[2019 Total Scope 1, 2 + 3]])/Table1[[#This Row],[2018 Total Scope 1, 2 + Scope 3]]-1,"NA")</f>
        <v>#ERROR!</v>
      </c>
      <c r="V75" s="50">
        <v>16520.0</v>
      </c>
      <c r="W75" s="50">
        <v>349022.0</v>
      </c>
      <c r="X75" s="50"/>
      <c r="Y75" s="50">
        <f t="shared" si="13"/>
        <v>365542</v>
      </c>
      <c r="Z75" s="50">
        <f>1139792+151888+21233+8956+1055+173807+70+35824+10915</f>
        <v>1543540</v>
      </c>
      <c r="AA75" s="50">
        <f t="shared" si="2"/>
        <v>1909082</v>
      </c>
      <c r="AB75" s="50">
        <v>17084.0</v>
      </c>
      <c r="AC75" s="50">
        <v>362448.0</v>
      </c>
      <c r="AD75" s="50"/>
      <c r="AE75" s="50">
        <f t="shared" si="14"/>
        <v>379532</v>
      </c>
      <c r="AF75" s="50">
        <f>1355224+136405+21747+9468+762+192845+70+37874+11653</f>
        <v>1766048</v>
      </c>
      <c r="AG75" s="50">
        <f t="shared" si="4"/>
        <v>2145580</v>
      </c>
      <c r="AH75" s="50">
        <v>14763.0</v>
      </c>
      <c r="AI75" s="50">
        <v>403160.0</v>
      </c>
      <c r="AJ75" s="50"/>
      <c r="AK75" s="50">
        <f t="shared" si="15"/>
        <v>417923</v>
      </c>
      <c r="AL75" s="50">
        <f>77507+588157+24190+33270+769+184168+82.95+33270+40576+9716.17</f>
        <v>991706.12</v>
      </c>
      <c r="AM75" s="50">
        <f t="shared" si="6"/>
        <v>1409629.12</v>
      </c>
      <c r="AN75" s="50">
        <v>11293.0</v>
      </c>
      <c r="AO75" s="50">
        <v>354428.0</v>
      </c>
      <c r="AP75" s="50"/>
      <c r="AQ75" s="50">
        <f t="shared" si="16"/>
        <v>365721</v>
      </c>
      <c r="AR75" s="50">
        <f>40644+296193+23999+35103+812+188451+81.85+35103+17552+11604</f>
        <v>649542.85</v>
      </c>
      <c r="AS75" s="50">
        <f t="shared" si="8"/>
        <v>1015263.85</v>
      </c>
      <c r="AT75" s="50">
        <v>11741.0</v>
      </c>
      <c r="AU75" s="50">
        <v>358673.0</v>
      </c>
      <c r="AV75" s="50"/>
      <c r="AW75" s="50">
        <f t="shared" si="12"/>
        <v>370414</v>
      </c>
      <c r="AX75" s="50"/>
      <c r="AY75" s="50">
        <f t="shared" si="10"/>
        <v>370414</v>
      </c>
      <c r="BA75" s="51" t="s">
        <v>1291</v>
      </c>
      <c r="BC75" s="57" t="s">
        <v>1292</v>
      </c>
      <c r="BD75" s="52"/>
    </row>
    <row r="76" ht="12.75" customHeight="1">
      <c r="A76" s="22" t="s">
        <v>425</v>
      </c>
      <c r="B76" s="22" t="s">
        <v>425</v>
      </c>
      <c r="C76" s="22" t="s">
        <v>850</v>
      </c>
      <c r="D76" s="22" t="s">
        <v>1144</v>
      </c>
      <c r="E76" s="53">
        <v>1.777E10</v>
      </c>
      <c r="F76" s="46" t="str">
        <f>IF(ISNUMBER(Table1[[#This Row],[2019 Scope 3 ]]),IF(Table1[[#This Row],[Net Earnings/Income (2019)]]-k_cost*Table1[[#This Row],[2019 Total Scope 1, 2 + 3]]&lt;0,"Y","N"),"NA")</f>
        <v>#ERROR!</v>
      </c>
      <c r="G76" s="47" t="str">
        <f>IF(ISNUMBER(Table1[[#This Row],[2019 Scope 3 ]]),IF(k_cost*Table1[[#This Row],[2019 Total Scope 1, 2 + 3]]/Table1[[#This Row],[Size (2019 Revenue)]]&gt;k_rev_max,"Y","N"),"NA")</f>
        <v>#ERROR!</v>
      </c>
      <c r="H76" s="47" t="str">
        <f>IF(OR(Table1[[#This Row],[Net earnings post carbon price @85/t]]="Y",Table1[[#This Row],[Carbon costs in % revenue]] = "Y"),"Y",IF(OR(Table1[[#This Row],[Net earnings post carbon price @85/t]]="NA",Table1[[#This Row],[Carbon costs in % revenue]]="NA"),"NA","N"))</f>
        <v>#ERROR!</v>
      </c>
      <c r="I76" s="53">
        <v>2.459E9</v>
      </c>
      <c r="J76" s="48">
        <v>2002.0</v>
      </c>
      <c r="K76" s="13" t="s">
        <v>1126</v>
      </c>
      <c r="L76" s="13" t="s">
        <v>1127</v>
      </c>
      <c r="M76" s="57" t="s">
        <v>1126</v>
      </c>
      <c r="P76" s="57"/>
      <c r="R76" s="13" t="s">
        <v>1127</v>
      </c>
      <c r="T76" s="35" t="str">
        <f>IFERROR((Table1[[#This Row],[2019 Total Scope 1, 2 + 3]])/Table1[[#This Row],[2018 Total Scope 1, 2 + Scope 3]]-1,"NA")</f>
        <v>#ERROR!</v>
      </c>
      <c r="V76" s="50">
        <v>9900.0</v>
      </c>
      <c r="W76" s="50">
        <v>47000.0</v>
      </c>
      <c r="X76" s="50"/>
      <c r="Y76" s="50">
        <f t="shared" si="13"/>
        <v>56900</v>
      </c>
      <c r="Z76" s="50">
        <v>32100.0</v>
      </c>
      <c r="AA76" s="50">
        <f t="shared" si="2"/>
        <v>89000</v>
      </c>
      <c r="AB76" s="50">
        <v>10600.0</v>
      </c>
      <c r="AC76" s="50">
        <v>57900.0</v>
      </c>
      <c r="AD76" s="50"/>
      <c r="AE76" s="50">
        <f t="shared" si="14"/>
        <v>68500</v>
      </c>
      <c r="AF76" s="50">
        <v>31100.0</v>
      </c>
      <c r="AG76" s="50">
        <f t="shared" si="4"/>
        <v>99600</v>
      </c>
      <c r="AH76" s="50">
        <v>9600.0</v>
      </c>
      <c r="AI76" s="50">
        <v>57800.0</v>
      </c>
      <c r="AJ76" s="50"/>
      <c r="AK76" s="50">
        <f t="shared" si="15"/>
        <v>67400</v>
      </c>
      <c r="AL76" s="50">
        <v>24500.0</v>
      </c>
      <c r="AM76" s="50">
        <f t="shared" si="6"/>
        <v>91900</v>
      </c>
      <c r="AN76" s="50" t="s">
        <v>1130</v>
      </c>
      <c r="AO76" s="50" t="s">
        <v>1130</v>
      </c>
      <c r="AP76" s="50"/>
      <c r="AQ76" s="50" t="str">
        <f t="shared" si="16"/>
        <v/>
      </c>
      <c r="AR76" s="50" t="s">
        <v>1130</v>
      </c>
      <c r="AS76" s="50" t="str">
        <f t="shared" si="8"/>
        <v/>
      </c>
      <c r="AT76" s="50" t="s">
        <v>1130</v>
      </c>
      <c r="AU76" s="50" t="s">
        <v>1130</v>
      </c>
      <c r="AV76" s="50"/>
      <c r="AW76" s="50" t="str">
        <f t="shared" si="12"/>
        <v/>
      </c>
      <c r="AX76" s="50" t="s">
        <v>1130</v>
      </c>
      <c r="AY76" s="50" t="str">
        <f t="shared" si="10"/>
        <v/>
      </c>
      <c r="AZ76" s="13" t="s">
        <v>1293</v>
      </c>
      <c r="BA76" s="51" t="s">
        <v>1294</v>
      </c>
      <c r="BB76" s="57" t="s">
        <v>1295</v>
      </c>
      <c r="BC76" s="57" t="s">
        <v>1296</v>
      </c>
      <c r="BD76" s="52"/>
    </row>
    <row r="77" ht="12.75" customHeight="1">
      <c r="A77" s="22" t="s">
        <v>430</v>
      </c>
      <c r="B77" s="22" t="s">
        <v>431</v>
      </c>
      <c r="C77" s="22" t="s">
        <v>860</v>
      </c>
      <c r="D77" s="22" t="s">
        <v>1177</v>
      </c>
      <c r="E77" s="46">
        <v>6.716E10</v>
      </c>
      <c r="F77" s="46" t="str">
        <f>IF(ISNUMBER(Table1[[#This Row],[2019 Scope 3 ]]),IF(Table1[[#This Row],[Net Earnings/Income (2019)]]-k_cost*Table1[[#This Row],[2019 Total Scope 1, 2 + 3]]&lt;0,"Y","N"),"NA")</f>
        <v>#ERROR!</v>
      </c>
      <c r="G77" s="47" t="str">
        <f>IF(ISNUMBER(Table1[[#This Row],[2019 Scope 3 ]]),IF(k_cost*Table1[[#This Row],[2019 Total Scope 1, 2 + 3]]/Table1[[#This Row],[Size (2019 Revenue)]]&gt;k_rev_max,"Y","N"),"NA")</f>
        <v>#ERROR!</v>
      </c>
      <c r="H77" s="47" t="str">
        <f>IF(OR(Table1[[#This Row],[Net earnings post carbon price @85/t]]="Y",Table1[[#This Row],[Carbon costs in % revenue]] = "Y"),"Y",IF(OR(Table1[[#This Row],[Net earnings post carbon price @85/t]]="NA",Table1[[#This Row],[Carbon costs in % revenue]]="NA"),"NA","N"))</f>
        <v>#ERROR!</v>
      </c>
      <c r="I77" s="46">
        <v>7.353E9</v>
      </c>
      <c r="J77" s="48">
        <v>1999.0</v>
      </c>
      <c r="K77" s="46" t="s">
        <v>1126</v>
      </c>
      <c r="L77" s="22" t="s">
        <v>1127</v>
      </c>
      <c r="M77" s="13" t="s">
        <v>1126</v>
      </c>
      <c r="P77" s="57" t="s">
        <v>1297</v>
      </c>
      <c r="R77" s="13" t="s">
        <v>1127</v>
      </c>
      <c r="S77" s="13">
        <v>2020.0</v>
      </c>
      <c r="T77" s="35" t="str">
        <f>IFERROR((Table1[[#This Row],[2019 Total Scope 1, 2 + 3]])/Table1[[#This Row],[2018 Total Scope 1, 2 + Scope 3]]-1,"NA")</f>
        <v>#ERROR!</v>
      </c>
      <c r="V77" s="50">
        <v>3552415.0</v>
      </c>
      <c r="W77" s="50">
        <v>1425255.0</v>
      </c>
      <c r="X77" s="50"/>
      <c r="Y77" s="50">
        <f t="shared" si="13"/>
        <v>4977670</v>
      </c>
      <c r="Z77" s="50">
        <f>33599797+600278+946616+720951+25353+140452+201663+11088559+231426+811130+1843424+255417</f>
        <v>50465066</v>
      </c>
      <c r="AA77" s="50">
        <f t="shared" si="2"/>
        <v>55442736</v>
      </c>
      <c r="AB77" s="50">
        <v>3577266.0</v>
      </c>
      <c r="AC77" s="50">
        <v>1558167.0</v>
      </c>
      <c r="AD77" s="50"/>
      <c r="AE77" s="50">
        <f t="shared" si="14"/>
        <v>5135433</v>
      </c>
      <c r="AF77" s="50">
        <f>39026490+1698930+603560+1161810+60360+121070+506710+9964010+3046900+1195840+1418720+2730730+1282850</f>
        <v>62817980</v>
      </c>
      <c r="AG77" s="50">
        <f t="shared" si="4"/>
        <v>67953413</v>
      </c>
      <c r="AH77" s="50">
        <v>3734520.0</v>
      </c>
      <c r="AI77" s="50">
        <v>1713950.0</v>
      </c>
      <c r="AJ77" s="50"/>
      <c r="AK77" s="50">
        <f t="shared" si="15"/>
        <v>5448470</v>
      </c>
      <c r="AL77" s="50">
        <f>39026490+1698930+603560+1161810+60360+121070+506710+9964010+3046900+1195840+1418720+2730730+1282850</f>
        <v>62817980</v>
      </c>
      <c r="AM77" s="50">
        <f t="shared" si="6"/>
        <v>68266450</v>
      </c>
      <c r="AN77" s="50">
        <v>3798343.0</v>
      </c>
      <c r="AO77" s="50">
        <v>1912298.0</v>
      </c>
      <c r="AP77" s="50"/>
      <c r="AQ77" s="50">
        <f t="shared" si="16"/>
        <v>5710641</v>
      </c>
      <c r="AR77" s="50">
        <f>39026487+1698928+603559+1161808+60356+121072+506714+9964009+3046899+1195843+1418715+2730728+1282853</f>
        <v>62817971</v>
      </c>
      <c r="AS77" s="50">
        <f t="shared" si="8"/>
        <v>68528612</v>
      </c>
      <c r="AT77" s="50">
        <v>3766456.0</v>
      </c>
      <c r="AU77" s="50">
        <v>1985249.0</v>
      </c>
      <c r="AV77" s="50"/>
      <c r="AW77" s="50">
        <f t="shared" si="12"/>
        <v>5751705</v>
      </c>
      <c r="AX77" s="50">
        <v>6.3E7</v>
      </c>
      <c r="AY77" s="50">
        <f t="shared" si="10"/>
        <v>68751705</v>
      </c>
      <c r="BA77" s="57" t="s">
        <v>1298</v>
      </c>
      <c r="BC77" s="57" t="s">
        <v>1299</v>
      </c>
      <c r="BD77" s="52"/>
    </row>
    <row r="78" ht="12.75" customHeight="1">
      <c r="A78" s="22" t="s">
        <v>436</v>
      </c>
      <c r="B78" s="22" t="s">
        <v>437</v>
      </c>
      <c r="C78" s="22" t="s">
        <v>829</v>
      </c>
      <c r="D78" s="22" t="s">
        <v>1132</v>
      </c>
      <c r="E78" s="46">
        <v>5.175E10</v>
      </c>
      <c r="F78" s="46" t="str">
        <f>IF(ISNUMBER(Table1[[#This Row],[2019 Scope 3 ]]),IF(Table1[[#This Row],[Net Earnings/Income (2019)]]-k_cost*Table1[[#This Row],[2019 Total Scope 1, 2 + 3]]&lt;0,"Y","N"),"NA")</f>
        <v>#ERROR!</v>
      </c>
      <c r="G78" s="47" t="str">
        <f>IF(ISNUMBER(Table1[[#This Row],[2019 Scope 3 ]]),IF(k_cost*Table1[[#This Row],[2019 Total Scope 1, 2 + 3]]/Table1[[#This Row],[Size (2019 Revenue)]]&gt;k_rev_max,"Y","N"),"NA")</f>
        <v>#ERROR!</v>
      </c>
      <c r="H78" s="47" t="str">
        <f>IF(OR(Table1[[#This Row],[Net earnings post carbon price @85/t]]="Y",Table1[[#This Row],[Carbon costs in % revenue]] = "Y"),"Y",IF(OR(Table1[[#This Row],[Net earnings post carbon price @85/t]]="NA",Table1[[#This Row],[Carbon costs in % revenue]]="NA"),"NA","N"))</f>
        <v>#ERROR!</v>
      </c>
      <c r="I78" s="46">
        <v>1.627E10</v>
      </c>
      <c r="J78" s="48">
        <v>1942.0</v>
      </c>
      <c r="K78" s="46" t="s">
        <v>1126</v>
      </c>
      <c r="L78" s="13" t="s">
        <v>1127</v>
      </c>
      <c r="M78" s="13" t="s">
        <v>1126</v>
      </c>
      <c r="P78" s="57" t="s">
        <v>1300</v>
      </c>
      <c r="R78" s="13" t="s">
        <v>1127</v>
      </c>
      <c r="T78" s="35" t="str">
        <f>IFERROR((Table1[[#This Row],[2019 Total Scope 1, 2 + 3]])/Table1[[#This Row],[2018 Total Scope 1, 2 + Scope 3]]-1,"NA")</f>
        <v>#ERROR!</v>
      </c>
      <c r="V78" s="50">
        <v>734638.0</v>
      </c>
      <c r="W78" s="50">
        <v>634205.0</v>
      </c>
      <c r="X78" s="50"/>
      <c r="Y78" s="50">
        <f t="shared" si="13"/>
        <v>1368843</v>
      </c>
      <c r="Z78" s="50">
        <f>3794093+345953+252909+873030+16420+195718+60645+36273+99576</f>
        <v>5674617</v>
      </c>
      <c r="AA78" s="50">
        <f t="shared" si="2"/>
        <v>7043460</v>
      </c>
      <c r="AB78" s="50">
        <v>756964.0</v>
      </c>
      <c r="AC78" s="50">
        <v>905002.0</v>
      </c>
      <c r="AD78" s="50"/>
      <c r="AE78" s="50">
        <f t="shared" si="14"/>
        <v>1661966</v>
      </c>
      <c r="AF78" s="50">
        <f>1562024+855794+265780+416416+11667+347533+92869+35444+85059+7969</f>
        <v>3680555</v>
      </c>
      <c r="AG78" s="50">
        <f t="shared" si="4"/>
        <v>5342521</v>
      </c>
      <c r="AH78" s="50">
        <v>788838.0</v>
      </c>
      <c r="AI78" s="50">
        <v>812923.0</v>
      </c>
      <c r="AJ78" s="50"/>
      <c r="AK78" s="50">
        <f t="shared" si="15"/>
        <v>1601761</v>
      </c>
      <c r="AL78" s="50" t="s">
        <v>1130</v>
      </c>
      <c r="AM78" s="50" t="str">
        <f t="shared" si="6"/>
        <v/>
      </c>
      <c r="AN78" s="50">
        <v>940953.0</v>
      </c>
      <c r="AO78" s="50">
        <v>1106924.0</v>
      </c>
      <c r="AP78" s="50"/>
      <c r="AQ78" s="50">
        <f t="shared" si="16"/>
        <v>2047877</v>
      </c>
      <c r="AR78" s="50">
        <f>1239543+1316763+456623+200983+7363+439313+123060+36243</f>
        <v>3819891</v>
      </c>
      <c r="AS78" s="50">
        <f t="shared" si="8"/>
        <v>5867768</v>
      </c>
      <c r="AT78" s="50">
        <v>875274.0</v>
      </c>
      <c r="AU78" s="50">
        <v>625591.0</v>
      </c>
      <c r="AV78" s="50"/>
      <c r="AW78" s="50">
        <f t="shared" si="12"/>
        <v>1500865</v>
      </c>
      <c r="AX78" s="50">
        <f>2135509+956001+342259+126424+6508+147598+134086+89710</f>
        <v>3938095</v>
      </c>
      <c r="AY78" s="50">
        <f t="shared" si="10"/>
        <v>5438960</v>
      </c>
      <c r="AZ78" s="49" t="s">
        <v>1127</v>
      </c>
      <c r="BA78" s="57" t="s">
        <v>1301</v>
      </c>
      <c r="BC78" s="57" t="s">
        <v>1302</v>
      </c>
      <c r="BD78" s="52"/>
    </row>
    <row r="79" ht="12.75" customHeight="1">
      <c r="A79" s="22" t="s">
        <v>442</v>
      </c>
      <c r="B79" s="22" t="s">
        <v>443</v>
      </c>
      <c r="C79" s="22" t="s">
        <v>860</v>
      </c>
      <c r="D79" s="22" t="s">
        <v>864</v>
      </c>
      <c r="E79" s="46">
        <v>7.982E10</v>
      </c>
      <c r="F79" s="46" t="str">
        <f>IF(ISNUMBER(Table1[[#This Row],[2019 Scope 3 ]]),IF(Table1[[#This Row],[Net Earnings/Income (2019)]]-k_cost*Table1[[#This Row],[2019 Total Scope 1, 2 + 3]]&lt;0,"Y","N"),"NA")</f>
        <v>#ERROR!</v>
      </c>
      <c r="G79" s="47" t="str">
        <f>IF(ISNUMBER(Table1[[#This Row],[2019 Scope 3 ]]),IF(k_cost*Table1[[#This Row],[2019 Total Scope 1, 2 + 3]]/Table1[[#This Row],[Size (2019 Revenue)]]&gt;k_rev_max,"Y","N"),"NA")</f>
        <v>#ERROR!</v>
      </c>
      <c r="H79" s="47" t="str">
        <f>IF(OR(Table1[[#This Row],[Net earnings post carbon price @85/t]]="Y",Table1[[#This Row],[Carbon costs in % revenue]] = "Y"),"Y",IF(OR(Table1[[#This Row],[Net earnings post carbon price @85/t]]="NA",Table1[[#This Row],[Carbon costs in % revenue]]="NA"),"NA","N"))</f>
        <v>#ERROR!</v>
      </c>
      <c r="I79" s="46">
        <v>7.91E9</v>
      </c>
      <c r="J79" s="48">
        <v>2008.0</v>
      </c>
      <c r="K79" s="46" t="s">
        <v>1126</v>
      </c>
      <c r="L79" s="13" t="s">
        <v>1126</v>
      </c>
      <c r="M79" s="13" t="s">
        <v>1126</v>
      </c>
      <c r="N79" s="13">
        <v>2030.0</v>
      </c>
      <c r="O79" s="13">
        <v>2019.0</v>
      </c>
      <c r="P79" s="57" t="s">
        <v>1303</v>
      </c>
      <c r="Q79" s="13" t="s">
        <v>1126</v>
      </c>
      <c r="R79" s="13" t="s">
        <v>1127</v>
      </c>
      <c r="S79" s="13">
        <v>2030.0</v>
      </c>
      <c r="T79" s="35" t="str">
        <f>IFERROR((Table1[[#This Row],[2019 Total Scope 1, 2 + 3]])/Table1[[#This Row],[2018 Total Scope 1, 2 + Scope 3]]-1,"NA")</f>
        <v>#ERROR!</v>
      </c>
      <c r="V79" s="50">
        <f>4682000*0.085</f>
        <v>397970</v>
      </c>
      <c r="W79" s="50">
        <f>4682000*0.034</f>
        <v>159188</v>
      </c>
      <c r="X79" s="50"/>
      <c r="Y79" s="50">
        <f t="shared" si="13"/>
        <v>557158</v>
      </c>
      <c r="Z79" s="50">
        <f>4682000*0.881</f>
        <v>4124842</v>
      </c>
      <c r="AA79" s="50">
        <f t="shared" si="2"/>
        <v>4682000</v>
      </c>
      <c r="AB79" s="50">
        <v>408162.0</v>
      </c>
      <c r="AC79" s="50">
        <v>175785.0</v>
      </c>
      <c r="AD79" s="50"/>
      <c r="AE79" s="50">
        <f t="shared" si="14"/>
        <v>583947</v>
      </c>
      <c r="AF79" s="50">
        <v>4920000.0</v>
      </c>
      <c r="AG79" s="50">
        <f t="shared" si="4"/>
        <v>5503947</v>
      </c>
      <c r="AH79" s="50">
        <v>388384.0</v>
      </c>
      <c r="AI79" s="50">
        <v>241355.0</v>
      </c>
      <c r="AJ79" s="50"/>
      <c r="AK79" s="50">
        <f t="shared" si="15"/>
        <v>629739</v>
      </c>
      <c r="AL79" s="50">
        <v>5137000.0</v>
      </c>
      <c r="AM79" s="50">
        <f t="shared" si="6"/>
        <v>5766739</v>
      </c>
      <c r="AN79" s="50">
        <v>351990.0</v>
      </c>
      <c r="AO79" s="50">
        <v>314049.0</v>
      </c>
      <c r="AP79" s="50"/>
      <c r="AQ79" s="50">
        <f t="shared" si="16"/>
        <v>666039</v>
      </c>
      <c r="AR79" s="50">
        <v>5649000.0</v>
      </c>
      <c r="AS79" s="50">
        <f t="shared" si="8"/>
        <v>6315039</v>
      </c>
      <c r="AT79" s="50">
        <v>361720.0</v>
      </c>
      <c r="AU79" s="50">
        <v>329323.0</v>
      </c>
      <c r="AV79" s="50"/>
      <c r="AW79" s="50">
        <f t="shared" si="12"/>
        <v>691043</v>
      </c>
      <c r="AX79" s="50">
        <v>5690000.0</v>
      </c>
      <c r="AY79" s="50">
        <f t="shared" si="10"/>
        <v>6381043</v>
      </c>
      <c r="BA79" s="57" t="s">
        <v>1304</v>
      </c>
      <c r="BC79" s="57" t="s">
        <v>1305</v>
      </c>
      <c r="BD79" s="52"/>
    </row>
    <row r="80" ht="12.75" customHeight="1">
      <c r="A80" s="22" t="s">
        <v>448</v>
      </c>
      <c r="B80" s="22" t="s">
        <v>449</v>
      </c>
      <c r="C80" s="22" t="s">
        <v>860</v>
      </c>
      <c r="D80" s="22" t="s">
        <v>1179</v>
      </c>
      <c r="E80" s="46">
        <v>6.768E10</v>
      </c>
      <c r="F80" s="46" t="str">
        <f>IF(ISNUMBER(Table1[[#This Row],[2019 Scope 3 ]]),IF(Table1[[#This Row],[Net Earnings/Income (2019)]]-k_cost*Table1[[#This Row],[2019 Total Scope 1, 2 + 3]]&lt;0,"Y","N"),"NA")</f>
        <v>#ERROR!</v>
      </c>
      <c r="G80" s="47" t="str">
        <f>IF(ISNUMBER(Table1[[#This Row],[2019 Scope 3 ]]),IF(k_cost*Table1[[#This Row],[2019 Total Scope 1, 2 + 3]]/Table1[[#This Row],[Size (2019 Revenue)]]&gt;k_rev_max,"Y","N"),"NA")</f>
        <v>#ERROR!</v>
      </c>
      <c r="H80" s="47" t="str">
        <f>IF(OR(Table1[[#This Row],[Net earnings post carbon price @85/t]]="Y",Table1[[#This Row],[Carbon costs in % revenue]] = "Y"),"Y",IF(OR(Table1[[#This Row],[Net earnings post carbon price @85/t]]="NA",Table1[[#This Row],[Carbon costs in % revenue]]="NA"),"NA","N"))</f>
        <v>#ERROR!</v>
      </c>
      <c r="I80" s="46">
        <v>3.89E9</v>
      </c>
      <c r="J80" s="48">
        <v>1978.0</v>
      </c>
      <c r="K80" s="46" t="s">
        <v>1126</v>
      </c>
      <c r="L80" s="22" t="s">
        <v>1127</v>
      </c>
      <c r="M80" s="13" t="s">
        <v>1126</v>
      </c>
      <c r="P80" s="57" t="s">
        <v>1306</v>
      </c>
      <c r="Q80" s="13" t="s">
        <v>1127</v>
      </c>
      <c r="R80" s="13" t="s">
        <v>1127</v>
      </c>
      <c r="S80" s="13">
        <v>2030.0</v>
      </c>
      <c r="T80" s="35" t="str">
        <f>IFERROR((Table1[[#This Row],[2019 Total Scope 1, 2 + 3]])/Table1[[#This Row],[2018 Total Scope 1, 2 + Scope 3]]-1,"NA")</f>
        <v>#ERROR!</v>
      </c>
      <c r="V80" s="50">
        <v>2210000.0</v>
      </c>
      <c r="W80" s="50">
        <v>1840000.0</v>
      </c>
      <c r="X80" s="50"/>
      <c r="Y80" s="50">
        <f t="shared" si="13"/>
        <v>4050000</v>
      </c>
      <c r="Z80" s="50">
        <f>164210001+247000+495000+9000+151042+117000+3700000+199133000+13251000</f>
        <v>381313043</v>
      </c>
      <c r="AA80" s="50">
        <f t="shared" si="2"/>
        <v>385363043</v>
      </c>
      <c r="AB80" s="50">
        <v>2143000.0</v>
      </c>
      <c r="AC80" s="50">
        <v>1910000.0</v>
      </c>
      <c r="AD80" s="50"/>
      <c r="AE80" s="50">
        <f t="shared" si="14"/>
        <v>4053000</v>
      </c>
      <c r="AF80" s="50">
        <v>2.35218042E8</v>
      </c>
      <c r="AG80" s="50">
        <f t="shared" si="4"/>
        <v>239271042</v>
      </c>
      <c r="AH80" s="50">
        <v>2122000.0</v>
      </c>
      <c r="AI80" s="50">
        <v>2437000.0</v>
      </c>
      <c r="AJ80" s="50"/>
      <c r="AK80" s="50">
        <f t="shared" si="15"/>
        <v>4559000</v>
      </c>
      <c r="AL80" s="50">
        <v>2.35218042E8</v>
      </c>
      <c r="AM80" s="50">
        <f t="shared" si="6"/>
        <v>239777042</v>
      </c>
      <c r="AN80" s="50">
        <v>2099000.0</v>
      </c>
      <c r="AO80" s="50">
        <v>2742000.0</v>
      </c>
      <c r="AP80" s="50"/>
      <c r="AQ80" s="50">
        <f t="shared" si="16"/>
        <v>4841000</v>
      </c>
      <c r="AR80" s="50">
        <v>2.10173353E8</v>
      </c>
      <c r="AS80" s="50">
        <f t="shared" si="8"/>
        <v>215014353</v>
      </c>
      <c r="AT80" s="50">
        <v>2268000.0</v>
      </c>
      <c r="AU80" s="50">
        <v>2881000.0</v>
      </c>
      <c r="AV80" s="50"/>
      <c r="AW80" s="50">
        <f t="shared" si="12"/>
        <v>5149000</v>
      </c>
      <c r="AX80" s="50">
        <v>2.10173353E8</v>
      </c>
      <c r="AY80" s="50">
        <f t="shared" si="10"/>
        <v>215322353</v>
      </c>
      <c r="AZ80" s="57" t="s">
        <v>1307</v>
      </c>
      <c r="BA80" s="57" t="s">
        <v>1308</v>
      </c>
      <c r="BC80" s="57" t="s">
        <v>1309</v>
      </c>
      <c r="BD80" s="52"/>
    </row>
    <row r="81" ht="12.75" customHeight="1">
      <c r="A81" s="22" t="s">
        <v>454</v>
      </c>
      <c r="B81" s="22" t="s">
        <v>455</v>
      </c>
      <c r="C81" s="22" t="s">
        <v>840</v>
      </c>
      <c r="D81" s="22" t="s">
        <v>1150</v>
      </c>
      <c r="E81" s="53">
        <v>2.427E10</v>
      </c>
      <c r="F81" s="46" t="str">
        <f>IF(ISNUMBER(Table1[[#This Row],[2019 Scope 3 ]]),IF(Table1[[#This Row],[Net Earnings/Income (2019)]]-k_cost*Table1[[#This Row],[2019 Total Scope 1, 2 + 3]]&lt;0,"Y","N"),"NA")</f>
        <v>#ERROR!</v>
      </c>
      <c r="G81" s="47" t="str">
        <f>IF(ISNUMBER(Table1[[#This Row],[2019 Scope 3 ]]),IF(k_cost*Table1[[#This Row],[2019 Total Scope 1, 2 + 3]]/Table1[[#This Row],[Size (2019 Revenue)]]&gt;k_rev_max,"Y","N"),"NA")</f>
        <v>#ERROR!</v>
      </c>
      <c r="H81" s="47" t="str">
        <f>IF(OR(Table1[[#This Row],[Net earnings post carbon price @85/t]]="Y",Table1[[#This Row],[Carbon costs in % revenue]] = "Y"),"Y",IF(OR(Table1[[#This Row],[Net earnings post carbon price @85/t]]="NA",Table1[[#This Row],[Carbon costs in % revenue]]="NA"),"NA","N"))</f>
        <v>#ERROR!</v>
      </c>
      <c r="I81" s="53">
        <v>4.39E9</v>
      </c>
      <c r="J81" s="48">
        <v>1991.0</v>
      </c>
      <c r="K81" s="13" t="s">
        <v>1126</v>
      </c>
      <c r="L81" s="13" t="s">
        <v>1127</v>
      </c>
      <c r="M81" s="13" t="s">
        <v>1127</v>
      </c>
      <c r="P81" s="57" t="s">
        <v>1310</v>
      </c>
      <c r="Q81" s="13" t="s">
        <v>1126</v>
      </c>
      <c r="R81" s="13" t="s">
        <v>1127</v>
      </c>
      <c r="T81" s="35" t="str">
        <f>IFERROR((Table1[[#This Row],[2019 Total Scope 1, 2 + 3]])/Table1[[#This Row],[2018 Total Scope 1, 2 + Scope 3]]-1,"NA")</f>
        <v>#ERROR!</v>
      </c>
      <c r="V81" s="50">
        <v>75290.0</v>
      </c>
      <c r="W81" s="50">
        <v>114060.0</v>
      </c>
      <c r="X81" s="50"/>
      <c r="Y81" s="50">
        <f t="shared" si="13"/>
        <v>189350</v>
      </c>
      <c r="Z81" s="50">
        <v>112252.0</v>
      </c>
      <c r="AA81" s="50">
        <f t="shared" si="2"/>
        <v>301602</v>
      </c>
      <c r="AB81" s="50">
        <v>73832.0</v>
      </c>
      <c r="AC81" s="50">
        <v>120771.0</v>
      </c>
      <c r="AD81" s="50"/>
      <c r="AE81" s="50">
        <f t="shared" si="14"/>
        <v>194603</v>
      </c>
      <c r="AF81" s="50">
        <v>112252.0</v>
      </c>
      <c r="AG81" s="50">
        <f t="shared" si="4"/>
        <v>306855</v>
      </c>
      <c r="AH81" s="50">
        <v>80179.0</v>
      </c>
      <c r="AI81" s="50">
        <v>128298.0</v>
      </c>
      <c r="AJ81" s="50"/>
      <c r="AK81" s="50">
        <f t="shared" si="15"/>
        <v>208477</v>
      </c>
      <c r="AL81" s="50">
        <v>112252.0</v>
      </c>
      <c r="AM81" s="50">
        <f t="shared" si="6"/>
        <v>320729</v>
      </c>
      <c r="AN81" s="50">
        <v>75205.0</v>
      </c>
      <c r="AO81" s="50">
        <v>147681.0</v>
      </c>
      <c r="AP81" s="50"/>
      <c r="AQ81" s="50">
        <f t="shared" si="16"/>
        <v>222886</v>
      </c>
      <c r="AR81" s="50">
        <v>112252.0</v>
      </c>
      <c r="AS81" s="50">
        <f t="shared" si="8"/>
        <v>335138</v>
      </c>
      <c r="AT81" s="50">
        <v>75349.0</v>
      </c>
      <c r="AU81" s="50">
        <v>155288.0</v>
      </c>
      <c r="AV81" s="50"/>
      <c r="AW81" s="50">
        <f t="shared" si="12"/>
        <v>230637</v>
      </c>
      <c r="AX81" s="50">
        <v>38845.0</v>
      </c>
      <c r="AY81" s="50">
        <f t="shared" si="10"/>
        <v>269482</v>
      </c>
      <c r="BA81" s="51" t="s">
        <v>1311</v>
      </c>
      <c r="BC81" s="57" t="s">
        <v>1312</v>
      </c>
      <c r="BD81" s="52"/>
    </row>
    <row r="82" ht="12.75" customHeight="1">
      <c r="A82" s="22" t="s">
        <v>460</v>
      </c>
      <c r="B82" s="22" t="s">
        <v>461</v>
      </c>
      <c r="C82" s="22" t="s">
        <v>822</v>
      </c>
      <c r="D82" s="22" t="s">
        <v>1161</v>
      </c>
      <c r="E82" s="53">
        <v>2.9176E10</v>
      </c>
      <c r="F82" s="46" t="str">
        <f>IF(ISNUMBER(Table1[[#This Row],[2019 Scope 3 ]]),IF(Table1[[#This Row],[Net Earnings/Income (2019)]]-k_cost*Table1[[#This Row],[2019 Total Scope 1, 2 + 3]]&lt;0,"Y","N"),"NA")</f>
        <v>#ERROR!</v>
      </c>
      <c r="G82" s="47" t="str">
        <f>IF(ISNUMBER(Table1[[#This Row],[2019 Scope 3 ]]),IF(k_cost*Table1[[#This Row],[2019 Total Scope 1, 2 + 3]]/Table1[[#This Row],[Size (2019 Revenue)]]&gt;k_rev_max,"Y","N"),"NA")</f>
        <v>#ERROR!</v>
      </c>
      <c r="H82" s="47" t="str">
        <f>IF(OR(Table1[[#This Row],[Net earnings post carbon price @85/t]]="Y",Table1[[#This Row],[Carbon costs in % revenue]] = "Y"),"Y",IF(OR(Table1[[#This Row],[Net earnings post carbon price @85/t]]="NA",Table1[[#This Row],[Carbon costs in % revenue]]="NA"),"NA","N"))</f>
        <v>#ERROR!</v>
      </c>
      <c r="I82" s="53">
        <v>3.343E9</v>
      </c>
      <c r="J82" s="48">
        <v>1952.0</v>
      </c>
      <c r="K82" s="13" t="s">
        <v>1126</v>
      </c>
      <c r="L82" s="13" t="s">
        <v>1127</v>
      </c>
      <c r="M82" s="13" t="s">
        <v>1127</v>
      </c>
      <c r="P82" s="57" t="s">
        <v>1313</v>
      </c>
      <c r="R82" s="13" t="s">
        <v>1127</v>
      </c>
      <c r="T82" s="35" t="str">
        <f>IFERROR((Table1[[#This Row],[2019 Total Scope 1, 2 + 3]])/Table1[[#This Row],[2018 Total Scope 1, 2 + Scope 3]]-1,"NA")</f>
        <v>#ERROR!</v>
      </c>
      <c r="V82" s="50">
        <v>612307.0</v>
      </c>
      <c r="W82" s="50">
        <v>1114227.0</v>
      </c>
      <c r="X82" s="50"/>
      <c r="Y82" s="50">
        <f t="shared" si="13"/>
        <v>1726534</v>
      </c>
      <c r="Z82" s="50">
        <f>10865507+1263+194470</f>
        <v>11061240</v>
      </c>
      <c r="AA82" s="50">
        <f t="shared" si="2"/>
        <v>12787774</v>
      </c>
      <c r="AB82" s="50" t="s">
        <v>1130</v>
      </c>
      <c r="AC82" s="50" t="s">
        <v>1130</v>
      </c>
      <c r="AD82" s="50"/>
      <c r="AE82" s="50" t="str">
        <f t="shared" si="14"/>
        <v/>
      </c>
      <c r="AF82" s="50" t="s">
        <v>1130</v>
      </c>
      <c r="AG82" s="50" t="str">
        <f t="shared" si="4"/>
        <v/>
      </c>
      <c r="AH82" s="50" t="s">
        <v>1130</v>
      </c>
      <c r="AI82" s="50" t="s">
        <v>1130</v>
      </c>
      <c r="AJ82" s="50"/>
      <c r="AK82" s="50" t="str">
        <f t="shared" si="15"/>
        <v/>
      </c>
      <c r="AL82" s="50" t="s">
        <v>1130</v>
      </c>
      <c r="AM82" s="50" t="str">
        <f t="shared" si="6"/>
        <v/>
      </c>
      <c r="AN82" s="50" t="s">
        <v>1130</v>
      </c>
      <c r="AO82" s="50" t="s">
        <v>1130</v>
      </c>
      <c r="AP82" s="50"/>
      <c r="AQ82" s="50" t="str">
        <f t="shared" si="16"/>
        <v/>
      </c>
      <c r="AR82" s="50" t="s">
        <v>1130</v>
      </c>
      <c r="AS82" s="50" t="str">
        <f t="shared" si="8"/>
        <v/>
      </c>
      <c r="AT82" s="50" t="s">
        <v>1130</v>
      </c>
      <c r="AU82" s="50" t="s">
        <v>1130</v>
      </c>
      <c r="AV82" s="50"/>
      <c r="AW82" s="50" t="str">
        <f t="shared" si="12"/>
        <v/>
      </c>
      <c r="AX82" s="50" t="s">
        <v>1130</v>
      </c>
      <c r="AY82" s="50" t="str">
        <f t="shared" si="10"/>
        <v/>
      </c>
      <c r="BA82" s="51" t="s">
        <v>1314</v>
      </c>
      <c r="BB82" s="57" t="s">
        <v>1315</v>
      </c>
      <c r="BC82" s="57" t="s">
        <v>1316</v>
      </c>
      <c r="BD82" s="52"/>
    </row>
    <row r="83" ht="12.75" customHeight="1">
      <c r="A83" s="22" t="s">
        <v>462</v>
      </c>
      <c r="B83" s="22" t="s">
        <v>462</v>
      </c>
      <c r="C83" s="22" t="s">
        <v>840</v>
      </c>
      <c r="D83" s="22" t="s">
        <v>849</v>
      </c>
      <c r="E83" s="46">
        <v>1.328E10</v>
      </c>
      <c r="F83" s="46" t="str">
        <f>IF(ISNUMBER(Table1[[#This Row],[2019 Scope 3 ]]),IF(Table1[[#This Row],[Net Earnings/Income (2019)]]-k_cost*Table1[[#This Row],[2019 Total Scope 1, 2 + 3]]&lt;0,"Y","N"),"NA")</f>
        <v>#ERROR!</v>
      </c>
      <c r="G83" s="47" t="str">
        <f>IF(ISNUMBER(Table1[[#This Row],[2019 Scope 3 ]]),IF(k_cost*Table1[[#This Row],[2019 Total Scope 1, 2 + 3]]/Table1[[#This Row],[Size (2019 Revenue)]]&gt;k_rev_max,"Y","N"),"NA")</f>
        <v>#ERROR!</v>
      </c>
      <c r="H83" s="47" t="str">
        <f>IF(OR(Table1[[#This Row],[Net earnings post carbon price @85/t]]="Y",Table1[[#This Row],[Carbon costs in % revenue]] = "Y"),"Y",IF(OR(Table1[[#This Row],[Net earnings post carbon price @85/t]]="NA",Table1[[#This Row],[Carbon costs in % revenue]]="NA"),"NA","N"))</f>
        <v>#ERROR!</v>
      </c>
      <c r="I83" s="46">
        <v>1.11E9</v>
      </c>
      <c r="J83" s="48">
        <v>2004.0</v>
      </c>
      <c r="K83" s="46" t="s">
        <v>1126</v>
      </c>
      <c r="L83" s="22" t="s">
        <v>1126</v>
      </c>
      <c r="M83" s="57" t="s">
        <v>1126</v>
      </c>
      <c r="N83" s="13">
        <v>2017.0</v>
      </c>
      <c r="P83" s="57" t="s">
        <v>1317</v>
      </c>
      <c r="Q83" s="13" t="s">
        <v>1126</v>
      </c>
      <c r="R83" s="13" t="s">
        <v>1126</v>
      </c>
      <c r="S83" s="13">
        <v>2022.0</v>
      </c>
      <c r="T83" s="35" t="str">
        <f>IFERROR((Table1[[#This Row],[2019 Total Scope 1, 2 + 3]])/Table1[[#This Row],[2018 Total Scope 1, 2 + Scope 3]]-1,"NA")</f>
        <v>#ERROR!</v>
      </c>
      <c r="V83" s="50">
        <v>5000.0</v>
      </c>
      <c r="W83" s="50">
        <v>291000.0</v>
      </c>
      <c r="X83" s="50">
        <f>V83+W83</f>
        <v>296000</v>
      </c>
      <c r="Y83" s="50">
        <f t="shared" si="13"/>
        <v>0</v>
      </c>
      <c r="Z83" s="50">
        <v>181000.0</v>
      </c>
      <c r="AA83" s="50">
        <f t="shared" si="2"/>
        <v>181000</v>
      </c>
      <c r="AB83" s="50">
        <v>4000.0</v>
      </c>
      <c r="AC83" s="50">
        <v>236000.0</v>
      </c>
      <c r="AD83" s="50">
        <f>AB83+AC83</f>
        <v>240000</v>
      </c>
      <c r="AE83" s="50">
        <f t="shared" si="14"/>
        <v>0</v>
      </c>
      <c r="AF83" s="50">
        <v>134000.0</v>
      </c>
      <c r="AG83" s="50">
        <f t="shared" si="4"/>
        <v>134000</v>
      </c>
      <c r="AH83" s="50">
        <v>4000.0</v>
      </c>
      <c r="AI83" s="50">
        <v>174000.0</v>
      </c>
      <c r="AJ83" s="50">
        <f>0.23*(AH83+AI83)</f>
        <v>40940</v>
      </c>
      <c r="AK83" s="50">
        <f t="shared" si="15"/>
        <v>137060</v>
      </c>
      <c r="AL83" s="50">
        <v>99000.0</v>
      </c>
      <c r="AM83" s="50">
        <f t="shared" si="6"/>
        <v>236060</v>
      </c>
      <c r="AN83" s="50">
        <v>3000.0</v>
      </c>
      <c r="AO83" s="50">
        <v>132000.0</v>
      </c>
      <c r="AP83" s="50">
        <f>0.23*(AN83+AO83)</f>
        <v>31050</v>
      </c>
      <c r="AQ83" s="50">
        <f t="shared" si="16"/>
        <v>103950</v>
      </c>
      <c r="AR83" s="50">
        <v>84000.0</v>
      </c>
      <c r="AS83" s="50">
        <f t="shared" si="8"/>
        <v>187950</v>
      </c>
      <c r="AT83" s="50">
        <v>5000.0</v>
      </c>
      <c r="AU83" s="50">
        <v>71000.0</v>
      </c>
      <c r="AV83" s="50"/>
      <c r="AW83" s="50">
        <f t="shared" si="12"/>
        <v>76000</v>
      </c>
      <c r="AX83" s="50">
        <v>56000.0</v>
      </c>
      <c r="AY83" s="50">
        <f t="shared" si="10"/>
        <v>132000</v>
      </c>
      <c r="BA83" s="51" t="s">
        <v>1318</v>
      </c>
      <c r="BB83" s="57" t="s">
        <v>1319</v>
      </c>
      <c r="BC83" s="57" t="s">
        <v>1320</v>
      </c>
      <c r="BD83" s="52"/>
    </row>
    <row r="84" ht="12.75" customHeight="1">
      <c r="A84" s="22" t="s">
        <v>467</v>
      </c>
      <c r="B84" s="22" t="s">
        <v>468</v>
      </c>
      <c r="C84" s="22" t="s">
        <v>914</v>
      </c>
      <c r="D84" s="22" t="s">
        <v>1171</v>
      </c>
      <c r="E84" s="53">
        <v>3.29E10</v>
      </c>
      <c r="F84" s="46" t="str">
        <f>IF(ISNUMBER(Table1[[#This Row],[2019 Scope 3 ]]),IF(Table1[[#This Row],[Net Earnings/Income (2019)]]-k_cost*Table1[[#This Row],[2019 Total Scope 1, 2 + 3]]&lt;0,"Y","N"),"NA")</f>
        <v>#ERROR!</v>
      </c>
      <c r="G84" s="47" t="str">
        <f>IF(ISNUMBER(Table1[[#This Row],[2019 Scope 3 ]]),IF(k_cost*Table1[[#This Row],[2019 Total Scope 1, 2 + 3]]/Table1[[#This Row],[Size (2019 Revenue)]]&gt;k_rev_max,"Y","N"),"NA")</f>
        <v>#ERROR!</v>
      </c>
      <c r="H84" s="47" t="str">
        <f>IF(OR(Table1[[#This Row],[Net earnings post carbon price @85/t]]="Y",Table1[[#This Row],[Carbon costs in % revenue]] = "Y"),"Y",IF(OR(Table1[[#This Row],[Net earnings post carbon price @85/t]]="NA",Table1[[#This Row],[Carbon costs in % revenue]]="NA"),"NA","N"))</f>
        <v>#ERROR!</v>
      </c>
      <c r="I84" s="53">
        <v>-1.0137E10</v>
      </c>
      <c r="J84" s="48">
        <v>1956.0</v>
      </c>
      <c r="K84" s="13" t="s">
        <v>1126</v>
      </c>
      <c r="L84" s="13" t="s">
        <v>1127</v>
      </c>
      <c r="M84" s="57" t="s">
        <v>1126</v>
      </c>
      <c r="R84" s="13" t="s">
        <v>1127</v>
      </c>
      <c r="T84" s="35" t="str">
        <f>IFERROR((Table1[[#This Row],[2019 Total Scope 1, 2 + 3]])/Table1[[#This Row],[2018 Total Scope 1, 2 + Scope 3]]-1,"NA")</f>
        <v>#ERROR!</v>
      </c>
      <c r="V84" s="50" t="s">
        <v>1130</v>
      </c>
      <c r="W84" s="50" t="s">
        <v>1130</v>
      </c>
      <c r="X84" s="50"/>
      <c r="Y84" s="50" t="str">
        <f t="shared" si="13"/>
        <v/>
      </c>
      <c r="Z84" s="50" t="s">
        <v>1130</v>
      </c>
      <c r="AA84" s="50" t="str">
        <f t="shared" si="2"/>
        <v/>
      </c>
      <c r="AB84" s="50">
        <v>1423000.0</v>
      </c>
      <c r="AC84" s="50">
        <v>642000.0</v>
      </c>
      <c r="AD84" s="50"/>
      <c r="AE84" s="50">
        <f t="shared" si="14"/>
        <v>2065000</v>
      </c>
      <c r="AF84" s="50">
        <v>1185000.0</v>
      </c>
      <c r="AG84" s="50">
        <f t="shared" si="4"/>
        <v>3250000</v>
      </c>
      <c r="AH84" s="50">
        <v>1358000.0</v>
      </c>
      <c r="AI84" s="50">
        <v>561000.0</v>
      </c>
      <c r="AJ84" s="50"/>
      <c r="AK84" s="50">
        <f t="shared" si="15"/>
        <v>1919000</v>
      </c>
      <c r="AL84" s="50">
        <v>911000.0</v>
      </c>
      <c r="AM84" s="50">
        <f t="shared" si="6"/>
        <v>2830000</v>
      </c>
      <c r="AN84" s="50">
        <v>1136000.0</v>
      </c>
      <c r="AO84" s="50">
        <v>704000.0</v>
      </c>
      <c r="AP84" s="50"/>
      <c r="AQ84" s="50">
        <f t="shared" si="16"/>
        <v>1840000</v>
      </c>
      <c r="AR84" s="50">
        <v>876000.0</v>
      </c>
      <c r="AS84" s="50">
        <f t="shared" si="8"/>
        <v>2716000</v>
      </c>
      <c r="AT84" s="50">
        <v>1400000.0</v>
      </c>
      <c r="AU84" s="50">
        <v>577000.0</v>
      </c>
      <c r="AV84" s="50"/>
      <c r="AW84" s="50">
        <f t="shared" si="12"/>
        <v>1977000</v>
      </c>
      <c r="AX84" s="50">
        <v>1057000.0</v>
      </c>
      <c r="AY84" s="50">
        <f t="shared" si="10"/>
        <v>3034000</v>
      </c>
      <c r="AZ84" s="13" t="s">
        <v>1127</v>
      </c>
      <c r="BA84" s="54" t="s">
        <v>1321</v>
      </c>
      <c r="BC84" s="57" t="s">
        <v>1322</v>
      </c>
      <c r="BD84" s="52"/>
    </row>
    <row r="85" ht="12.75" customHeight="1">
      <c r="A85" s="22" t="s">
        <v>469</v>
      </c>
      <c r="B85" s="22" t="s">
        <v>470</v>
      </c>
      <c r="C85" s="22" t="s">
        <v>870</v>
      </c>
      <c r="D85" s="13" t="s">
        <v>870</v>
      </c>
      <c r="E85" s="53">
        <v>5.755E9</v>
      </c>
      <c r="F85" s="46" t="str">
        <f>IF(ISNUMBER(Table1[[#This Row],[2019 Scope 3 ]]),IF(Table1[[#This Row],[Net Earnings/Income (2019)]]-k_cost*Table1[[#This Row],[2019 Total Scope 1, 2 + 3]]&lt;0,"Y","N"),"NA")</f>
        <v>#ERROR!</v>
      </c>
      <c r="G85" s="47" t="str">
        <f>IF(ISNUMBER(Table1[[#This Row],[2019 Scope 3 ]]),IF(k_cost*Table1[[#This Row],[2019 Total Scope 1, 2 + 3]]/Table1[[#This Row],[Size (2019 Revenue)]]&gt;k_rev_max,"Y","N"),"NA")</f>
        <v>#ERROR!</v>
      </c>
      <c r="H85" s="47" t="str">
        <f>IF(OR(Table1[[#This Row],[Net earnings post carbon price @85/t]]="Y",Table1[[#This Row],[Carbon costs in % revenue]] = "Y"),"Y",IF(OR(Table1[[#This Row],[Net earnings post carbon price @85/t]]="NA",Table1[[#This Row],[Carbon costs in % revenue]]="NA"),"NA","N"))</f>
        <v>#ERROR!</v>
      </c>
      <c r="I85" s="53">
        <v>2.098E9</v>
      </c>
      <c r="J85" s="48">
        <v>1993.0</v>
      </c>
      <c r="K85" s="13" t="s">
        <v>1126</v>
      </c>
      <c r="L85" s="13" t="s">
        <v>1127</v>
      </c>
      <c r="M85" s="57" t="s">
        <v>1127</v>
      </c>
      <c r="P85" s="13" t="s">
        <v>1323</v>
      </c>
      <c r="R85" s="13" t="s">
        <v>1127</v>
      </c>
      <c r="T85" s="35" t="str">
        <f>IFERROR((Table1[[#This Row],[2019 Total Scope 1, 2 + 3]])/Table1[[#This Row],[2018 Total Scope 1, 2 + Scope 3]]-1,"NA")</f>
        <v>#ERROR!</v>
      </c>
      <c r="V85" s="50">
        <v>16863.186</v>
      </c>
      <c r="W85" s="50">
        <v>249714.82</v>
      </c>
      <c r="X85" s="50"/>
      <c r="Y85" s="50">
        <f t="shared" si="13"/>
        <v>266578.006</v>
      </c>
      <c r="Z85" s="50">
        <f>11746+136900+5154+100+6531+419157</f>
        <v>579588</v>
      </c>
      <c r="AA85" s="50">
        <f t="shared" si="2"/>
        <v>846166.006</v>
      </c>
      <c r="AB85" s="50">
        <v>21923.0</v>
      </c>
      <c r="AC85" s="50">
        <v>287974.0</v>
      </c>
      <c r="AD85" s="50"/>
      <c r="AE85" s="50">
        <f t="shared" si="14"/>
        <v>309897</v>
      </c>
      <c r="AF85" s="50">
        <v>591378.0</v>
      </c>
      <c r="AG85" s="50">
        <f t="shared" si="4"/>
        <v>901275</v>
      </c>
      <c r="AH85" s="50">
        <v>19404.0</v>
      </c>
      <c r="AI85" s="50">
        <v>293618.0</v>
      </c>
      <c r="AJ85" s="50"/>
      <c r="AK85" s="50">
        <f t="shared" si="15"/>
        <v>313022</v>
      </c>
      <c r="AL85" s="50">
        <v>580998.0</v>
      </c>
      <c r="AM85" s="50">
        <f t="shared" si="6"/>
        <v>894020</v>
      </c>
      <c r="AN85" s="50">
        <v>20364.0</v>
      </c>
      <c r="AO85" s="50">
        <v>304405.0</v>
      </c>
      <c r="AP85" s="50"/>
      <c r="AQ85" s="50">
        <f t="shared" si="16"/>
        <v>324769</v>
      </c>
      <c r="AR85" s="50">
        <v>604001.0</v>
      </c>
      <c r="AS85" s="50">
        <f t="shared" si="8"/>
        <v>928770</v>
      </c>
      <c r="AT85" s="50">
        <v>23000.0</v>
      </c>
      <c r="AU85" s="50">
        <v>358862.0</v>
      </c>
      <c r="AV85" s="50"/>
      <c r="AW85" s="50">
        <f t="shared" si="12"/>
        <v>381862</v>
      </c>
      <c r="AX85" s="50">
        <v>618912.0</v>
      </c>
      <c r="AY85" s="50">
        <f t="shared" si="10"/>
        <v>1000774</v>
      </c>
      <c r="BA85" s="51" t="s">
        <v>1324</v>
      </c>
      <c r="BC85" s="57" t="s">
        <v>1325</v>
      </c>
      <c r="BD85" s="52"/>
    </row>
    <row r="86" ht="12.75" customHeight="1">
      <c r="A86" s="22" t="s">
        <v>475</v>
      </c>
      <c r="B86" s="22" t="s">
        <v>475</v>
      </c>
      <c r="C86" s="22" t="s">
        <v>932</v>
      </c>
      <c r="D86" s="13" t="s">
        <v>932</v>
      </c>
      <c r="E86" s="53">
        <v>2.1419E10</v>
      </c>
      <c r="F86" s="46" t="str">
        <f>IF(ISNUMBER(Table1[[#This Row],[2019 Scope 3 ]]),IF(Table1[[#This Row],[Net Earnings/Income (2019)]]-k_cost*Table1[[#This Row],[2019 Total Scope 1, 2 + 3]]&lt;0,"Y","N"),"NA")</f>
        <v>#ERROR!</v>
      </c>
      <c r="G86" s="47" t="str">
        <f>IF(ISNUMBER(Table1[[#This Row],[2019 Scope 3 ]]),IF(k_cost*Table1[[#This Row],[2019 Total Scope 1, 2 + 3]]/Table1[[#This Row],[Size (2019 Revenue)]]&gt;k_rev_max,"Y","N"),"NA")</f>
        <v>#ERROR!</v>
      </c>
      <c r="H86" s="47" t="str">
        <f>IF(OR(Table1[[#This Row],[Net earnings post carbon price @85/t]]="Y",Table1[[#This Row],[Carbon costs in % revenue]] = "Y"),"Y",IF(OR(Table1[[#This Row],[Net earnings post carbon price @85/t]]="NA",Table1[[#This Row],[Carbon costs in % revenue]]="NA"),"NA","N"))</f>
        <v>#ERROR!</v>
      </c>
      <c r="I86" s="53">
        <v>3.25E9</v>
      </c>
      <c r="J86" s="48">
        <v>1949.0</v>
      </c>
      <c r="K86" s="13" t="s">
        <v>1126</v>
      </c>
      <c r="L86" s="13" t="s">
        <v>1127</v>
      </c>
      <c r="M86" s="13" t="s">
        <v>1127</v>
      </c>
      <c r="N86" s="13">
        <v>2050.0</v>
      </c>
      <c r="O86" s="62">
        <v>2020.0</v>
      </c>
      <c r="P86" s="57" t="s">
        <v>1326</v>
      </c>
      <c r="R86" s="13" t="s">
        <v>1127</v>
      </c>
      <c r="T86" s="35" t="str">
        <f>IFERROR((Table1[[#This Row],[2019 Total Scope 1, 2 + 3]])/Table1[[#This Row],[2018 Total Scope 1, 2 + Scope 3]]-1,"NA")</f>
        <v>#ERROR!</v>
      </c>
      <c r="V86" s="50">
        <v>8.8213565E7</v>
      </c>
      <c r="W86" s="50">
        <v>35568.0</v>
      </c>
      <c r="X86" s="50"/>
      <c r="Y86" s="50">
        <f t="shared" si="13"/>
        <v>88249133</v>
      </c>
      <c r="Z86" s="50">
        <f>3423778+88879+35260791</f>
        <v>38773448</v>
      </c>
      <c r="AA86" s="50">
        <f t="shared" si="2"/>
        <v>127022581</v>
      </c>
      <c r="AB86" s="50">
        <v>1.02232275E8</v>
      </c>
      <c r="AC86" s="50">
        <v>2142130.48</v>
      </c>
      <c r="AD86" s="50"/>
      <c r="AE86" s="50">
        <f t="shared" si="14"/>
        <v>104374405.5</v>
      </c>
      <c r="AF86" s="50">
        <v>3.7299499E7</v>
      </c>
      <c r="AG86" s="50">
        <f t="shared" si="4"/>
        <v>141673904.5</v>
      </c>
      <c r="AH86" s="50">
        <v>9.7534302E7</v>
      </c>
      <c r="AI86" s="50">
        <v>2701183.0</v>
      </c>
      <c r="AJ86" s="50"/>
      <c r="AK86" s="50">
        <f t="shared" si="15"/>
        <v>100235485</v>
      </c>
      <c r="AL86" s="50">
        <v>3.4630131E7</v>
      </c>
      <c r="AM86" s="50">
        <f t="shared" si="6"/>
        <v>134865616</v>
      </c>
      <c r="AN86" s="50" t="s">
        <v>1127</v>
      </c>
      <c r="AO86" s="50" t="s">
        <v>1127</v>
      </c>
      <c r="AP86" s="50" t="s">
        <v>1127</v>
      </c>
      <c r="AQ86" s="50" t="str">
        <f t="shared" si="16"/>
        <v/>
      </c>
      <c r="AR86" s="50" t="s">
        <v>1127</v>
      </c>
      <c r="AS86" s="50" t="str">
        <f t="shared" si="8"/>
        <v/>
      </c>
      <c r="AT86" s="50" t="s">
        <v>1127</v>
      </c>
      <c r="AU86" s="50" t="s">
        <v>1127</v>
      </c>
      <c r="AV86" s="50" t="s">
        <v>1127</v>
      </c>
      <c r="AW86" s="50" t="str">
        <f t="shared" si="12"/>
        <v/>
      </c>
      <c r="AX86" s="50" t="s">
        <v>1127</v>
      </c>
      <c r="AY86" s="50" t="str">
        <f t="shared" si="10"/>
        <v/>
      </c>
      <c r="AZ86" s="57" t="s">
        <v>1126</v>
      </c>
      <c r="BA86" s="51" t="s">
        <v>1327</v>
      </c>
      <c r="BC86" s="51" t="s">
        <v>1328</v>
      </c>
      <c r="BD86" s="52"/>
    </row>
    <row r="87" ht="12.75" customHeight="1">
      <c r="A87" s="22" t="s">
        <v>480</v>
      </c>
      <c r="B87" s="22" t="s">
        <v>481</v>
      </c>
      <c r="C87" s="22" t="s">
        <v>950</v>
      </c>
      <c r="D87" s="22" t="s">
        <v>1177</v>
      </c>
      <c r="E87" s="46">
        <v>2.651E10</v>
      </c>
      <c r="F87" s="46" t="str">
        <f>IF(ISNUMBER(Table1[[#This Row],[2019 Scope 3 ]]),IF(Table1[[#This Row],[Net Earnings/Income (2019)]]-k_cost*Table1[[#This Row],[2019 Total Scope 1, 2 + 3]]&lt;0,"Y","N"),"NA")</f>
        <v>#ERROR!</v>
      </c>
      <c r="G87" s="47" t="str">
        <f>IF(ISNUMBER(Table1[[#This Row],[2019 Scope 3 ]]),IF(k_cost*Table1[[#This Row],[2019 Total Scope 1, 2 + 3]]/Table1[[#This Row],[Size (2019 Revenue)]]&gt;k_rev_max,"Y","N"),"NA")</f>
        <v>#ERROR!</v>
      </c>
      <c r="H87" s="47" t="str">
        <f>IF(OR(Table1[[#This Row],[Net earnings post carbon price @85/t]]="Y",Table1[[#This Row],[Carbon costs in % revenue]] = "Y"),"Y",IF(OR(Table1[[#This Row],[Net earnings post carbon price @85/t]]="NA",Table1[[#This Row],[Carbon costs in % revenue]]="NA"),"NA","N"))</f>
        <v>#ERROR!</v>
      </c>
      <c r="I87" s="46">
        <v>3.6E9</v>
      </c>
      <c r="J87" s="48">
        <v>1992.0</v>
      </c>
      <c r="K87" s="46" t="s">
        <v>1126</v>
      </c>
      <c r="L87" s="13" t="s">
        <v>1126</v>
      </c>
      <c r="M87" s="13" t="s">
        <v>1126</v>
      </c>
      <c r="N87" s="13">
        <v>2050.0</v>
      </c>
      <c r="O87" s="13">
        <v>2020.0</v>
      </c>
      <c r="P87" s="57" t="s">
        <v>1329</v>
      </c>
      <c r="R87" s="13" t="s">
        <v>1126</v>
      </c>
      <c r="S87" s="13" t="s">
        <v>1330</v>
      </c>
      <c r="T87" s="35" t="str">
        <f>IFERROR((Table1[[#This Row],[2019 Total Scope 1, 2 + 3]])/Table1[[#This Row],[2018 Total Scope 1, 2 + Scope 3]]-1,"NA")</f>
        <v>#ERROR!</v>
      </c>
      <c r="V87" s="50">
        <v>381198.61</v>
      </c>
      <c r="W87" s="50">
        <v>281700.89</v>
      </c>
      <c r="X87" s="50"/>
      <c r="Y87" s="50">
        <f t="shared" si="13"/>
        <v>662899.5</v>
      </c>
      <c r="Z87" s="50">
        <f>8844532.71+1549767.91+1339261.73+544171.31+1022025.11+19035.53+821116.5+62449.06+149443.2+612189.99</f>
        <v>14963993.05</v>
      </c>
      <c r="AA87" s="50">
        <f t="shared" si="2"/>
        <v>15626892.55</v>
      </c>
      <c r="AB87" s="50">
        <v>319600.0</v>
      </c>
      <c r="AC87" s="50">
        <v>285600.0</v>
      </c>
      <c r="AD87" s="50"/>
      <c r="AE87" s="50">
        <f t="shared" si="14"/>
        <v>605200</v>
      </c>
      <c r="AF87" s="50">
        <v>1.499E7</v>
      </c>
      <c r="AG87" s="50">
        <f t="shared" si="4"/>
        <v>15595200</v>
      </c>
      <c r="AH87" s="50">
        <v>291000.0</v>
      </c>
      <c r="AI87" s="50">
        <v>390000.0</v>
      </c>
      <c r="AJ87" s="50"/>
      <c r="AK87" s="50">
        <f t="shared" si="15"/>
        <v>681000</v>
      </c>
      <c r="AL87" s="50">
        <v>1.59E7</v>
      </c>
      <c r="AM87" s="50">
        <f t="shared" si="6"/>
        <v>16581000</v>
      </c>
      <c r="AN87" s="50">
        <v>321763.0</v>
      </c>
      <c r="AO87" s="50">
        <v>253819.0</v>
      </c>
      <c r="AP87" s="50"/>
      <c r="AQ87" s="50">
        <f t="shared" si="16"/>
        <v>575582</v>
      </c>
      <c r="AR87" s="50">
        <f>9923385+1047965+1395658+660216+1329459+20129+523015+3335+88216+196234</f>
        <v>15187612</v>
      </c>
      <c r="AS87" s="50">
        <f t="shared" si="8"/>
        <v>15763194</v>
      </c>
      <c r="AT87" s="50">
        <v>329002.0</v>
      </c>
      <c r="AU87" s="50">
        <v>513511.0</v>
      </c>
      <c r="AV87" s="50"/>
      <c r="AW87" s="50">
        <f t="shared" si="12"/>
        <v>842513</v>
      </c>
      <c r="AX87" s="50">
        <f>6734410+983792+708554+606066+822171+11525+559173+22523+92406+130145</f>
        <v>10670765</v>
      </c>
      <c r="AY87" s="50">
        <f t="shared" si="10"/>
        <v>11513278</v>
      </c>
      <c r="BA87" s="51" t="s">
        <v>1331</v>
      </c>
      <c r="BC87" s="57" t="s">
        <v>1332</v>
      </c>
      <c r="BD87" s="52"/>
    </row>
    <row r="88" ht="12.75" customHeight="1">
      <c r="A88" s="22" t="s">
        <v>486</v>
      </c>
      <c r="B88" s="22" t="s">
        <v>487</v>
      </c>
      <c r="C88" s="22" t="s">
        <v>860</v>
      </c>
      <c r="D88" s="22" t="s">
        <v>923</v>
      </c>
      <c r="E88" s="46">
        <v>7.81E10</v>
      </c>
      <c r="F88" s="46" t="str">
        <f>IF(ISNUMBER(Table1[[#This Row],[2019 Scope 3 ]]),IF(Table1[[#This Row],[Net Earnings/Income (2019)]]-k_cost*Table1[[#This Row],[2019 Total Scope 1, 2 + 3]]&lt;0,"Y","N"),"NA")</f>
        <v>#ERROR!</v>
      </c>
      <c r="G88" s="47" t="str">
        <f>IF(ISNUMBER(Table1[[#This Row],[2019 Scope 3 ]]),IF(k_cost*Table1[[#This Row],[2019 Total Scope 1, 2 + 3]]/Table1[[#This Row],[Size (2019 Revenue)]]&gt;k_rev_max,"Y","N"),"NA")</f>
        <v>#ERROR!</v>
      </c>
      <c r="H88" s="47" t="str">
        <f>IF(OR(Table1[[#This Row],[Net earnings post carbon price @85/t]]="Y",Table1[[#This Row],[Carbon costs in % revenue]] = "Y"),"Y",IF(OR(Table1[[#This Row],[Net earnings post carbon price @85/t]]="NA",Table1[[#This Row],[Carbon costs in % revenue]]="NA"),"NA","N"))</f>
        <v>#ERROR!</v>
      </c>
      <c r="I88" s="46">
        <v>3.269E9</v>
      </c>
      <c r="J88" s="48">
        <v>1967.0</v>
      </c>
      <c r="K88" s="46" t="s">
        <v>1126</v>
      </c>
      <c r="L88" s="22" t="s">
        <v>1127</v>
      </c>
      <c r="M88" s="13" t="s">
        <v>1126</v>
      </c>
      <c r="P88" s="57" t="s">
        <v>1333</v>
      </c>
      <c r="R88" s="13" t="s">
        <v>1126</v>
      </c>
      <c r="S88" s="57" t="s">
        <v>1334</v>
      </c>
      <c r="T88" s="61" t="str">
        <f>IFERROR((Table1[[#This Row],[2019 Total Scope 1, 2 + 3]])/Table1[[#This Row],[2018 Total Scope 1, 2 + Scope 3]]-1,"NA")</f>
        <v>#ERROR!</v>
      </c>
      <c r="U88" s="57"/>
      <c r="V88" s="50">
        <v>752552.0</v>
      </c>
      <c r="W88" s="50">
        <v>1545898.0</v>
      </c>
      <c r="X88" s="50"/>
      <c r="Y88" s="50">
        <f t="shared" si="13"/>
        <v>2298450</v>
      </c>
      <c r="Z88" s="50">
        <f>27389000+743000+509000+1655000+271000+22000+585000+5672000+12897000+2306000</f>
        <v>52049000</v>
      </c>
      <c r="AA88" s="50">
        <f t="shared" si="2"/>
        <v>54347450</v>
      </c>
      <c r="AB88" s="50">
        <v>755484.0</v>
      </c>
      <c r="AC88" s="50">
        <v>2108893.0</v>
      </c>
      <c r="AD88" s="50"/>
      <c r="AE88" s="50">
        <f t="shared" si="14"/>
        <v>2864377</v>
      </c>
      <c r="AF88" s="50">
        <f>43284000+1000000+905000+1356000+168000+21000+539000+6950000+23340000+809000+28000</f>
        <v>78400000</v>
      </c>
      <c r="AG88" s="50">
        <f t="shared" si="4"/>
        <v>81264377</v>
      </c>
      <c r="AH88" s="50">
        <v>706176.0</v>
      </c>
      <c r="AI88" s="50">
        <v>2111537.0</v>
      </c>
      <c r="AJ88" s="50"/>
      <c r="AK88" s="50">
        <f t="shared" si="15"/>
        <v>2817713</v>
      </c>
      <c r="AL88" s="50">
        <v>7.84E7</v>
      </c>
      <c r="AM88" s="50">
        <f t="shared" si="6"/>
        <v>81217713</v>
      </c>
      <c r="AN88" s="50">
        <v>730846.0</v>
      </c>
      <c r="AO88" s="50">
        <v>2155763.0</v>
      </c>
      <c r="AP88" s="50"/>
      <c r="AQ88" s="50">
        <f t="shared" si="16"/>
        <v>2886609</v>
      </c>
      <c r="AR88" s="50" t="s">
        <v>1130</v>
      </c>
      <c r="AS88" s="50" t="str">
        <f t="shared" si="8"/>
        <v/>
      </c>
      <c r="AT88" s="50">
        <v>581568.0</v>
      </c>
      <c r="AU88" s="50">
        <v>2290938.0</v>
      </c>
      <c r="AV88" s="50"/>
      <c r="AW88" s="50">
        <f t="shared" si="12"/>
        <v>2872506</v>
      </c>
      <c r="AX88" s="50" t="s">
        <v>1130</v>
      </c>
      <c r="AY88" s="50" t="str">
        <f t="shared" si="10"/>
        <v/>
      </c>
      <c r="BA88" s="57" t="s">
        <v>1335</v>
      </c>
      <c r="BC88" s="57" t="s">
        <v>1336</v>
      </c>
      <c r="BD88" s="52"/>
    </row>
    <row r="89" ht="12.75" customHeight="1">
      <c r="A89" s="22" t="s">
        <v>492</v>
      </c>
      <c r="B89" s="22" t="s">
        <v>492</v>
      </c>
      <c r="C89" s="22" t="s">
        <v>840</v>
      </c>
      <c r="D89" s="22" t="s">
        <v>1150</v>
      </c>
      <c r="E89" s="53">
        <v>1.4318E10</v>
      </c>
      <c r="F89" s="46" t="str">
        <f>IF(ISNUMBER(Table1[[#This Row],[2019 Scope 3 ]]),IF(Table1[[#This Row],[Net Earnings/Income (2019)]]-k_cost*Table1[[#This Row],[2019 Total Scope 1, 2 + 3]]&lt;0,"Y","N"),"NA")</f>
        <v>#ERROR!</v>
      </c>
      <c r="G89" s="47" t="str">
        <f>IF(ISNUMBER(Table1[[#This Row],[2019 Scope 3 ]]),IF(k_cost*Table1[[#This Row],[2019 Total Scope 1, 2 + 3]]/Table1[[#This Row],[Size (2019 Revenue)]]&gt;k_rev_max,"Y","N"),"NA")</f>
        <v>#ERROR!</v>
      </c>
      <c r="H89" s="47" t="str">
        <f>IF(OR(Table1[[#This Row],[Net earnings post carbon price @85/t]]="Y",Table1[[#This Row],[Carbon costs in % revenue]] = "Y"),"Y",IF(OR(Table1[[#This Row],[Net earnings post carbon price @85/t]]="NA",Table1[[#This Row],[Carbon costs in % revenue]]="NA"),"NA","N"))</f>
        <v>#ERROR!</v>
      </c>
      <c r="I89" s="53">
        <v>5.02E9</v>
      </c>
      <c r="J89" s="48">
        <v>1953.0</v>
      </c>
      <c r="K89" s="13" t="s">
        <v>1126</v>
      </c>
      <c r="L89" s="13" t="s">
        <v>1127</v>
      </c>
      <c r="M89" s="13" t="s">
        <v>1127</v>
      </c>
      <c r="P89" s="57" t="s">
        <v>1337</v>
      </c>
      <c r="Q89" s="13" t="s">
        <v>1126</v>
      </c>
      <c r="R89" s="13" t="s">
        <v>1127</v>
      </c>
      <c r="T89" s="35" t="str">
        <f>IFERROR((Table1[[#This Row],[2019 Total Scope 1, 2 + 3]])/Table1[[#This Row],[2018 Total Scope 1, 2 + Scope 3]]-1,"NA")</f>
        <v>#ERROR!</v>
      </c>
      <c r="V89" s="50">
        <v>966579.0</v>
      </c>
      <c r="W89" s="50">
        <v>13430.0</v>
      </c>
      <c r="X89" s="50"/>
      <c r="Y89" s="50">
        <f t="shared" si="13"/>
        <v>980009</v>
      </c>
      <c r="Z89" s="50" t="s">
        <v>1130</v>
      </c>
      <c r="AA89" s="50" t="str">
        <f t="shared" si="2"/>
        <v/>
      </c>
      <c r="AB89" s="50">
        <v>1157549.0</v>
      </c>
      <c r="AC89" s="50">
        <v>1110819.0</v>
      </c>
      <c r="AD89" s="50"/>
      <c r="AE89" s="50">
        <f t="shared" si="14"/>
        <v>2268368</v>
      </c>
      <c r="AF89" s="50" t="s">
        <v>1130</v>
      </c>
      <c r="AG89" s="50" t="str">
        <f t="shared" si="4"/>
        <v/>
      </c>
      <c r="AH89" s="50">
        <v>1161654.0</v>
      </c>
      <c r="AI89" s="50">
        <v>1256755.0</v>
      </c>
      <c r="AJ89" s="50"/>
      <c r="AK89" s="50">
        <f t="shared" si="15"/>
        <v>2418409</v>
      </c>
      <c r="AL89" s="50" t="s">
        <v>1130</v>
      </c>
      <c r="AM89" s="50" t="str">
        <f t="shared" si="6"/>
        <v/>
      </c>
      <c r="AN89" s="50">
        <v>1076947.0</v>
      </c>
      <c r="AO89" s="50">
        <v>1319215.0</v>
      </c>
      <c r="AP89" s="50"/>
      <c r="AQ89" s="50">
        <f t="shared" si="16"/>
        <v>2396162</v>
      </c>
      <c r="AR89" s="50" t="s">
        <v>1130</v>
      </c>
      <c r="AS89" s="50" t="str">
        <f t="shared" si="8"/>
        <v/>
      </c>
      <c r="AT89" s="50">
        <v>1085622.0</v>
      </c>
      <c r="AU89" s="50">
        <v>1322813.0</v>
      </c>
      <c r="AV89" s="50"/>
      <c r="AW89" s="50">
        <f t="shared" si="12"/>
        <v>2408435</v>
      </c>
      <c r="AX89" s="50" t="s">
        <v>1130</v>
      </c>
      <c r="AY89" s="50" t="str">
        <f t="shared" si="10"/>
        <v/>
      </c>
      <c r="AZ89" s="57" t="s">
        <v>1126</v>
      </c>
      <c r="BA89" s="51" t="s">
        <v>1338</v>
      </c>
      <c r="BC89" s="57" t="s">
        <v>1339</v>
      </c>
      <c r="BD89" s="52"/>
    </row>
    <row r="90" ht="12.75" customHeight="1">
      <c r="A90" s="22" t="s">
        <v>497</v>
      </c>
      <c r="B90" s="22" t="s">
        <v>498</v>
      </c>
      <c r="C90" s="22" t="s">
        <v>850</v>
      </c>
      <c r="D90" s="22" t="s">
        <v>1159</v>
      </c>
      <c r="E90" s="53">
        <v>2.082E10</v>
      </c>
      <c r="F90" s="46" t="str">
        <f>IF(ISNUMBER(Table1[[#This Row],[2019 Scope 3 ]]),IF(Table1[[#This Row],[Net Earnings/Income (2019)]]-k_cost*Table1[[#This Row],[2019 Total Scope 1, 2 + 3]]&lt;0,"Y","N"),"NA")</f>
        <v>#ERROR!</v>
      </c>
      <c r="G90" s="47" t="str">
        <f>IF(ISNUMBER(Table1[[#This Row],[2019 Scope 3 ]]),IF(k_cost*Table1[[#This Row],[2019 Total Scope 1, 2 + 3]]/Table1[[#This Row],[Size (2019 Revenue)]]&gt;k_rev_max,"Y","N"),"NA")</f>
        <v>#ERROR!</v>
      </c>
      <c r="H90" s="47" t="str">
        <f>IF(OR(Table1[[#This Row],[Net earnings post carbon price @85/t]]="Y",Table1[[#This Row],[Carbon costs in % revenue]] = "Y"),"Y",IF(OR(Table1[[#This Row],[Net earnings post carbon price @85/t]]="NA",Table1[[#This Row],[Carbon costs in % revenue]]="NA"),"NA","N"))</f>
        <v>#ERROR!</v>
      </c>
      <c r="I90" s="53">
        <v>4.25E9</v>
      </c>
      <c r="J90" s="48">
        <v>1784.0</v>
      </c>
      <c r="K90" s="22" t="s">
        <v>1126</v>
      </c>
      <c r="L90" s="22" t="s">
        <v>1126</v>
      </c>
      <c r="M90" s="13" t="s">
        <v>1127</v>
      </c>
      <c r="N90" s="13">
        <v>2015.0</v>
      </c>
      <c r="O90" s="13">
        <v>2008.0</v>
      </c>
      <c r="P90" s="33" t="s">
        <v>1127</v>
      </c>
      <c r="Q90" s="13" t="s">
        <v>1126</v>
      </c>
      <c r="R90" s="22" t="s">
        <v>1127</v>
      </c>
      <c r="S90" s="22" t="s">
        <v>1127</v>
      </c>
      <c r="T90" s="35" t="str">
        <f>IFERROR((Table1[[#This Row],[2019 Total Scope 1, 2 + 3]])/Table1[[#This Row],[2018 Total Scope 1, 2 + Scope 3]]-1,"NA")</f>
        <v>#ERROR!</v>
      </c>
      <c r="U90" s="22"/>
      <c r="V90" s="50">
        <v>8102.0</v>
      </c>
      <c r="W90" s="50">
        <v>3397.0</v>
      </c>
      <c r="X90" s="50">
        <v>31457.0</v>
      </c>
      <c r="Y90" s="50">
        <f t="shared" si="13"/>
        <v>-19958</v>
      </c>
      <c r="Z90" s="50">
        <v>14605.0</v>
      </c>
      <c r="AA90" s="50">
        <f t="shared" si="2"/>
        <v>-5353</v>
      </c>
      <c r="AB90" s="50">
        <v>8000.0</v>
      </c>
      <c r="AC90" s="50">
        <v>2500.0</v>
      </c>
      <c r="AD90" s="50">
        <v>32000.0</v>
      </c>
      <c r="AE90" s="50">
        <f t="shared" si="14"/>
        <v>-21500</v>
      </c>
      <c r="AF90" s="50">
        <v>17200.0</v>
      </c>
      <c r="AG90" s="50">
        <f t="shared" si="4"/>
        <v>-4300</v>
      </c>
      <c r="AH90" s="50">
        <v>8265.0</v>
      </c>
      <c r="AI90" s="50">
        <v>2248.0</v>
      </c>
      <c r="AJ90" s="50">
        <v>38000.0</v>
      </c>
      <c r="AK90" s="50">
        <f t="shared" si="15"/>
        <v>-27487</v>
      </c>
      <c r="AL90" s="50">
        <v>17944.0</v>
      </c>
      <c r="AM90" s="50">
        <f t="shared" si="6"/>
        <v>-9543</v>
      </c>
      <c r="AN90" s="50">
        <v>9000.0</v>
      </c>
      <c r="AO90" s="50">
        <v>3350.0</v>
      </c>
      <c r="AP90" s="50">
        <v>32000.0</v>
      </c>
      <c r="AQ90" s="50">
        <f t="shared" si="16"/>
        <v>-19650</v>
      </c>
      <c r="AR90" s="50">
        <v>19700.0</v>
      </c>
      <c r="AS90" s="50">
        <f t="shared" si="8"/>
        <v>50</v>
      </c>
      <c r="AT90" s="50"/>
      <c r="AU90" s="50"/>
      <c r="AV90" s="50"/>
      <c r="AW90" s="50">
        <f t="shared" si="12"/>
        <v>0</v>
      </c>
      <c r="AX90" s="50"/>
      <c r="AY90" s="50">
        <f t="shared" si="10"/>
        <v>0</v>
      </c>
      <c r="BA90" s="51" t="s">
        <v>1340</v>
      </c>
      <c r="BD90" s="52"/>
    </row>
    <row r="91" ht="12.75" customHeight="1">
      <c r="A91" s="22" t="s">
        <v>503</v>
      </c>
      <c r="B91" s="22" t="s">
        <v>504</v>
      </c>
      <c r="C91" s="22" t="s">
        <v>855</v>
      </c>
      <c r="D91" s="22" t="s">
        <v>1170</v>
      </c>
      <c r="E91" s="53">
        <v>6.957E10</v>
      </c>
      <c r="F91" s="46" t="str">
        <f>IF(ISNUMBER(Table1[[#This Row],[2019 Scope 3 ]]),IF(Table1[[#This Row],[Net Earnings/Income (2019)]]-k_cost*Table1[[#This Row],[2019 Total Scope 1, 2 + 3]]&lt;0,"Y","N"),"NA")</f>
        <v>#ERROR!</v>
      </c>
      <c r="G91" s="47" t="str">
        <f>IF(ISNUMBER(Table1[[#This Row],[2019 Scope 3 ]]),IF(k_cost*Table1[[#This Row],[2019 Total Scope 1, 2 + 3]]/Table1[[#This Row],[Size (2019 Revenue)]]&gt;k_rev_max,"Y","N"),"NA")</f>
        <v>#ERROR!</v>
      </c>
      <c r="H91" s="47" t="str">
        <f>IF(OR(Table1[[#This Row],[Net earnings post carbon price @85/t]]="Y",Table1[[#This Row],[Carbon costs in % revenue]] = "Y"),"Y",IF(OR(Table1[[#This Row],[Net earnings post carbon price @85/t]]="NA",Table1[[#This Row],[Carbon costs in % revenue]]="NA"),"NA","N"))</f>
        <v>#ERROR!</v>
      </c>
      <c r="I91" s="53">
        <v>1.105E10</v>
      </c>
      <c r="J91" s="48">
        <v>1957.0</v>
      </c>
      <c r="K91" s="13" t="s">
        <v>1126</v>
      </c>
      <c r="L91" s="13" t="s">
        <v>1127</v>
      </c>
      <c r="M91" s="13" t="s">
        <v>1127</v>
      </c>
      <c r="P91" s="57" t="s">
        <v>1341</v>
      </c>
      <c r="R91" s="13" t="s">
        <v>1127</v>
      </c>
      <c r="T91" s="35" t="str">
        <f>IFERROR((Table1[[#This Row],[2019 Total Scope 1, 2 + 3]])/Table1[[#This Row],[2018 Total Scope 1, 2 + Scope 3]]-1,"NA")</f>
        <v>#ERROR!</v>
      </c>
      <c r="V91" s="50">
        <v>855073.0</v>
      </c>
      <c r="W91" s="50">
        <v>931544.0</v>
      </c>
      <c r="X91" s="50"/>
      <c r="Y91" s="50">
        <f t="shared" si="13"/>
        <v>1786617</v>
      </c>
      <c r="Z91" s="50" t="s">
        <v>1130</v>
      </c>
      <c r="AA91" s="50" t="str">
        <f t="shared" si="2"/>
        <v/>
      </c>
      <c r="AB91" s="50">
        <v>897523.0</v>
      </c>
      <c r="AC91" s="50">
        <v>975778.0</v>
      </c>
      <c r="AD91" s="50"/>
      <c r="AE91" s="50">
        <f t="shared" si="14"/>
        <v>1873301</v>
      </c>
      <c r="AF91" s="50" t="s">
        <v>1130</v>
      </c>
      <c r="AG91" s="50" t="str">
        <f t="shared" si="4"/>
        <v/>
      </c>
      <c r="AH91" s="50">
        <v>843275.0</v>
      </c>
      <c r="AI91" s="50">
        <v>1002150.0</v>
      </c>
      <c r="AJ91" s="50"/>
      <c r="AK91" s="50">
        <f t="shared" si="15"/>
        <v>1845425</v>
      </c>
      <c r="AL91" s="50" t="s">
        <v>1130</v>
      </c>
      <c r="AM91" s="50" t="str">
        <f t="shared" si="6"/>
        <v/>
      </c>
      <c r="AN91" s="50">
        <v>865577.0</v>
      </c>
      <c r="AO91" s="50">
        <v>909738.0</v>
      </c>
      <c r="AP91" s="50"/>
      <c r="AQ91" s="50">
        <f t="shared" si="16"/>
        <v>1775315</v>
      </c>
      <c r="AR91" s="50" t="s">
        <v>1130</v>
      </c>
      <c r="AS91" s="50" t="str">
        <f t="shared" si="8"/>
        <v/>
      </c>
      <c r="AT91" s="50">
        <v>851038.0</v>
      </c>
      <c r="AU91" s="50">
        <v>917030.0</v>
      </c>
      <c r="AV91" s="50"/>
      <c r="AW91" s="50">
        <f t="shared" si="12"/>
        <v>1768068</v>
      </c>
      <c r="AX91" s="50" t="s">
        <v>1130</v>
      </c>
      <c r="AY91" s="50" t="str">
        <f t="shared" si="10"/>
        <v/>
      </c>
      <c r="BA91" s="57" t="s">
        <v>1342</v>
      </c>
      <c r="BC91" s="57" t="s">
        <v>1343</v>
      </c>
      <c r="BD91" s="52"/>
    </row>
    <row r="92" ht="12.75" customHeight="1">
      <c r="A92" s="22" t="s">
        <v>509</v>
      </c>
      <c r="B92" s="22" t="s">
        <v>510</v>
      </c>
      <c r="C92" s="22" t="s">
        <v>829</v>
      </c>
      <c r="D92" s="22" t="s">
        <v>1188</v>
      </c>
      <c r="E92" s="53">
        <v>2.554E10</v>
      </c>
      <c r="F92" s="46" t="str">
        <f>IF(ISNUMBER(Table1[[#This Row],[2019 Scope 3 ]]),IF(Table1[[#This Row],[Net Earnings/Income (2019)]]-k_cost*Table1[[#This Row],[2019 Total Scope 1, 2 + 3]]&lt;0,"Y","N"),"NA")</f>
        <v>#ERROR!</v>
      </c>
      <c r="G92" s="47" t="str">
        <f>IF(ISNUMBER(Table1[[#This Row],[2019 Scope 3 ]]),IF(k_cost*Table1[[#This Row],[2019 Total Scope 1, 2 + 3]]/Table1[[#This Row],[Size (2019 Revenue)]]&gt;k_rev_max,"Y","N"),"NA")</f>
        <v>#ERROR!</v>
      </c>
      <c r="H92" s="47" t="str">
        <f>IF(OR(Table1[[#This Row],[Net earnings post carbon price @85/t]]="Y",Table1[[#This Row],[Carbon costs in % revenue]] = "Y"),"Y",IF(OR(Table1[[#This Row],[Net earnings post carbon price @85/t]]="NA",Table1[[#This Row],[Carbon costs in % revenue]]="NA"),"NA","N"))</f>
        <v>#ERROR!</v>
      </c>
      <c r="I92" s="53">
        <v>3.696E9</v>
      </c>
      <c r="J92" s="48">
        <v>1965.0</v>
      </c>
      <c r="K92" s="13" t="s">
        <v>1126</v>
      </c>
      <c r="L92" s="13" t="s">
        <v>1127</v>
      </c>
      <c r="M92" s="13" t="s">
        <v>1127</v>
      </c>
      <c r="R92" s="13" t="s">
        <v>1127</v>
      </c>
      <c r="T92" s="35" t="str">
        <f>IFERROR((Table1[[#This Row],[2019 Total Scope 1, 2 + 3]])/Table1[[#This Row],[2018 Total Scope 1, 2 + Scope 3]]-1,"NA")</f>
        <v>#ERROR!</v>
      </c>
      <c r="V92" s="50" t="s">
        <v>1130</v>
      </c>
      <c r="W92" s="50" t="s">
        <v>1130</v>
      </c>
      <c r="X92" s="50"/>
      <c r="Y92" s="50" t="str">
        <f t="shared" si="13"/>
        <v/>
      </c>
      <c r="Z92" s="50" t="s">
        <v>1130</v>
      </c>
      <c r="AA92" s="50" t="str">
        <f t="shared" si="2"/>
        <v/>
      </c>
      <c r="AB92" s="50">
        <v>147521.62</v>
      </c>
      <c r="AC92" s="50">
        <v>690767.33</v>
      </c>
      <c r="AD92" s="50"/>
      <c r="AE92" s="50">
        <f t="shared" si="14"/>
        <v>838288.95</v>
      </c>
      <c r="AF92" s="50" t="s">
        <v>1130</v>
      </c>
      <c r="AG92" s="50" t="str">
        <f t="shared" si="4"/>
        <v/>
      </c>
      <c r="AH92" s="50">
        <v>70255.0</v>
      </c>
      <c r="AI92" s="50">
        <v>408244.0</v>
      </c>
      <c r="AJ92" s="50"/>
      <c r="AK92" s="50">
        <f t="shared" si="15"/>
        <v>478499</v>
      </c>
      <c r="AL92" s="50">
        <v>206994.0</v>
      </c>
      <c r="AM92" s="50">
        <f t="shared" si="6"/>
        <v>685493</v>
      </c>
      <c r="AN92" s="50">
        <v>83529.0</v>
      </c>
      <c r="AO92" s="50">
        <v>305579.0</v>
      </c>
      <c r="AP92" s="50"/>
      <c r="AQ92" s="50">
        <f t="shared" si="16"/>
        <v>389108</v>
      </c>
      <c r="AR92" s="50"/>
      <c r="AS92" s="50">
        <f t="shared" si="8"/>
        <v>389108</v>
      </c>
      <c r="AT92" s="50">
        <v>92458.0</v>
      </c>
      <c r="AU92" s="50">
        <v>301234.0</v>
      </c>
      <c r="AV92" s="50"/>
      <c r="AW92" s="50">
        <f t="shared" si="12"/>
        <v>393692</v>
      </c>
      <c r="AX92" s="50"/>
      <c r="AY92" s="50">
        <f t="shared" si="10"/>
        <v>393692</v>
      </c>
      <c r="BA92" s="51" t="s">
        <v>1344</v>
      </c>
      <c r="BC92" s="57" t="s">
        <v>1345</v>
      </c>
      <c r="BD92" s="52"/>
    </row>
    <row r="93" ht="12.75" customHeight="1">
      <c r="A93" s="22" t="s">
        <v>511</v>
      </c>
      <c r="B93" s="22" t="s">
        <v>512</v>
      </c>
      <c r="C93" s="22" t="s">
        <v>822</v>
      </c>
      <c r="D93" s="22" t="s">
        <v>1200</v>
      </c>
      <c r="E93" s="53">
        <v>2.17E10</v>
      </c>
      <c r="F93" s="46" t="str">
        <f>IF(ISNUMBER(Table1[[#This Row],[2019 Scope 3 ]]),IF(Table1[[#This Row],[Net Earnings/Income (2019)]]-k_cost*Table1[[#This Row],[2019 Total Scope 1, 2 + 3]]&lt;0,"Y","N"),"NA")</f>
        <v>#ERROR!</v>
      </c>
      <c r="G93" s="47" t="str">
        <f>IF(ISNUMBER(Table1[[#This Row],[2019 Scope 3 ]]),IF(k_cost*Table1[[#This Row],[2019 Total Scope 1, 2 + 3]]/Table1[[#This Row],[Size (2019 Revenue)]]&gt;k_rev_max,"Y","N"),"NA")</f>
        <v>#ERROR!</v>
      </c>
      <c r="H93" s="47" t="str">
        <f>IF(OR(Table1[[#This Row],[Net earnings post carbon price @85/t]]="Y",Table1[[#This Row],[Carbon costs in % revenue]] = "Y"),"Y",IF(OR(Table1[[#This Row],[Net earnings post carbon price @85/t]]="NA",Table1[[#This Row],[Carbon costs in % revenue]]="NA"),"NA","N"))</f>
        <v>#ERROR!</v>
      </c>
      <c r="I93" s="53">
        <v>5.9E9</v>
      </c>
      <c r="J93" s="48"/>
      <c r="K93" s="13" t="s">
        <v>1126</v>
      </c>
      <c r="L93" s="13" t="s">
        <v>1127</v>
      </c>
      <c r="M93" s="57" t="s">
        <v>1126</v>
      </c>
      <c r="R93" s="13" t="s">
        <v>1127</v>
      </c>
      <c r="T93" s="35" t="str">
        <f>IFERROR((Table1[[#This Row],[2019 Total Scope 1, 2 + 3]])/Table1[[#This Row],[2018 Total Scope 1, 2 + Scope 3]]-1,"NA")</f>
        <v>#ERROR!</v>
      </c>
      <c r="V93" s="50">
        <v>9688964.0</v>
      </c>
      <c r="W93" s="50">
        <f>10415469-V93</f>
        <v>726505</v>
      </c>
      <c r="X93" s="50"/>
      <c r="Y93" s="50">
        <f t="shared" si="13"/>
        <v>10415469</v>
      </c>
      <c r="Z93" s="50">
        <v>15495.0</v>
      </c>
      <c r="AA93" s="50">
        <f t="shared" si="2"/>
        <v>10430964</v>
      </c>
      <c r="AB93" s="50">
        <v>1.0874731E7</v>
      </c>
      <c r="AC93" s="50">
        <f>11760366-AB93</f>
        <v>885635</v>
      </c>
      <c r="AD93" s="50"/>
      <c r="AE93" s="50">
        <f t="shared" si="14"/>
        <v>11760366</v>
      </c>
      <c r="AF93" s="50">
        <v>17138.0</v>
      </c>
      <c r="AG93" s="50">
        <f t="shared" si="4"/>
        <v>11777504</v>
      </c>
      <c r="AH93" s="50">
        <v>1.0216978E7</v>
      </c>
      <c r="AI93" s="50">
        <f>10989985-AH93</f>
        <v>773007</v>
      </c>
      <c r="AJ93" s="50"/>
      <c r="AK93" s="50">
        <f t="shared" si="15"/>
        <v>10989985</v>
      </c>
      <c r="AL93" s="50">
        <v>18466.0</v>
      </c>
      <c r="AM93" s="50">
        <f t="shared" si="6"/>
        <v>11008451</v>
      </c>
      <c r="AN93" s="50">
        <v>9913870.0</v>
      </c>
      <c r="AO93" s="50">
        <f>10685250-AN93</f>
        <v>771380</v>
      </c>
      <c r="AP93" s="50"/>
      <c r="AQ93" s="50">
        <f t="shared" si="16"/>
        <v>10685250</v>
      </c>
      <c r="AR93" s="50">
        <v>18603.0</v>
      </c>
      <c r="AS93" s="50">
        <f t="shared" si="8"/>
        <v>10703853</v>
      </c>
      <c r="AT93" s="50">
        <v>1.0834984E7</v>
      </c>
      <c r="AU93" s="50">
        <f>11683549 -AT93</f>
        <v>848565</v>
      </c>
      <c r="AV93" s="50"/>
      <c r="AW93" s="50">
        <f t="shared" si="12"/>
        <v>11683549</v>
      </c>
      <c r="AX93" s="50">
        <v>19803.0</v>
      </c>
      <c r="AY93" s="50">
        <f t="shared" si="10"/>
        <v>11703352</v>
      </c>
      <c r="AZ93" s="57" t="s">
        <v>1346</v>
      </c>
      <c r="BA93" s="51" t="s">
        <v>1347</v>
      </c>
      <c r="BC93" s="57" t="s">
        <v>1348</v>
      </c>
      <c r="BD93" s="52"/>
    </row>
    <row r="94" ht="12.75" customHeight="1">
      <c r="A94" s="22" t="s">
        <v>517</v>
      </c>
      <c r="B94" s="22" t="s">
        <v>517</v>
      </c>
      <c r="C94" s="22" t="s">
        <v>829</v>
      </c>
      <c r="D94" s="22" t="s">
        <v>1349</v>
      </c>
      <c r="E94" s="53">
        <v>2.422E11</v>
      </c>
      <c r="F94" s="46" t="str">
        <f>IF(ISNUMBER(Table1[[#This Row],[2019 Scope 3 ]]),IF(Table1[[#This Row],[Net Earnings/Income (2019)]]-k_cost*Table1[[#This Row],[2019 Total Scope 1, 2 + 3]]&lt;0,"Y","N"),"NA")</f>
        <v>#ERROR!</v>
      </c>
      <c r="G94" s="47" t="str">
        <f>IF(ISNUMBER(Table1[[#This Row],[2019 Scope 3 ]]),IF(k_cost*Table1[[#This Row],[2019 Total Scope 1, 2 + 3]]/Table1[[#This Row],[Size (2019 Revenue)]]&gt;k_rev_max,"Y","N"),"NA")</f>
        <v>#ERROR!</v>
      </c>
      <c r="H94" s="47" t="str">
        <f>IF(OR(Table1[[#This Row],[Net earnings post carbon price @85/t]]="Y",Table1[[#This Row],[Carbon costs in % revenue]] = "Y"),"Y",IF(OR(Table1[[#This Row],[Net earnings post carbon price @85/t]]="NA",Table1[[#This Row],[Carbon costs in % revenue]]="NA"),"NA","N"))</f>
        <v>#ERROR!</v>
      </c>
      <c r="I94" s="53">
        <v>1.424E10</v>
      </c>
      <c r="J94" s="48">
        <v>1984.0</v>
      </c>
      <c r="K94" s="13" t="s">
        <v>1126</v>
      </c>
      <c r="L94" s="13" t="s">
        <v>1127</v>
      </c>
      <c r="M94" s="13" t="s">
        <v>1127</v>
      </c>
      <c r="P94" s="57" t="s">
        <v>1350</v>
      </c>
      <c r="R94" s="13" t="s">
        <v>1127</v>
      </c>
      <c r="T94" s="35" t="str">
        <f>IFERROR((Table1[[#This Row],[2019 Total Scope 1, 2 + 3]])/Table1[[#This Row],[2018 Total Scope 1, 2 + Scope 3]]-1,"NA")</f>
        <v>#ERROR!</v>
      </c>
      <c r="V94" s="50">
        <v>17709.0</v>
      </c>
      <c r="W94" s="50">
        <v>149418.0</v>
      </c>
      <c r="X94" s="50"/>
      <c r="Y94" s="50">
        <f t="shared" si="13"/>
        <v>167127</v>
      </c>
      <c r="Z94" s="50">
        <f>25934+63005+252683+88189</f>
        <v>429811</v>
      </c>
      <c r="AA94" s="50">
        <f t="shared" si="2"/>
        <v>596938</v>
      </c>
      <c r="AB94" s="50">
        <v>13924.0</v>
      </c>
      <c r="AC94" s="50">
        <v>158042.0</v>
      </c>
      <c r="AD94" s="50"/>
      <c r="AE94" s="50">
        <f t="shared" si="14"/>
        <v>171966</v>
      </c>
      <c r="AF94" s="50">
        <v>301410.0</v>
      </c>
      <c r="AG94" s="50">
        <f t="shared" si="4"/>
        <v>473376</v>
      </c>
      <c r="AH94" s="50">
        <v>16570.0</v>
      </c>
      <c r="AI94" s="50">
        <v>156719.0</v>
      </c>
      <c r="AJ94" s="50"/>
      <c r="AK94" s="50">
        <f t="shared" si="15"/>
        <v>173289</v>
      </c>
      <c r="AL94" s="50">
        <v>127671.0</v>
      </c>
      <c r="AM94" s="50">
        <f t="shared" si="6"/>
        <v>300960</v>
      </c>
      <c r="AN94" s="50">
        <v>15838.0</v>
      </c>
      <c r="AO94" s="50">
        <v>161303.0</v>
      </c>
      <c r="AP94" s="50"/>
      <c r="AQ94" s="50">
        <f t="shared" si="16"/>
        <v>177141</v>
      </c>
      <c r="AR94" s="50">
        <v>146373.0</v>
      </c>
      <c r="AS94" s="50">
        <f t="shared" si="8"/>
        <v>323514</v>
      </c>
      <c r="AT94" s="50">
        <v>16567.0</v>
      </c>
      <c r="AU94" s="50">
        <v>180096.0</v>
      </c>
      <c r="AV94" s="50"/>
      <c r="AW94" s="50">
        <f t="shared" si="12"/>
        <v>196663</v>
      </c>
      <c r="AX94" s="50">
        <v>173042.0</v>
      </c>
      <c r="AY94" s="50">
        <f t="shared" si="10"/>
        <v>369705</v>
      </c>
      <c r="BA94" s="57" t="s">
        <v>1351</v>
      </c>
      <c r="BC94" s="57" t="s">
        <v>1352</v>
      </c>
      <c r="BD94" s="52"/>
    </row>
    <row r="95" ht="12.75" customHeight="1">
      <c r="A95" s="22" t="s">
        <v>522</v>
      </c>
      <c r="B95" s="22" t="s">
        <v>523</v>
      </c>
      <c r="C95" s="22" t="s">
        <v>822</v>
      </c>
      <c r="D95" s="22" t="s">
        <v>1200</v>
      </c>
      <c r="E95" s="53">
        <v>7.4094E10</v>
      </c>
      <c r="F95" s="46" t="str">
        <f>IF(ISNUMBER(Table1[[#This Row],[2019 Scope 3 ]]),IF(Table1[[#This Row],[Net Earnings/Income (2019)]]-k_cost*Table1[[#This Row],[2019 Total Scope 1, 2 + 3]]&lt;0,"Y","N"),"NA")</f>
        <v>#ERROR!</v>
      </c>
      <c r="G95" s="47" t="str">
        <f>IF(ISNUMBER(Table1[[#This Row],[2019 Scope 3 ]]),IF(k_cost*Table1[[#This Row],[2019 Total Scope 1, 2 + 3]]/Table1[[#This Row],[Size (2019 Revenue)]]&gt;k_rev_max,"Y","N"),"NA")</f>
        <v>#ERROR!</v>
      </c>
      <c r="H95" s="47" t="str">
        <f>IF(OR(Table1[[#This Row],[Net earnings post carbon price @85/t]]="Y",Table1[[#This Row],[Carbon costs in % revenue]] = "Y"),"Y",IF(OR(Table1[[#This Row],[Net earnings post carbon price @85/t]]="NA",Table1[[#This Row],[Carbon costs in % revenue]]="NA"),"NA","N"))</f>
        <v>#ERROR!</v>
      </c>
      <c r="I95" s="53">
        <v>4.4E9</v>
      </c>
      <c r="J95" s="48">
        <v>1999.0</v>
      </c>
      <c r="K95" s="13" t="s">
        <v>1126</v>
      </c>
      <c r="L95" s="13" t="s">
        <v>1127</v>
      </c>
      <c r="M95" s="13" t="s">
        <v>1127</v>
      </c>
      <c r="P95" s="57" t="s">
        <v>1353</v>
      </c>
      <c r="Q95" s="13" t="s">
        <v>1126</v>
      </c>
      <c r="R95" s="13" t="s">
        <v>1127</v>
      </c>
      <c r="T95" s="35" t="str">
        <f>IFERROR((Table1[[#This Row],[2019 Total Scope 1, 2 + 3]])/Table1[[#This Row],[2018 Total Scope 1, 2 + Scope 3]]-1,"NA")</f>
        <v>#ERROR!</v>
      </c>
      <c r="V95" s="50">
        <v>1.4223E7</v>
      </c>
      <c r="W95" s="50">
        <v>731000.0</v>
      </c>
      <c r="X95" s="50"/>
      <c r="Y95" s="50">
        <f t="shared" si="13"/>
        <v>14954000</v>
      </c>
      <c r="Z95" s="50">
        <f>3122000+4629000+2820000+8198000+25000+69000+2079000+9000+57000</f>
        <v>21008000</v>
      </c>
      <c r="AA95" s="50">
        <f t="shared" si="2"/>
        <v>35962000</v>
      </c>
      <c r="AB95" s="50">
        <v>1.3851E7</v>
      </c>
      <c r="AC95" s="50">
        <v>784000.0</v>
      </c>
      <c r="AD95" s="50">
        <f>(95.9+7.6)*1000</f>
        <v>103500</v>
      </c>
      <c r="AE95" s="50">
        <f t="shared" si="14"/>
        <v>14531500</v>
      </c>
      <c r="AF95" s="50">
        <v>2.1783E7</v>
      </c>
      <c r="AG95" s="50">
        <f t="shared" si="4"/>
        <v>36314500</v>
      </c>
      <c r="AH95" s="50">
        <v>1.3047E7</v>
      </c>
      <c r="AI95" s="50">
        <v>745000.0</v>
      </c>
      <c r="AJ95" s="50">
        <f>(77.9+6.3)*1000</f>
        <v>84200</v>
      </c>
      <c r="AK95" s="50">
        <f t="shared" si="15"/>
        <v>13707800</v>
      </c>
      <c r="AL95" s="50">
        <v>2.0071E7</v>
      </c>
      <c r="AM95" s="50">
        <f t="shared" si="6"/>
        <v>33778800</v>
      </c>
      <c r="AN95" s="50">
        <v>1.2432E7</v>
      </c>
      <c r="AO95" s="50">
        <v>831000.0</v>
      </c>
      <c r="AP95" s="50">
        <f>(95.7+6)*1000</f>
        <v>101700</v>
      </c>
      <c r="AQ95" s="50">
        <f t="shared" si="16"/>
        <v>13161300</v>
      </c>
      <c r="AR95" s="50">
        <v>1.743E7</v>
      </c>
      <c r="AS95" s="50">
        <f t="shared" si="8"/>
        <v>30591300</v>
      </c>
      <c r="AT95" s="50">
        <v>1.2197E7</v>
      </c>
      <c r="AU95" s="50">
        <v>814000.0</v>
      </c>
      <c r="AV95" s="50">
        <f>(44.9+3.2)*1000</f>
        <v>48100</v>
      </c>
      <c r="AW95" s="50">
        <f t="shared" si="12"/>
        <v>12962900</v>
      </c>
      <c r="AX95" s="50">
        <v>1.6877E7</v>
      </c>
      <c r="AY95" s="50">
        <f t="shared" si="10"/>
        <v>29839900</v>
      </c>
      <c r="AZ95" s="57" t="s">
        <v>1354</v>
      </c>
      <c r="BA95" s="57" t="s">
        <v>1355</v>
      </c>
      <c r="BC95" s="57" t="s">
        <v>1356</v>
      </c>
      <c r="BD95" s="52"/>
    </row>
    <row r="96" ht="12.75" customHeight="1">
      <c r="A96" s="22" t="s">
        <v>528</v>
      </c>
      <c r="B96" s="22" t="s">
        <v>528</v>
      </c>
      <c r="C96" s="22" t="s">
        <v>850</v>
      </c>
      <c r="D96" s="22" t="s">
        <v>868</v>
      </c>
      <c r="E96" s="53">
        <v>2.5775E10</v>
      </c>
      <c r="F96" s="46" t="str">
        <f>IF(ISNUMBER(Table1[[#This Row],[2019 Scope 3 ]]),IF(Table1[[#This Row],[Net Earnings/Income (2019)]]-k_cost*Table1[[#This Row],[2019 Total Scope 1, 2 + 3]]&lt;0,"Y","N"),"NA")</f>
        <v>#ERROR!</v>
      </c>
      <c r="G96" s="47" t="str">
        <f>IF(ISNUMBER(Table1[[#This Row],[2019 Scope 3 ]]),IF(k_cost*Table1[[#This Row],[2019 Total Scope 1, 2 + 3]]/Table1[[#This Row],[Size (2019 Revenue)]]&gt;k_rev_max,"Y","N"),"NA")</f>
        <v>#ERROR!</v>
      </c>
      <c r="H96" s="47" t="str">
        <f>IF(OR(Table1[[#This Row],[Net earnings post carbon price @85/t]]="Y",Table1[[#This Row],[Carbon costs in % revenue]] = "Y"),"Y",IF(OR(Table1[[#This Row],[Net earnings post carbon price @85/t]]="NA",Table1[[#This Row],[Carbon costs in % revenue]]="NA"),"NA","N"))</f>
        <v>#ERROR!</v>
      </c>
      <c r="I96" s="53">
        <v>6.914E9</v>
      </c>
      <c r="J96" s="48" t="s">
        <v>1357</v>
      </c>
      <c r="K96" s="13" t="s">
        <v>1127</v>
      </c>
      <c r="L96" s="13" t="s">
        <v>1127</v>
      </c>
      <c r="M96" s="13" t="s">
        <v>1127</v>
      </c>
      <c r="P96" s="57" t="s">
        <v>1358</v>
      </c>
      <c r="R96" s="13" t="s">
        <v>1127</v>
      </c>
      <c r="T96" s="35" t="str">
        <f>IFERROR((Table1[[#This Row],[2019 Total Scope 1, 2 + 3]])/Table1[[#This Row],[2018 Total Scope 1, 2 + Scope 3]]-1,"NA")</f>
        <v>#ERROR!</v>
      </c>
      <c r="V96" s="50">
        <v>56482.0</v>
      </c>
      <c r="W96" s="50">
        <v>176447.0</v>
      </c>
      <c r="X96" s="50"/>
      <c r="Y96" s="50">
        <f t="shared" si="13"/>
        <v>232929</v>
      </c>
      <c r="Z96" s="50">
        <f>8528+38762+79195+44088</f>
        <v>170573</v>
      </c>
      <c r="AA96" s="50">
        <f t="shared" si="2"/>
        <v>403502</v>
      </c>
      <c r="AB96" s="50">
        <v>63333.0</v>
      </c>
      <c r="AC96" s="50">
        <v>233322.0</v>
      </c>
      <c r="AD96" s="50">
        <f>5165+32382+48317</f>
        <v>85864</v>
      </c>
      <c r="AE96" s="50">
        <f t="shared" si="14"/>
        <v>210791</v>
      </c>
      <c r="AF96" s="55">
        <v>382519.0</v>
      </c>
      <c r="AG96" s="50">
        <f t="shared" si="4"/>
        <v>593310</v>
      </c>
      <c r="AH96" s="50">
        <v>55029.0</v>
      </c>
      <c r="AI96" s="50">
        <v>239367.0</v>
      </c>
      <c r="AJ96" s="50"/>
      <c r="AK96" s="50">
        <f t="shared" si="15"/>
        <v>294396</v>
      </c>
      <c r="AL96" s="50"/>
      <c r="AM96" s="50">
        <f t="shared" si="6"/>
        <v>294396</v>
      </c>
      <c r="AN96" s="50">
        <v>53544.0</v>
      </c>
      <c r="AO96" s="50">
        <v>325439.0</v>
      </c>
      <c r="AP96" s="50"/>
      <c r="AQ96" s="50">
        <f t="shared" si="16"/>
        <v>378983</v>
      </c>
      <c r="AR96" s="50">
        <f>4953+27620+54092</f>
        <v>86665</v>
      </c>
      <c r="AS96" s="50">
        <f t="shared" si="8"/>
        <v>465648</v>
      </c>
      <c r="AT96" s="50"/>
      <c r="AU96" s="50"/>
      <c r="AV96" s="50"/>
      <c r="AW96" s="50">
        <f t="shared" si="12"/>
        <v>0</v>
      </c>
      <c r="AX96" s="50"/>
      <c r="AY96" s="50">
        <f t="shared" si="10"/>
        <v>0</v>
      </c>
      <c r="BA96" s="57" t="s">
        <v>1359</v>
      </c>
      <c r="BC96" s="57" t="s">
        <v>1360</v>
      </c>
      <c r="BD96" s="52" t="s">
        <v>1361</v>
      </c>
    </row>
    <row r="97" ht="12.75" customHeight="1">
      <c r="A97" s="22" t="s">
        <v>533</v>
      </c>
      <c r="B97" s="22" t="s">
        <v>534</v>
      </c>
      <c r="C97" s="22" t="s">
        <v>855</v>
      </c>
      <c r="D97" s="22" t="s">
        <v>1152</v>
      </c>
      <c r="E97" s="46">
        <v>1.3186E11</v>
      </c>
      <c r="F97" s="46" t="str">
        <f>IF(ISNUMBER(Table1[[#This Row],[2019 Scope 3 ]]),IF(Table1[[#This Row],[Net Earnings/Income (2019)]]-k_cost*Table1[[#This Row],[2019 Total Scope 1, 2 + 3]]&lt;0,"Y","N"),"NA")</f>
        <v>#ERROR!</v>
      </c>
      <c r="G97" s="47" t="str">
        <f>IF(ISNUMBER(Table1[[#This Row],[2019 Scope 3 ]]),IF(k_cost*Table1[[#This Row],[2019 Total Scope 1, 2 + 3]]/Table1[[#This Row],[Size (2019 Revenue)]]&gt;k_rev_max,"Y","N"),"NA")</f>
        <v>#ERROR!</v>
      </c>
      <c r="H97" s="47" t="str">
        <f>IF(OR(Table1[[#This Row],[Net earnings post carbon price @85/t]]="Y",Table1[[#This Row],[Carbon costs in % revenue]] = "Y"),"Y",IF(OR(Table1[[#This Row],[Net earnings post carbon price @85/t]]="NA",Table1[[#This Row],[Carbon costs in % revenue]]="NA"),"NA","N"))</f>
        <v>#ERROR!</v>
      </c>
      <c r="I97" s="46">
        <v>1.979E10</v>
      </c>
      <c r="J97" s="48">
        <v>2000.0</v>
      </c>
      <c r="K97" s="46" t="s">
        <v>1126</v>
      </c>
      <c r="L97" s="13" t="s">
        <v>1126</v>
      </c>
      <c r="M97" s="13" t="s">
        <v>1127</v>
      </c>
      <c r="N97" s="13">
        <v>2035.0</v>
      </c>
      <c r="O97" s="13">
        <v>2019.0</v>
      </c>
      <c r="Q97" s="13" t="s">
        <v>1126</v>
      </c>
      <c r="R97" s="13" t="s">
        <v>1127</v>
      </c>
      <c r="S97" s="13" t="s">
        <v>1362</v>
      </c>
      <c r="T97" s="35" t="str">
        <f>IFERROR((Table1[[#This Row],[2019 Total Scope 1, 2 + 3]])/Table1[[#This Row],[2018 Total Scope 1, 2 + Scope 3]]-1,"NA")</f>
        <v>#ERROR!</v>
      </c>
      <c r="V97" s="50">
        <v>358753.0</v>
      </c>
      <c r="W97" s="50">
        <v>3982613.0</v>
      </c>
      <c r="X97" s="50"/>
      <c r="Y97" s="50">
        <f t="shared" si="13"/>
        <v>4341366</v>
      </c>
      <c r="Z97" s="50">
        <f>12502929+1057075+65443+36503+92882+511555+56906+2736735+1619</f>
        <v>17061647</v>
      </c>
      <c r="AA97" s="50">
        <f t="shared" si="2"/>
        <v>21403013</v>
      </c>
      <c r="AB97" s="50">
        <v>385241.0</v>
      </c>
      <c r="AC97" s="50">
        <v>4033579.0</v>
      </c>
      <c r="AD97" s="50"/>
      <c r="AE97" s="50">
        <f t="shared" si="14"/>
        <v>4418820</v>
      </c>
      <c r="AF97" s="50" t="s">
        <v>1130</v>
      </c>
      <c r="AG97" s="50" t="str">
        <f t="shared" si="4"/>
        <v/>
      </c>
      <c r="AH97" s="50">
        <v>376735.0</v>
      </c>
      <c r="AI97" s="50">
        <v>4522261.0</v>
      </c>
      <c r="AJ97" s="50"/>
      <c r="AK97" s="50">
        <f t="shared" si="15"/>
        <v>4898996</v>
      </c>
      <c r="AL97" s="50">
        <v>69271.0</v>
      </c>
      <c r="AM97" s="50">
        <f t="shared" si="6"/>
        <v>4968267</v>
      </c>
      <c r="AN97" s="50">
        <v>372496.0</v>
      </c>
      <c r="AO97" s="50">
        <v>5529727.0</v>
      </c>
      <c r="AP97" s="50"/>
      <c r="AQ97" s="50">
        <f t="shared" si="16"/>
        <v>5902223</v>
      </c>
      <c r="AR97" s="50">
        <v>91365.0</v>
      </c>
      <c r="AS97" s="50">
        <f t="shared" si="8"/>
        <v>5993588</v>
      </c>
      <c r="AT97" s="50">
        <v>445704.0</v>
      </c>
      <c r="AU97" s="50">
        <v>5529153.0</v>
      </c>
      <c r="AV97" s="50"/>
      <c r="AW97" s="50">
        <f t="shared" si="12"/>
        <v>5974857</v>
      </c>
      <c r="AX97" s="50">
        <v>43333.0</v>
      </c>
      <c r="AY97" s="50">
        <f t="shared" si="10"/>
        <v>6018190</v>
      </c>
      <c r="BA97" s="57" t="s">
        <v>1363</v>
      </c>
      <c r="BB97" s="13" t="s">
        <v>1364</v>
      </c>
      <c r="BC97" s="57" t="s">
        <v>1365</v>
      </c>
      <c r="BD97" s="52"/>
    </row>
    <row r="98" ht="12.75" customHeight="1">
      <c r="A98" s="22" t="s">
        <v>539</v>
      </c>
      <c r="B98" s="22" t="s">
        <v>540</v>
      </c>
      <c r="C98" s="22" t="s">
        <v>850</v>
      </c>
      <c r="D98" s="22" t="s">
        <v>1144</v>
      </c>
      <c r="E98" s="46">
        <v>2.3E10</v>
      </c>
      <c r="F98" s="46" t="str">
        <f>IF(ISNUMBER(Table1[[#This Row],[2019 Scope 3 ]]),IF(Table1[[#This Row],[Net Earnings/Income (2019)]]-k_cost*Table1[[#This Row],[2019 Total Scope 1, 2 + 3]]&lt;0,"Y","N"),"NA")</f>
        <v>#ERROR!</v>
      </c>
      <c r="G98" s="47" t="str">
        <f>IF(ISNUMBER(Table1[[#This Row],[2019 Scope 3 ]]),IF(k_cost*Table1[[#This Row],[2019 Total Scope 1, 2 + 3]]/Table1[[#This Row],[Size (2019 Revenue)]]&gt;k_rev_max,"Y","N"),"NA")</f>
        <v>#ERROR!</v>
      </c>
      <c r="H98" s="47" t="str">
        <f>IF(OR(Table1[[#This Row],[Net earnings post carbon price @85/t]]="Y",Table1[[#This Row],[Carbon costs in % revenue]] = "Y"),"Y",IF(OR(Table1[[#This Row],[Net earnings post carbon price @85/t]]="NA",Table1[[#This Row],[Carbon costs in % revenue]]="NA"),"NA","N"))</f>
        <v>#ERROR!</v>
      </c>
      <c r="I98" s="46">
        <v>1.21E10</v>
      </c>
      <c r="J98" s="48">
        <v>2008.0</v>
      </c>
      <c r="K98" s="46" t="s">
        <v>1126</v>
      </c>
      <c r="L98" s="13" t="s">
        <v>1127</v>
      </c>
      <c r="M98" s="13" t="s">
        <v>1127</v>
      </c>
      <c r="R98" s="13" t="s">
        <v>1126</v>
      </c>
      <c r="S98" s="13">
        <v>2019.0</v>
      </c>
      <c r="T98" s="35" t="str">
        <f>IFERROR((Table1[[#This Row],[2019 Total Scope 1, 2 + 3]])/Table1[[#This Row],[2018 Total Scope 1, 2 + Scope 3]]-1,"NA")</f>
        <v>#ERROR!</v>
      </c>
      <c r="V98" s="50">
        <v>8642.0</v>
      </c>
      <c r="W98" s="50">
        <v>51366.0</v>
      </c>
      <c r="X98" s="50"/>
      <c r="Y98" s="50">
        <f t="shared" si="13"/>
        <v>60008</v>
      </c>
      <c r="Z98" s="50">
        <f>430410+13729+2203+48009+29518+94</f>
        <v>523963</v>
      </c>
      <c r="AA98" s="50">
        <f t="shared" si="2"/>
        <v>583971</v>
      </c>
      <c r="AB98" s="50">
        <f>287390*0.03</f>
        <v>8621.7</v>
      </c>
      <c r="AC98" s="50">
        <f>287390*0.19</f>
        <v>54604.1</v>
      </c>
      <c r="AD98" s="50"/>
      <c r="AE98" s="50">
        <f t="shared" si="14"/>
        <v>63225.8</v>
      </c>
      <c r="AF98" s="50">
        <f>153409+6583+2793+47000+22342+29</f>
        <v>232156</v>
      </c>
      <c r="AG98" s="50">
        <f t="shared" si="4"/>
        <v>295381.8</v>
      </c>
      <c r="AH98" s="50">
        <v>9143.0</v>
      </c>
      <c r="AI98" s="50">
        <v>56628.0</v>
      </c>
      <c r="AJ98" s="50"/>
      <c r="AK98" s="50">
        <f t="shared" si="15"/>
        <v>65771</v>
      </c>
      <c r="AL98" s="50">
        <v>55182.0</v>
      </c>
      <c r="AM98" s="50">
        <f t="shared" si="6"/>
        <v>120953</v>
      </c>
      <c r="AN98" s="50">
        <v>9005.0</v>
      </c>
      <c r="AO98" s="50">
        <v>68968.0</v>
      </c>
      <c r="AP98" s="50"/>
      <c r="AQ98" s="50">
        <f t="shared" si="16"/>
        <v>77973</v>
      </c>
      <c r="AR98" s="50">
        <v>49736.0</v>
      </c>
      <c r="AS98" s="50">
        <f t="shared" si="8"/>
        <v>127709</v>
      </c>
      <c r="AT98" s="50">
        <v>17837.0</v>
      </c>
      <c r="AU98" s="50">
        <v>55177.0</v>
      </c>
      <c r="AV98" s="50"/>
      <c r="AW98" s="50">
        <f t="shared" si="12"/>
        <v>73014</v>
      </c>
      <c r="AX98" s="50">
        <v>33149.0</v>
      </c>
      <c r="AY98" s="50">
        <f t="shared" si="10"/>
        <v>106163</v>
      </c>
      <c r="AZ98" s="13" t="s">
        <v>1127</v>
      </c>
      <c r="BA98" s="57" t="s">
        <v>1366</v>
      </c>
      <c r="BB98" s="57" t="s">
        <v>1367</v>
      </c>
      <c r="BC98" s="57" t="s">
        <v>1368</v>
      </c>
      <c r="BD98" s="52"/>
    </row>
    <row r="99" ht="12.75" customHeight="1">
      <c r="A99" s="22" t="s">
        <v>545</v>
      </c>
      <c r="B99" s="22" t="s">
        <v>546</v>
      </c>
      <c r="C99" s="22" t="s">
        <v>829</v>
      </c>
      <c r="D99" s="22" t="s">
        <v>923</v>
      </c>
      <c r="E99" s="53">
        <v>1.369E11</v>
      </c>
      <c r="F99" s="46" t="str">
        <f>IF(ISNUMBER(Table1[[#This Row],[2019 Scope 3 ]]),IF(Table1[[#This Row],[Net Earnings/Income (2019)]]-k_cost*Table1[[#This Row],[2019 Total Scope 1, 2 + 3]]&lt;0,"Y","N"),"NA")</f>
        <v>#ERROR!</v>
      </c>
      <c r="G99" s="47" t="str">
        <f>IF(ISNUMBER(Table1[[#This Row],[2019 Scope 3 ]]),IF(k_cost*Table1[[#This Row],[2019 Total Scope 1, 2 + 3]]/Table1[[#This Row],[Size (2019 Revenue)]]&gt;k_rev_max,"Y","N"),"NA")</f>
        <v>#ERROR!</v>
      </c>
      <c r="H99" s="47" t="str">
        <f>IF(OR(Table1[[#This Row],[Net earnings post carbon price @85/t]]="Y",Table1[[#This Row],[Carbon costs in % revenue]] = "Y"),"Y",IF(OR(Table1[[#This Row],[Net earnings post carbon price @85/t]]="NA",Table1[[#This Row],[Carbon costs in % revenue]]="NA"),"NA","N"))</f>
        <v>#ERROR!</v>
      </c>
      <c r="I99" s="53">
        <v>3.9E9</v>
      </c>
      <c r="J99" s="48">
        <v>1927.0</v>
      </c>
      <c r="K99" s="13" t="s">
        <v>1126</v>
      </c>
      <c r="L99" s="13" t="s">
        <v>1127</v>
      </c>
      <c r="M99" s="13" t="s">
        <v>1127</v>
      </c>
      <c r="R99" s="13" t="s">
        <v>1127</v>
      </c>
      <c r="T99" s="35" t="str">
        <f>IFERROR((Table1[[#This Row],[2019 Total Scope 1, 2 + 3]])/Table1[[#This Row],[2018 Total Scope 1, 2 + Scope 3]]-1,"NA")</f>
        <v>#ERROR!</v>
      </c>
      <c r="V99" s="50">
        <v>389000.0</v>
      </c>
      <c r="W99" s="50">
        <v>1645000.0</v>
      </c>
      <c r="X99" s="50"/>
      <c r="Y99" s="50">
        <f t="shared" si="13"/>
        <v>2034000</v>
      </c>
      <c r="Z99" s="50">
        <v>107000.0</v>
      </c>
      <c r="AA99" s="50">
        <f t="shared" si="2"/>
        <v>2141000</v>
      </c>
      <c r="AB99" s="50">
        <v>370000.0</v>
      </c>
      <c r="AC99" s="50">
        <v>1639000.0</v>
      </c>
      <c r="AD99" s="50"/>
      <c r="AE99" s="50">
        <f t="shared" si="14"/>
        <v>2009000</v>
      </c>
      <c r="AF99" s="50">
        <v>120000.0</v>
      </c>
      <c r="AG99" s="50">
        <f t="shared" si="4"/>
        <v>2129000</v>
      </c>
      <c r="AH99" s="50">
        <v>368000.0</v>
      </c>
      <c r="AI99" s="50">
        <v>1863000.0</v>
      </c>
      <c r="AJ99" s="50"/>
      <c r="AK99" s="50">
        <f t="shared" si="15"/>
        <v>2231000</v>
      </c>
      <c r="AL99" s="50">
        <v>123000.0</v>
      </c>
      <c r="AM99" s="50">
        <f t="shared" si="6"/>
        <v>2354000</v>
      </c>
      <c r="AN99" s="50"/>
      <c r="AO99" s="50"/>
      <c r="AP99" s="50"/>
      <c r="AQ99" s="50">
        <f t="shared" si="16"/>
        <v>0</v>
      </c>
      <c r="AR99" s="50"/>
      <c r="AS99" s="50">
        <f t="shared" si="8"/>
        <v>0</v>
      </c>
      <c r="AT99" s="50"/>
      <c r="AU99" s="50"/>
      <c r="AV99" s="50"/>
      <c r="AW99" s="50">
        <f t="shared" si="12"/>
        <v>0</v>
      </c>
      <c r="AX99" s="50"/>
      <c r="AY99" s="50">
        <f t="shared" si="10"/>
        <v>0</v>
      </c>
      <c r="AZ99" s="13" t="s">
        <v>1369</v>
      </c>
      <c r="BA99" s="51" t="s">
        <v>1370</v>
      </c>
      <c r="BC99" s="57" t="s">
        <v>1371</v>
      </c>
      <c r="BD99" s="52"/>
    </row>
    <row r="100" ht="12.75" customHeight="1">
      <c r="A100" s="22" t="s">
        <v>551</v>
      </c>
      <c r="B100" s="22" t="s">
        <v>551</v>
      </c>
      <c r="C100" s="22" t="s">
        <v>860</v>
      </c>
      <c r="D100" s="22" t="s">
        <v>923</v>
      </c>
      <c r="E100" s="46">
        <v>5.24E11</v>
      </c>
      <c r="F100" s="46" t="str">
        <f>IF(ISNUMBER(Table1[[#This Row],[2019 Scope 3 ]]),IF(Table1[[#This Row],[Net Earnings/Income (2019)]]-k_cost*Table1[[#This Row],[2019 Total Scope 1, 2 + 3]]&lt;0,"Y","N"),"NA")</f>
        <v>#ERROR!</v>
      </c>
      <c r="G100" s="47" t="str">
        <f>IF(ISNUMBER(Table1[[#This Row],[2019 Scope 3 ]]),IF(k_cost*Table1[[#This Row],[2019 Total Scope 1, 2 + 3]]/Table1[[#This Row],[Size (2019 Revenue)]]&gt;k_rev_max,"Y","N"),"NA")</f>
        <v>#ERROR!</v>
      </c>
      <c r="H100" s="47" t="str">
        <f>IF(OR(Table1[[#This Row],[Net earnings post carbon price @85/t]]="Y",Table1[[#This Row],[Carbon costs in % revenue]] = "Y"),"Y",IF(OR(Table1[[#This Row],[Net earnings post carbon price @85/t]]="NA",Table1[[#This Row],[Carbon costs in % revenue]]="NA"),"NA","N"))</f>
        <v>#ERROR!</v>
      </c>
      <c r="I100" s="46">
        <v>1.488E10</v>
      </c>
      <c r="J100" s="48">
        <v>1972.0</v>
      </c>
      <c r="K100" s="46" t="s">
        <v>1126</v>
      </c>
      <c r="L100" s="22" t="s">
        <v>1126</v>
      </c>
      <c r="M100" s="13" t="s">
        <v>1126</v>
      </c>
      <c r="N100" s="13">
        <v>2040.0</v>
      </c>
      <c r="P100" s="57" t="s">
        <v>1372</v>
      </c>
      <c r="Q100" s="13" t="s">
        <v>1127</v>
      </c>
      <c r="R100" s="13" t="s">
        <v>1126</v>
      </c>
      <c r="S100" s="13">
        <v>2025.0</v>
      </c>
      <c r="T100" s="35" t="str">
        <f>IFERROR((Table1[[#This Row],[2019 Total Scope 1, 2 + 3]])/Table1[[#This Row],[2018 Total Scope 1, 2 + Scope 3]]-1,"NA")</f>
        <v>#ERROR!</v>
      </c>
      <c r="V100" s="50">
        <v>6484616.0</v>
      </c>
      <c r="W100" s="50">
        <v>1.107898E7</v>
      </c>
      <c r="X100" s="50"/>
      <c r="Y100" s="50">
        <f t="shared" si="13"/>
        <v>17563596</v>
      </c>
      <c r="Z100" s="50">
        <f>143267842+645328+3327874+342577+968265+76296+3500000+5099+32211000+130+130000</f>
        <v>184474411</v>
      </c>
      <c r="AA100" s="50">
        <f t="shared" si="2"/>
        <v>202038007</v>
      </c>
      <c r="AB100" s="50">
        <v>6101641.0</v>
      </c>
      <c r="AC100" s="50">
        <v>1.2022083E7</v>
      </c>
      <c r="AD100" s="50"/>
      <c r="AE100" s="50">
        <f t="shared" si="14"/>
        <v>18123724</v>
      </c>
      <c r="AF100" s="50">
        <f>143267842+645328+3327874+342577+968265+76296+3500000+5099+32211000+130+130000</f>
        <v>184474411</v>
      </c>
      <c r="AG100" s="50">
        <f t="shared" si="4"/>
        <v>202598135</v>
      </c>
      <c r="AH100" s="50">
        <v>1.216E7</v>
      </c>
      <c r="AI100" s="50">
        <v>6520000.0</v>
      </c>
      <c r="AJ100" s="50"/>
      <c r="AK100" s="50">
        <f t="shared" si="15"/>
        <v>18680000</v>
      </c>
      <c r="AL100" s="50"/>
      <c r="AM100" s="50">
        <f t="shared" si="6"/>
        <v>18680000</v>
      </c>
      <c r="AN100" s="50">
        <v>1.408E7</v>
      </c>
      <c r="AO100" s="50">
        <v>6650000.0</v>
      </c>
      <c r="AP100" s="50"/>
      <c r="AQ100" s="50">
        <f t="shared" si="16"/>
        <v>20730000</v>
      </c>
      <c r="AR100" s="50"/>
      <c r="AS100" s="50">
        <f t="shared" si="8"/>
        <v>20730000</v>
      </c>
      <c r="AT100" s="50">
        <v>1.493E7</v>
      </c>
      <c r="AU100" s="50">
        <v>6110000.0</v>
      </c>
      <c r="AV100" s="50"/>
      <c r="AW100" s="50">
        <f t="shared" si="12"/>
        <v>21040000</v>
      </c>
      <c r="AX100" s="50"/>
      <c r="AY100" s="50">
        <f t="shared" si="10"/>
        <v>21040000</v>
      </c>
      <c r="AZ100" s="57" t="s">
        <v>1373</v>
      </c>
      <c r="BA100" s="57" t="s">
        <v>1374</v>
      </c>
      <c r="BB100" s="57" t="s">
        <v>1375</v>
      </c>
      <c r="BC100" s="57" t="s">
        <v>1376</v>
      </c>
      <c r="BD100" s="52"/>
    </row>
    <row r="101" ht="12.75" customHeight="1">
      <c r="A101" s="22" t="s">
        <v>556</v>
      </c>
      <c r="B101" s="22" t="s">
        <v>556</v>
      </c>
      <c r="C101" s="22" t="s">
        <v>850</v>
      </c>
      <c r="D101" s="22" t="s">
        <v>868</v>
      </c>
      <c r="E101" s="46">
        <v>8.506E10</v>
      </c>
      <c r="F101" s="46" t="str">
        <f>IF(ISNUMBER(Table1[[#This Row],[2019 Scope 3 ]]),IF(Table1[[#This Row],[Net Earnings/Income (2019)]]-k_cost*Table1[[#This Row],[2019 Total Scope 1, 2 + 3]]&lt;0,"Y","N"),"NA")</f>
        <v>#ERROR!</v>
      </c>
      <c r="G101" s="47" t="str">
        <f>IF(ISNUMBER(Table1[[#This Row],[2019 Scope 3 ]]),IF(k_cost*Table1[[#This Row],[2019 Total Scope 1, 2 + 3]]/Table1[[#This Row],[Size (2019 Revenue)]]&gt;k_rev_max,"Y","N"),"NA")</f>
        <v>#ERROR!</v>
      </c>
      <c r="H101" s="47" t="str">
        <f>IF(OR(Table1[[#This Row],[Net earnings post carbon price @85/t]]="Y",Table1[[#This Row],[Carbon costs in % revenue]] = "Y"),"Y",IF(OR(Table1[[#This Row],[Net earnings post carbon price @85/t]]="NA",Table1[[#This Row],[Carbon costs in % revenue]]="NA"),"NA","N"))</f>
        <v>#ERROR!</v>
      </c>
      <c r="I101" s="46">
        <v>1.955E10</v>
      </c>
      <c r="J101" s="48">
        <v>1978.0</v>
      </c>
      <c r="K101" s="46" t="s">
        <v>1126</v>
      </c>
      <c r="L101" s="13" t="s">
        <v>1127</v>
      </c>
      <c r="M101" s="13" t="s">
        <v>1127</v>
      </c>
      <c r="P101" s="57" t="s">
        <v>1377</v>
      </c>
      <c r="Q101" s="57" t="s">
        <v>1378</v>
      </c>
      <c r="R101" s="13" t="s">
        <v>1126</v>
      </c>
      <c r="S101" s="13">
        <v>2017.0</v>
      </c>
      <c r="T101" s="35" t="str">
        <f>IFERROR((Table1[[#This Row],[2019 Total Scope 1, 2 + 3]])/Table1[[#This Row],[2018 Total Scope 1, 2 + Scope 3]]-1,"NA")</f>
        <v>#ERROR!</v>
      </c>
      <c r="V101" s="50">
        <v>91993.0</v>
      </c>
      <c r="W101" s="50">
        <v>4988.0</v>
      </c>
      <c r="X101" s="50"/>
      <c r="Y101" s="50">
        <f t="shared" si="13"/>
        <v>96981</v>
      </c>
      <c r="Z101" s="50">
        <f>2304829+455599+148420+9921+78277+613405</f>
        <v>3610451</v>
      </c>
      <c r="AA101" s="50">
        <f t="shared" si="2"/>
        <v>3707432</v>
      </c>
      <c r="AB101" s="50">
        <v>95316.0</v>
      </c>
      <c r="AC101" s="50">
        <v>833204.0</v>
      </c>
      <c r="AD101" s="50"/>
      <c r="AE101" s="50">
        <f t="shared" si="14"/>
        <v>928520</v>
      </c>
      <c r="AF101" s="50">
        <f>2347646+559600+156145+12132+93815+612464</f>
        <v>3781802</v>
      </c>
      <c r="AG101" s="50">
        <f t="shared" si="4"/>
        <v>4710322</v>
      </c>
      <c r="AH101" s="50">
        <v>85830.0</v>
      </c>
      <c r="AI101" s="50">
        <v>848520.0</v>
      </c>
      <c r="AJ101" s="50"/>
      <c r="AK101" s="50">
        <f t="shared" si="15"/>
        <v>934350</v>
      </c>
      <c r="AL101" s="50" t="s">
        <v>1130</v>
      </c>
      <c r="AM101" s="50" t="str">
        <f t="shared" si="6"/>
        <v/>
      </c>
      <c r="AN101" s="50">
        <v>85628.0</v>
      </c>
      <c r="AO101" s="50">
        <v>974982.0</v>
      </c>
      <c r="AP101" s="50"/>
      <c r="AQ101" s="50">
        <f t="shared" si="16"/>
        <v>1060610</v>
      </c>
      <c r="AR101" s="50" t="s">
        <v>1130</v>
      </c>
      <c r="AS101" s="50" t="str">
        <f t="shared" si="8"/>
        <v/>
      </c>
      <c r="AT101" s="50">
        <v>92610.0</v>
      </c>
      <c r="AU101" s="50">
        <v>1193278.0</v>
      </c>
      <c r="AV101" s="50"/>
      <c r="AW101" s="50">
        <f t="shared" si="12"/>
        <v>1285888</v>
      </c>
      <c r="AX101" s="50" t="s">
        <v>1130</v>
      </c>
      <c r="AY101" s="50" t="str">
        <f t="shared" si="10"/>
        <v/>
      </c>
      <c r="BA101" s="57" t="s">
        <v>1379</v>
      </c>
      <c r="BC101" s="57" t="s">
        <v>1380</v>
      </c>
      <c r="BD101" s="52"/>
    </row>
    <row r="102" ht="12.75" customHeight="1">
      <c r="A102" s="22"/>
      <c r="B102" s="22"/>
      <c r="D102" s="22"/>
      <c r="E102" s="46"/>
      <c r="F102" s="46"/>
      <c r="G102" s="46"/>
      <c r="H102" s="46"/>
      <c r="I102" s="46"/>
      <c r="J102" s="48"/>
      <c r="K102" s="46"/>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BA102" s="57"/>
      <c r="BC102" s="57"/>
    </row>
    <row r="103" ht="12.75" customHeight="1">
      <c r="J103" s="48"/>
      <c r="V103" s="33"/>
      <c r="W103" s="33"/>
      <c r="X103" s="33"/>
      <c r="Y103" s="33"/>
      <c r="Z103" s="33"/>
      <c r="AA103" s="33"/>
      <c r="AB103" s="33"/>
      <c r="AC103" s="33"/>
      <c r="AD103" s="33"/>
      <c r="AE103" s="33"/>
      <c r="AF103" s="33"/>
      <c r="AG103" s="33"/>
      <c r="AH103" s="33"/>
      <c r="AI103" s="33"/>
      <c r="AJ103" s="33"/>
      <c r="AK103" s="50"/>
      <c r="AL103" s="33"/>
      <c r="AM103" s="33"/>
      <c r="AN103" s="33"/>
      <c r="AO103" s="33"/>
      <c r="AP103" s="33"/>
      <c r="AQ103" s="33"/>
      <c r="AR103" s="33"/>
      <c r="AS103" s="33"/>
      <c r="AT103" s="33"/>
      <c r="AU103" s="33"/>
      <c r="AV103" s="33"/>
      <c r="AW103" s="33"/>
      <c r="AX103" s="33"/>
      <c r="AY103" s="33"/>
    </row>
    <row r="104" ht="12.75" customHeight="1">
      <c r="J104" s="48"/>
      <c r="V104" s="33"/>
      <c r="W104" s="33"/>
      <c r="X104" s="33"/>
      <c r="Y104" s="33"/>
      <c r="Z104" s="33"/>
      <c r="AA104" s="33"/>
      <c r="AB104" s="33"/>
      <c r="AC104" s="33"/>
      <c r="AD104" s="33"/>
      <c r="AE104" s="33"/>
      <c r="AF104" s="33"/>
      <c r="AG104" s="33"/>
      <c r="AH104" s="33"/>
      <c r="AI104" s="33"/>
      <c r="AJ104" s="33"/>
      <c r="AK104" s="50"/>
      <c r="AL104" s="33"/>
      <c r="AM104" s="33"/>
      <c r="AN104" s="33"/>
      <c r="AO104" s="33"/>
      <c r="AP104" s="33"/>
      <c r="AQ104" s="33"/>
      <c r="AR104" s="33"/>
      <c r="AS104" s="33"/>
      <c r="AT104" s="33"/>
      <c r="AU104" s="33"/>
      <c r="AV104" s="33"/>
      <c r="AW104" s="33"/>
      <c r="AX104" s="33"/>
      <c r="AY104" s="33"/>
    </row>
    <row r="105" ht="12.75" customHeight="1">
      <c r="A105" s="22"/>
      <c r="J105" s="48"/>
      <c r="V105" s="33"/>
      <c r="W105" s="33"/>
      <c r="X105" s="33"/>
      <c r="Y105" s="33"/>
      <c r="Z105" s="33"/>
      <c r="AA105" s="33"/>
      <c r="AB105" s="33"/>
      <c r="AC105" s="33"/>
      <c r="AD105" s="33"/>
      <c r="AE105" s="33"/>
      <c r="AF105" s="33"/>
      <c r="AG105" s="33"/>
      <c r="AH105" s="33"/>
      <c r="AI105" s="33"/>
      <c r="AJ105" s="33"/>
      <c r="AK105" s="50"/>
      <c r="AL105" s="33"/>
      <c r="AM105" s="33"/>
      <c r="AN105" s="33"/>
      <c r="AO105" s="33"/>
      <c r="AP105" s="33"/>
      <c r="AQ105" s="33"/>
      <c r="AR105" s="33"/>
      <c r="AS105" s="33"/>
      <c r="AT105" s="33"/>
      <c r="AU105" s="33"/>
      <c r="AV105" s="33"/>
      <c r="AW105" s="33"/>
      <c r="AX105" s="33"/>
      <c r="AY105" s="33"/>
    </row>
    <row r="106" ht="12.75" customHeight="1">
      <c r="J106" s="48"/>
      <c r="V106" s="33"/>
      <c r="W106" s="33"/>
      <c r="X106" s="33"/>
      <c r="Y106" s="33"/>
      <c r="Z106" s="33"/>
      <c r="AA106" s="33"/>
      <c r="AB106" s="33"/>
      <c r="AC106" s="33"/>
      <c r="AD106" s="33"/>
      <c r="AE106" s="33"/>
      <c r="AF106" s="33"/>
      <c r="AG106" s="33"/>
      <c r="AH106" s="33"/>
      <c r="AI106" s="33"/>
      <c r="AJ106" s="33"/>
      <c r="AK106" s="50"/>
      <c r="AL106" s="33"/>
      <c r="AM106" s="33"/>
      <c r="AN106" s="33"/>
      <c r="AO106" s="33"/>
      <c r="AP106" s="33"/>
      <c r="AQ106" s="33"/>
      <c r="AR106" s="33"/>
      <c r="AS106" s="33"/>
      <c r="AT106" s="33"/>
      <c r="AU106" s="33"/>
      <c r="AV106" s="33"/>
      <c r="AW106" s="33"/>
      <c r="AX106" s="33"/>
      <c r="AY106" s="33"/>
    </row>
    <row r="107" ht="12.75" customHeight="1">
      <c r="J107" s="48"/>
      <c r="V107" s="33"/>
      <c r="W107" s="33"/>
      <c r="X107" s="33"/>
      <c r="Y107" s="33"/>
      <c r="Z107" s="33"/>
      <c r="AA107" s="33"/>
      <c r="AB107" s="33"/>
      <c r="AC107" s="33"/>
      <c r="AD107" s="33"/>
      <c r="AE107" s="33"/>
      <c r="AF107" s="33"/>
      <c r="AG107" s="33"/>
      <c r="AH107" s="33"/>
      <c r="AI107" s="33"/>
      <c r="AJ107" s="33"/>
      <c r="AK107" s="50"/>
      <c r="AL107" s="33"/>
      <c r="AM107" s="33"/>
      <c r="AN107" s="33"/>
      <c r="AO107" s="33"/>
      <c r="AP107" s="33"/>
      <c r="AQ107" s="33"/>
      <c r="AR107" s="33"/>
      <c r="AS107" s="33"/>
      <c r="AT107" s="33"/>
      <c r="AU107" s="33"/>
      <c r="AV107" s="33"/>
      <c r="AW107" s="33"/>
      <c r="AX107" s="33"/>
      <c r="AY107" s="33"/>
    </row>
    <row r="108" ht="12.75" customHeight="1">
      <c r="J108" s="48"/>
      <c r="V108" s="33"/>
      <c r="W108" s="33"/>
      <c r="X108" s="33"/>
      <c r="Y108" s="33"/>
      <c r="Z108" s="33"/>
      <c r="AA108" s="33"/>
      <c r="AB108" s="33"/>
      <c r="AC108" s="33"/>
      <c r="AD108" s="33"/>
      <c r="AE108" s="33"/>
      <c r="AF108" s="33"/>
      <c r="AG108" s="33"/>
      <c r="AH108" s="33"/>
      <c r="AI108" s="33"/>
      <c r="AJ108" s="33"/>
      <c r="AK108" s="50"/>
      <c r="AL108" s="33"/>
      <c r="AM108" s="33"/>
      <c r="AN108" s="33"/>
      <c r="AO108" s="33"/>
      <c r="AP108" s="33"/>
      <c r="AQ108" s="33"/>
      <c r="AR108" s="33"/>
      <c r="AS108" s="33"/>
      <c r="AT108" s="33"/>
      <c r="AU108" s="33"/>
      <c r="AV108" s="33"/>
      <c r="AW108" s="33"/>
      <c r="AX108" s="33"/>
      <c r="AY108" s="33"/>
    </row>
    <row r="109" ht="12.75" customHeight="1">
      <c r="J109" s="48"/>
      <c r="V109" s="33"/>
      <c r="W109" s="33"/>
      <c r="X109" s="33"/>
      <c r="Y109" s="33"/>
      <c r="Z109" s="33"/>
      <c r="AA109" s="33"/>
      <c r="AB109" s="33"/>
      <c r="AC109" s="33"/>
      <c r="AD109" s="33"/>
      <c r="AE109" s="33"/>
      <c r="AF109" s="33"/>
      <c r="AG109" s="33"/>
      <c r="AH109" s="33"/>
      <c r="AI109" s="33"/>
      <c r="AJ109" s="33"/>
      <c r="AK109" s="50"/>
      <c r="AL109" s="33"/>
      <c r="AM109" s="33"/>
      <c r="AN109" s="33"/>
      <c r="AO109" s="33"/>
      <c r="AP109" s="33"/>
      <c r="AQ109" s="33"/>
      <c r="AR109" s="33"/>
      <c r="AS109" s="33"/>
      <c r="AT109" s="33"/>
      <c r="AU109" s="33"/>
      <c r="AV109" s="33"/>
      <c r="AW109" s="33"/>
      <c r="AX109" s="33"/>
      <c r="AY109" s="33"/>
    </row>
    <row r="110" ht="12.75" customHeight="1">
      <c r="J110" s="48"/>
      <c r="V110" s="33"/>
      <c r="W110" s="33"/>
      <c r="X110" s="33"/>
      <c r="Y110" s="33"/>
      <c r="Z110" s="33"/>
      <c r="AA110" s="33"/>
      <c r="AB110" s="33"/>
      <c r="AC110" s="33"/>
      <c r="AD110" s="33"/>
      <c r="AE110" s="33"/>
      <c r="AF110" s="33"/>
      <c r="AG110" s="33"/>
      <c r="AH110" s="33"/>
      <c r="AI110" s="33"/>
      <c r="AJ110" s="33"/>
      <c r="AK110" s="50"/>
      <c r="AL110" s="33"/>
      <c r="AM110" s="33"/>
      <c r="AN110" s="33"/>
      <c r="AO110" s="33"/>
      <c r="AP110" s="33"/>
      <c r="AQ110" s="33"/>
      <c r="AR110" s="33"/>
      <c r="AS110" s="33"/>
      <c r="AT110" s="33"/>
      <c r="AU110" s="33"/>
      <c r="AV110" s="33"/>
      <c r="AW110" s="33"/>
      <c r="AX110" s="33"/>
      <c r="AY110" s="33"/>
    </row>
    <row r="111" ht="12.75" customHeight="1">
      <c r="J111" s="48"/>
      <c r="V111" s="33"/>
      <c r="W111" s="33"/>
      <c r="X111" s="33"/>
      <c r="Y111" s="33"/>
      <c r="Z111" s="33"/>
      <c r="AA111" s="33"/>
      <c r="AB111" s="33"/>
      <c r="AC111" s="33"/>
      <c r="AD111" s="33"/>
      <c r="AE111" s="33"/>
      <c r="AF111" s="33"/>
      <c r="AG111" s="33"/>
      <c r="AH111" s="33"/>
      <c r="AI111" s="33"/>
      <c r="AJ111" s="33"/>
      <c r="AK111" s="50"/>
      <c r="AL111" s="33"/>
      <c r="AM111" s="33"/>
      <c r="AN111" s="33"/>
      <c r="AO111" s="33"/>
      <c r="AP111" s="33"/>
      <c r="AQ111" s="33"/>
      <c r="AR111" s="33"/>
      <c r="AS111" s="33"/>
      <c r="AT111" s="33"/>
      <c r="AU111" s="33"/>
      <c r="AV111" s="33"/>
      <c r="AW111" s="33"/>
      <c r="AX111" s="33"/>
      <c r="AY111" s="33"/>
    </row>
    <row r="112" ht="12.75" customHeight="1">
      <c r="J112" s="48"/>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row>
    <row r="113" ht="12.75" customHeight="1">
      <c r="J113" s="48"/>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row>
    <row r="114" ht="12.75" customHeight="1">
      <c r="J114" s="48"/>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row>
    <row r="115" ht="12.75" customHeight="1">
      <c r="J115" s="48"/>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row>
    <row r="116" ht="12.75" customHeight="1">
      <c r="J116" s="48"/>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row>
    <row r="117" ht="12.75" customHeight="1">
      <c r="J117" s="48"/>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row>
    <row r="118" ht="12.75" customHeight="1">
      <c r="J118" s="48"/>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row>
    <row r="119" ht="12.75" customHeight="1">
      <c r="J119" s="48"/>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row>
    <row r="120" ht="12.75" customHeight="1">
      <c r="J120" s="48"/>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row>
    <row r="121" ht="12.75" customHeight="1">
      <c r="J121" s="48"/>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row>
    <row r="122" ht="12.75" customHeight="1">
      <c r="J122" s="48"/>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row>
    <row r="123" ht="12.75" customHeight="1">
      <c r="J123" s="48"/>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row>
    <row r="124" ht="12.75" customHeight="1">
      <c r="J124" s="48"/>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row>
    <row r="125" ht="12.75" customHeight="1">
      <c r="J125" s="48"/>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row>
    <row r="126" ht="12.75" customHeight="1">
      <c r="J126" s="48"/>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row>
    <row r="127" ht="12.75" customHeight="1">
      <c r="J127" s="48"/>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row>
    <row r="128" ht="12.75" customHeight="1">
      <c r="J128" s="48"/>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row>
    <row r="129" ht="12.75" customHeight="1">
      <c r="J129" s="48"/>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row>
    <row r="130" ht="12.75" customHeight="1">
      <c r="J130" s="48"/>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row>
    <row r="131" ht="12.75" customHeight="1">
      <c r="J131" s="48"/>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row>
    <row r="132" ht="12.75" customHeight="1">
      <c r="J132" s="48"/>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row>
    <row r="133" ht="12.75" customHeight="1">
      <c r="J133" s="48"/>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row>
    <row r="134" ht="12.75" customHeight="1">
      <c r="J134" s="48"/>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row>
    <row r="135" ht="12.75" customHeight="1">
      <c r="J135" s="48"/>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row>
    <row r="136" ht="12.75" customHeight="1">
      <c r="J136" s="48"/>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row>
    <row r="137" ht="12.75" customHeight="1">
      <c r="J137" s="48"/>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row>
    <row r="138" ht="12.75" customHeight="1">
      <c r="J138" s="48"/>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row>
    <row r="139" ht="12.75" customHeight="1">
      <c r="J139" s="48"/>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row>
    <row r="140" ht="12.75" customHeight="1">
      <c r="J140" s="48"/>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row>
    <row r="141" ht="12.75" customHeight="1">
      <c r="J141" s="48"/>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row>
    <row r="142" ht="12.75" customHeight="1">
      <c r="J142" s="48"/>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row>
    <row r="143" ht="12.75" customHeight="1">
      <c r="J143" s="48"/>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row>
    <row r="144" ht="12.75" customHeight="1">
      <c r="J144" s="48"/>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row>
    <row r="145" ht="12.75" customHeight="1">
      <c r="J145" s="48"/>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row>
    <row r="146" ht="12.75" customHeight="1">
      <c r="J146" s="48"/>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row>
    <row r="147" ht="12.75" customHeight="1">
      <c r="J147" s="48"/>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row>
    <row r="148" ht="12.75" customHeight="1">
      <c r="J148" s="48"/>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row>
    <row r="149" ht="12.75" customHeight="1">
      <c r="J149" s="48"/>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row>
    <row r="150" ht="12.75" customHeight="1">
      <c r="J150" s="48"/>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row>
    <row r="151" ht="12.75" customHeight="1">
      <c r="J151" s="48"/>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row>
    <row r="152" ht="12.75" customHeight="1">
      <c r="J152" s="48"/>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row>
    <row r="153" ht="12.75" customHeight="1">
      <c r="J153" s="48"/>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row>
    <row r="154" ht="12.75" customHeight="1">
      <c r="J154" s="48"/>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row>
    <row r="155" ht="12.75" customHeight="1">
      <c r="J155" s="48"/>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row>
    <row r="156" ht="12.75" customHeight="1">
      <c r="J156" s="48"/>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row>
    <row r="157" ht="12.75" customHeight="1">
      <c r="J157" s="48"/>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row>
    <row r="158" ht="12.75" customHeight="1">
      <c r="J158" s="48"/>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row>
    <row r="159" ht="12.75" customHeight="1">
      <c r="J159" s="48"/>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row>
    <row r="160" ht="12.75" customHeight="1">
      <c r="J160" s="48"/>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row>
    <row r="161" ht="12.75" customHeight="1">
      <c r="J161" s="48"/>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row>
    <row r="162" ht="12.75" customHeight="1">
      <c r="J162" s="48"/>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row>
    <row r="163" ht="12.75" customHeight="1">
      <c r="J163" s="48"/>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row>
    <row r="164" ht="12.75" customHeight="1">
      <c r="J164" s="48"/>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row>
    <row r="165" ht="12.75" customHeight="1">
      <c r="J165" s="48"/>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row>
    <row r="166" ht="12.75" customHeight="1">
      <c r="J166" s="48"/>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row>
    <row r="167" ht="12.75" customHeight="1">
      <c r="J167" s="48"/>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row>
    <row r="168" ht="12.75" customHeight="1">
      <c r="J168" s="48"/>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row>
    <row r="169" ht="12.75" customHeight="1">
      <c r="J169" s="48"/>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row>
    <row r="170" ht="12.75" customHeight="1">
      <c r="J170" s="48"/>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row>
    <row r="171" ht="12.75" customHeight="1">
      <c r="J171" s="48"/>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row>
    <row r="172" ht="12.75" customHeight="1">
      <c r="J172" s="48"/>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row>
    <row r="173" ht="12.75" customHeight="1">
      <c r="J173" s="48"/>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row>
    <row r="174" ht="12.75" customHeight="1">
      <c r="J174" s="48"/>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row>
    <row r="175" ht="12.75" customHeight="1">
      <c r="J175" s="48"/>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row>
    <row r="176" ht="12.75" customHeight="1">
      <c r="J176" s="48"/>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row>
    <row r="177" ht="12.75" customHeight="1">
      <c r="J177" s="48"/>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row>
    <row r="178" ht="12.75" customHeight="1">
      <c r="J178" s="48"/>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row>
    <row r="179" ht="12.75" customHeight="1">
      <c r="J179" s="48"/>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row>
    <row r="180" ht="12.75" customHeight="1">
      <c r="J180" s="48"/>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row>
    <row r="181" ht="12.75" customHeight="1">
      <c r="J181" s="48"/>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row>
    <row r="182" ht="12.75" customHeight="1">
      <c r="J182" s="48"/>
    </row>
    <row r="183" ht="12.75" customHeight="1">
      <c r="J183" s="48"/>
    </row>
    <row r="184" ht="12.75" customHeight="1">
      <c r="J184" s="48"/>
    </row>
    <row r="185" ht="12.75" customHeight="1">
      <c r="J185" s="48"/>
    </row>
    <row r="186" ht="12.75" customHeight="1">
      <c r="J186" s="48"/>
    </row>
    <row r="187" ht="12.75" customHeight="1">
      <c r="J187" s="48"/>
    </row>
    <row r="188" ht="12.75" customHeight="1">
      <c r="J188" s="48"/>
    </row>
    <row r="189" ht="12.75" customHeight="1">
      <c r="J189" s="48"/>
    </row>
    <row r="190" ht="12.75" customHeight="1">
      <c r="J190" s="48"/>
    </row>
    <row r="191" ht="12.75" customHeight="1">
      <c r="J191" s="48"/>
    </row>
    <row r="192" ht="12.75" customHeight="1">
      <c r="J192" s="48"/>
    </row>
    <row r="193" ht="12.75" customHeight="1">
      <c r="J193" s="48"/>
    </row>
    <row r="194" ht="12.75" customHeight="1">
      <c r="J194" s="48"/>
    </row>
    <row r="195" ht="12.75" customHeight="1">
      <c r="J195" s="48"/>
    </row>
    <row r="196" ht="12.75" customHeight="1">
      <c r="J196" s="48"/>
    </row>
    <row r="197" ht="12.75" customHeight="1">
      <c r="J197" s="48"/>
    </row>
    <row r="198" ht="12.75" customHeight="1">
      <c r="J198" s="48"/>
    </row>
    <row r="199" ht="12.75" customHeight="1">
      <c r="J199" s="48"/>
    </row>
    <row r="200" ht="12.75" customHeight="1">
      <c r="J200" s="48"/>
    </row>
    <row r="201" ht="12.75" customHeight="1">
      <c r="J201" s="48"/>
    </row>
    <row r="202" ht="12.75" customHeight="1">
      <c r="J202" s="48"/>
    </row>
    <row r="203" ht="12.75" customHeight="1">
      <c r="J203" s="48"/>
    </row>
    <row r="204" ht="12.75" customHeight="1">
      <c r="J204" s="48"/>
    </row>
    <row r="205" ht="12.75" customHeight="1">
      <c r="J205" s="48"/>
    </row>
    <row r="206" ht="12.75" customHeight="1">
      <c r="J206" s="48"/>
    </row>
    <row r="207" ht="12.75" customHeight="1">
      <c r="J207" s="48"/>
    </row>
    <row r="208" ht="12.75" customHeight="1">
      <c r="J208" s="48"/>
    </row>
    <row r="209" ht="12.75" customHeight="1">
      <c r="J209" s="48"/>
    </row>
    <row r="210" ht="12.75" customHeight="1">
      <c r="J210" s="48"/>
    </row>
    <row r="211" ht="12.75" customHeight="1">
      <c r="J211" s="48"/>
    </row>
    <row r="212" ht="12.75" customHeight="1">
      <c r="J212" s="48"/>
    </row>
    <row r="213" ht="12.75" customHeight="1">
      <c r="J213" s="48"/>
    </row>
    <row r="214" ht="12.75" customHeight="1">
      <c r="J214" s="48"/>
    </row>
    <row r="215" ht="12.75" customHeight="1">
      <c r="J215" s="48"/>
    </row>
    <row r="216" ht="12.75" customHeight="1">
      <c r="J216" s="48"/>
    </row>
    <row r="217" ht="12.75" customHeight="1">
      <c r="J217" s="48"/>
    </row>
    <row r="218" ht="12.75" customHeight="1">
      <c r="J218" s="48"/>
    </row>
    <row r="219" ht="12.75" customHeight="1">
      <c r="J219" s="48"/>
    </row>
    <row r="220" ht="12.75" customHeight="1">
      <c r="J220" s="48"/>
    </row>
    <row r="221" ht="12.75" customHeight="1">
      <c r="J221" s="48"/>
    </row>
    <row r="222" ht="12.75" customHeight="1">
      <c r="J222" s="48"/>
    </row>
    <row r="223" ht="12.75" customHeight="1">
      <c r="J223" s="48"/>
    </row>
    <row r="224" ht="12.75" customHeight="1">
      <c r="J224" s="48"/>
    </row>
    <row r="225" ht="12.75" customHeight="1">
      <c r="J225" s="48"/>
    </row>
    <row r="226" ht="12.75" customHeight="1">
      <c r="J226" s="48"/>
    </row>
    <row r="227" ht="12.75" customHeight="1">
      <c r="J227" s="48"/>
    </row>
    <row r="228" ht="12.75" customHeight="1">
      <c r="J228" s="48"/>
    </row>
    <row r="229" ht="12.75" customHeight="1">
      <c r="J229" s="48"/>
    </row>
    <row r="230" ht="12.75" customHeight="1">
      <c r="J230" s="48"/>
    </row>
    <row r="231" ht="12.75" customHeight="1">
      <c r="J231" s="48"/>
    </row>
    <row r="232" ht="12.75" customHeight="1">
      <c r="J232" s="48"/>
    </row>
    <row r="233" ht="12.75" customHeight="1">
      <c r="J233" s="48"/>
    </row>
    <row r="234" ht="12.75" customHeight="1">
      <c r="J234" s="48"/>
    </row>
    <row r="235" ht="12.75" customHeight="1">
      <c r="J235" s="48"/>
    </row>
    <row r="236" ht="12.75" customHeight="1">
      <c r="J236" s="48"/>
    </row>
    <row r="237" ht="12.75" customHeight="1">
      <c r="J237" s="48"/>
    </row>
    <row r="238" ht="12.75" customHeight="1">
      <c r="J238" s="48"/>
    </row>
    <row r="239" ht="12.75" customHeight="1">
      <c r="J239" s="48"/>
    </row>
    <row r="240" ht="12.75" customHeight="1">
      <c r="J240" s="48"/>
    </row>
    <row r="241" ht="12.75" customHeight="1">
      <c r="J241" s="48"/>
    </row>
    <row r="242" ht="12.75" customHeight="1">
      <c r="J242" s="48"/>
    </row>
    <row r="243" ht="12.75" customHeight="1">
      <c r="J243" s="48"/>
    </row>
    <row r="244" ht="12.75" customHeight="1">
      <c r="J244" s="48"/>
    </row>
    <row r="245" ht="12.75" customHeight="1">
      <c r="J245" s="48"/>
    </row>
    <row r="246" ht="12.75" customHeight="1">
      <c r="J246" s="48"/>
    </row>
    <row r="247" ht="12.75" customHeight="1">
      <c r="J247" s="48"/>
    </row>
    <row r="248" ht="12.75" customHeight="1">
      <c r="J248" s="48"/>
    </row>
    <row r="249" ht="12.75" customHeight="1">
      <c r="J249" s="48"/>
    </row>
    <row r="250" ht="12.75" customHeight="1">
      <c r="J250" s="48"/>
    </row>
    <row r="251" ht="12.75" customHeight="1">
      <c r="J251" s="48"/>
    </row>
    <row r="252" ht="12.75" customHeight="1">
      <c r="J252" s="48"/>
    </row>
    <row r="253" ht="12.75" customHeight="1">
      <c r="J253" s="48"/>
    </row>
    <row r="254" ht="12.75" customHeight="1">
      <c r="J254" s="48"/>
    </row>
    <row r="255" ht="12.75" customHeight="1">
      <c r="J255" s="48"/>
    </row>
    <row r="256" ht="12.75" customHeight="1">
      <c r="J256" s="48"/>
    </row>
    <row r="257" ht="12.75" customHeight="1">
      <c r="J257" s="48"/>
    </row>
    <row r="258" ht="12.75" customHeight="1">
      <c r="J258" s="48"/>
    </row>
    <row r="259" ht="12.75" customHeight="1">
      <c r="J259" s="48"/>
    </row>
    <row r="260" ht="12.75" customHeight="1">
      <c r="J260" s="48"/>
    </row>
    <row r="261" ht="12.75" customHeight="1">
      <c r="J261" s="48"/>
    </row>
    <row r="262" ht="12.75" customHeight="1">
      <c r="J262" s="48"/>
    </row>
    <row r="263" ht="12.75" customHeight="1">
      <c r="J263" s="48"/>
    </row>
    <row r="264" ht="12.75" customHeight="1">
      <c r="J264" s="48"/>
    </row>
    <row r="265" ht="12.75" customHeight="1">
      <c r="J265" s="48"/>
    </row>
    <row r="266" ht="12.75" customHeight="1">
      <c r="J266" s="48"/>
    </row>
    <row r="267" ht="12.75" customHeight="1">
      <c r="J267" s="48"/>
    </row>
    <row r="268" ht="12.75" customHeight="1">
      <c r="J268" s="48"/>
    </row>
    <row r="269" ht="12.75" customHeight="1">
      <c r="J269" s="48"/>
    </row>
    <row r="270" ht="12.75" customHeight="1">
      <c r="J270" s="48"/>
    </row>
    <row r="271" ht="12.75" customHeight="1">
      <c r="J271" s="48"/>
    </row>
    <row r="272" ht="12.75" customHeight="1">
      <c r="J272" s="48"/>
    </row>
    <row r="273" ht="12.75" customHeight="1">
      <c r="J273" s="48"/>
    </row>
    <row r="274" ht="12.75" customHeight="1">
      <c r="J274" s="48"/>
    </row>
    <row r="275" ht="12.75" customHeight="1">
      <c r="J275" s="48"/>
    </row>
    <row r="276" ht="12.75" customHeight="1">
      <c r="J276" s="48"/>
    </row>
    <row r="277" ht="12.75" customHeight="1">
      <c r="J277" s="48"/>
    </row>
    <row r="278" ht="12.75" customHeight="1">
      <c r="J278" s="48"/>
    </row>
    <row r="279" ht="12.75" customHeight="1">
      <c r="J279" s="48"/>
    </row>
    <row r="280" ht="12.75" customHeight="1">
      <c r="J280" s="48"/>
    </row>
    <row r="281" ht="12.75" customHeight="1">
      <c r="J281" s="48"/>
    </row>
    <row r="282" ht="12.75" customHeight="1">
      <c r="J282" s="48"/>
    </row>
    <row r="283" ht="12.75" customHeight="1">
      <c r="J283" s="48"/>
    </row>
    <row r="284" ht="12.75" customHeight="1">
      <c r="J284" s="48"/>
    </row>
    <row r="285" ht="12.75" customHeight="1">
      <c r="J285" s="48"/>
    </row>
    <row r="286" ht="12.75" customHeight="1">
      <c r="J286" s="48"/>
    </row>
    <row r="287" ht="12.75" customHeight="1">
      <c r="J287" s="48"/>
    </row>
    <row r="288" ht="12.75" customHeight="1">
      <c r="J288" s="48"/>
    </row>
    <row r="289" ht="12.75" customHeight="1">
      <c r="J289" s="48"/>
    </row>
    <row r="290" ht="12.75" customHeight="1">
      <c r="J290" s="48"/>
    </row>
    <row r="291" ht="12.75" customHeight="1">
      <c r="J291" s="48"/>
    </row>
    <row r="292" ht="12.75" customHeight="1">
      <c r="J292" s="48"/>
    </row>
    <row r="293" ht="12.75" customHeight="1">
      <c r="J293" s="48"/>
    </row>
    <row r="294" ht="12.75" customHeight="1">
      <c r="J294" s="48"/>
    </row>
    <row r="295" ht="12.75" customHeight="1">
      <c r="J295" s="48"/>
    </row>
    <row r="296" ht="12.75" customHeight="1">
      <c r="J296" s="48"/>
    </row>
    <row r="297" ht="12.75" customHeight="1">
      <c r="J297" s="48"/>
    </row>
    <row r="298" ht="12.75" customHeight="1">
      <c r="J298" s="48"/>
    </row>
    <row r="299" ht="12.75" customHeight="1">
      <c r="J299" s="48"/>
    </row>
    <row r="300" ht="12.75" customHeight="1">
      <c r="J300" s="48"/>
    </row>
    <row r="301" ht="12.75" customHeight="1">
      <c r="J301" s="48"/>
    </row>
    <row r="302" ht="12.75" customHeight="1">
      <c r="J302" s="48"/>
    </row>
    <row r="303" ht="12.75" customHeight="1">
      <c r="J303" s="48"/>
    </row>
    <row r="304" ht="12.75" customHeight="1">
      <c r="J304" s="48"/>
    </row>
    <row r="305" ht="12.75" customHeight="1">
      <c r="J305" s="48"/>
    </row>
    <row r="306" ht="12.75" customHeight="1">
      <c r="J306" s="48"/>
    </row>
    <row r="307" ht="12.75" customHeight="1">
      <c r="J307" s="48"/>
    </row>
    <row r="308" ht="12.75" customHeight="1">
      <c r="J308" s="48"/>
    </row>
    <row r="309" ht="12.75" customHeight="1">
      <c r="J309" s="48"/>
    </row>
    <row r="310" ht="12.75" customHeight="1">
      <c r="J310" s="48"/>
    </row>
    <row r="311" ht="12.75" customHeight="1">
      <c r="J311" s="48"/>
    </row>
    <row r="312" ht="12.75" customHeight="1">
      <c r="J312" s="48"/>
    </row>
    <row r="313" ht="12.75" customHeight="1">
      <c r="J313" s="48"/>
    </row>
    <row r="314" ht="12.75" customHeight="1">
      <c r="J314" s="48"/>
    </row>
    <row r="315" ht="12.75" customHeight="1">
      <c r="J315" s="48"/>
    </row>
    <row r="316" ht="12.75" customHeight="1">
      <c r="J316" s="48"/>
    </row>
    <row r="317" ht="12.75" customHeight="1">
      <c r="J317" s="48"/>
    </row>
    <row r="318" ht="12.75" customHeight="1">
      <c r="J318" s="48"/>
    </row>
    <row r="319" ht="12.75" customHeight="1">
      <c r="J319" s="48"/>
    </row>
    <row r="320" ht="12.75" customHeight="1">
      <c r="J320" s="48"/>
    </row>
    <row r="321" ht="12.75" customHeight="1">
      <c r="J321" s="48"/>
    </row>
    <row r="322" ht="12.75" customHeight="1">
      <c r="J322" s="48"/>
    </row>
    <row r="323" ht="12.75" customHeight="1">
      <c r="J323" s="48"/>
    </row>
    <row r="324" ht="12.75" customHeight="1">
      <c r="J324" s="48"/>
    </row>
    <row r="325" ht="12.75" customHeight="1">
      <c r="J325" s="48"/>
    </row>
    <row r="326" ht="12.75" customHeight="1">
      <c r="J326" s="48"/>
    </row>
    <row r="327" ht="12.75" customHeight="1">
      <c r="J327" s="48"/>
    </row>
    <row r="328" ht="12.75" customHeight="1">
      <c r="J328" s="48"/>
    </row>
    <row r="329" ht="12.75" customHeight="1">
      <c r="J329" s="48"/>
    </row>
    <row r="330" ht="12.75" customHeight="1">
      <c r="J330" s="48"/>
    </row>
    <row r="331" ht="12.75" customHeight="1">
      <c r="J331" s="48"/>
    </row>
    <row r="332" ht="12.75" customHeight="1">
      <c r="J332" s="48"/>
    </row>
    <row r="333" ht="12.75" customHeight="1">
      <c r="J333" s="48"/>
    </row>
    <row r="334" ht="12.75" customHeight="1">
      <c r="J334" s="48"/>
    </row>
    <row r="335" ht="12.75" customHeight="1">
      <c r="J335" s="48"/>
    </row>
    <row r="336" ht="12.75" customHeight="1">
      <c r="J336" s="48"/>
    </row>
    <row r="337" ht="12.75" customHeight="1">
      <c r="J337" s="48"/>
    </row>
    <row r="338" ht="12.75" customHeight="1">
      <c r="J338" s="48"/>
    </row>
    <row r="339" ht="12.75" customHeight="1">
      <c r="J339" s="48"/>
    </row>
    <row r="340" ht="12.75" customHeight="1">
      <c r="J340" s="48"/>
    </row>
    <row r="341" ht="12.75" customHeight="1">
      <c r="J341" s="48"/>
    </row>
    <row r="342" ht="12.75" customHeight="1">
      <c r="J342" s="48"/>
    </row>
    <row r="343" ht="12.75" customHeight="1">
      <c r="J343" s="48"/>
    </row>
    <row r="344" ht="12.75" customHeight="1">
      <c r="J344" s="48"/>
    </row>
    <row r="345" ht="12.75" customHeight="1">
      <c r="J345" s="48"/>
    </row>
    <row r="346" ht="12.75" customHeight="1">
      <c r="J346" s="48"/>
    </row>
    <row r="347" ht="12.75" customHeight="1">
      <c r="J347" s="48"/>
    </row>
    <row r="348" ht="12.75" customHeight="1">
      <c r="J348" s="48"/>
    </row>
    <row r="349" ht="12.75" customHeight="1">
      <c r="J349" s="48"/>
    </row>
    <row r="350" ht="12.75" customHeight="1">
      <c r="J350" s="48"/>
    </row>
    <row r="351" ht="12.75" customHeight="1">
      <c r="J351" s="48"/>
    </row>
    <row r="352" ht="12.75" customHeight="1">
      <c r="J352" s="48"/>
    </row>
    <row r="353" ht="12.75" customHeight="1">
      <c r="J353" s="48"/>
    </row>
    <row r="354" ht="12.75" customHeight="1">
      <c r="J354" s="48"/>
    </row>
    <row r="355" ht="12.75" customHeight="1">
      <c r="J355" s="48"/>
    </row>
    <row r="356" ht="12.75" customHeight="1">
      <c r="J356" s="48"/>
    </row>
    <row r="357" ht="12.75" customHeight="1">
      <c r="J357" s="48"/>
    </row>
    <row r="358" ht="12.75" customHeight="1">
      <c r="J358" s="48"/>
    </row>
    <row r="359" ht="12.75" customHeight="1">
      <c r="J359" s="48"/>
    </row>
    <row r="360" ht="12.75" customHeight="1">
      <c r="J360" s="48"/>
    </row>
    <row r="361" ht="12.75" customHeight="1">
      <c r="J361" s="48"/>
    </row>
    <row r="362" ht="12.75" customHeight="1">
      <c r="J362" s="48"/>
    </row>
    <row r="363" ht="12.75" customHeight="1">
      <c r="J363" s="48"/>
    </row>
    <row r="364" ht="12.75" customHeight="1">
      <c r="J364" s="48"/>
    </row>
    <row r="365" ht="12.75" customHeight="1">
      <c r="J365" s="48"/>
    </row>
    <row r="366" ht="12.75" customHeight="1">
      <c r="J366" s="48"/>
    </row>
    <row r="367" ht="12.75" customHeight="1">
      <c r="J367" s="48"/>
    </row>
    <row r="368" ht="12.75" customHeight="1">
      <c r="J368" s="48"/>
    </row>
    <row r="369" ht="12.75" customHeight="1">
      <c r="J369" s="48"/>
    </row>
    <row r="370" ht="12.75" customHeight="1">
      <c r="J370" s="48"/>
    </row>
    <row r="371" ht="12.75" customHeight="1">
      <c r="J371" s="48"/>
    </row>
    <row r="372" ht="12.75" customHeight="1">
      <c r="J372" s="48"/>
    </row>
    <row r="373" ht="12.75" customHeight="1">
      <c r="J373" s="48"/>
    </row>
    <row r="374" ht="12.75" customHeight="1">
      <c r="J374" s="48"/>
    </row>
    <row r="375" ht="12.75" customHeight="1">
      <c r="J375" s="48"/>
    </row>
    <row r="376" ht="12.75" customHeight="1">
      <c r="J376" s="48"/>
    </row>
    <row r="377" ht="12.75" customHeight="1">
      <c r="J377" s="48"/>
    </row>
    <row r="378" ht="12.75" customHeight="1">
      <c r="J378" s="48"/>
    </row>
    <row r="379" ht="12.75" customHeight="1">
      <c r="J379" s="48"/>
    </row>
    <row r="380" ht="12.75" customHeight="1">
      <c r="J380" s="48"/>
    </row>
    <row r="381" ht="12.75" customHeight="1">
      <c r="J381" s="48"/>
    </row>
    <row r="382" ht="12.75" customHeight="1">
      <c r="J382" s="48"/>
    </row>
    <row r="383" ht="12.75" customHeight="1">
      <c r="J383" s="48"/>
    </row>
    <row r="384" ht="12.75" customHeight="1">
      <c r="J384" s="48"/>
    </row>
    <row r="385" ht="12.75" customHeight="1">
      <c r="J385" s="48"/>
    </row>
    <row r="386" ht="12.75" customHeight="1">
      <c r="J386" s="48"/>
    </row>
    <row r="387" ht="12.75" customHeight="1">
      <c r="J387" s="48"/>
    </row>
    <row r="388" ht="12.75" customHeight="1">
      <c r="J388" s="48"/>
    </row>
    <row r="389" ht="12.75" customHeight="1">
      <c r="J389" s="48"/>
    </row>
    <row r="390" ht="12.75" customHeight="1">
      <c r="J390" s="48"/>
    </row>
    <row r="391" ht="12.75" customHeight="1">
      <c r="J391" s="48"/>
    </row>
    <row r="392" ht="12.75" customHeight="1">
      <c r="J392" s="48"/>
    </row>
    <row r="393" ht="12.75" customHeight="1">
      <c r="J393" s="48"/>
    </row>
    <row r="394" ht="12.75" customHeight="1">
      <c r="J394" s="48"/>
    </row>
    <row r="395" ht="12.75" customHeight="1">
      <c r="J395" s="48"/>
    </row>
    <row r="396" ht="12.75" customHeight="1">
      <c r="J396" s="48"/>
    </row>
    <row r="397" ht="12.75" customHeight="1">
      <c r="J397" s="48"/>
    </row>
    <row r="398" ht="12.75" customHeight="1">
      <c r="J398" s="48"/>
    </row>
    <row r="399" ht="12.75" customHeight="1">
      <c r="J399" s="48"/>
    </row>
    <row r="400" ht="12.75" customHeight="1">
      <c r="J400" s="48"/>
    </row>
    <row r="401" ht="12.75" customHeight="1">
      <c r="J401" s="48"/>
    </row>
    <row r="402" ht="12.75" customHeight="1">
      <c r="J402" s="48"/>
    </row>
    <row r="403" ht="12.75" customHeight="1">
      <c r="J403" s="48"/>
    </row>
    <row r="404" ht="12.75" customHeight="1">
      <c r="J404" s="48"/>
    </row>
    <row r="405" ht="12.75" customHeight="1">
      <c r="J405" s="48"/>
    </row>
    <row r="406" ht="12.75" customHeight="1">
      <c r="J406" s="48"/>
    </row>
    <row r="407" ht="12.75" customHeight="1">
      <c r="J407" s="48"/>
    </row>
    <row r="408" ht="12.75" customHeight="1">
      <c r="J408" s="48"/>
    </row>
    <row r="409" ht="12.75" customHeight="1">
      <c r="J409" s="48"/>
    </row>
    <row r="410" ht="12.75" customHeight="1">
      <c r="J410" s="48"/>
    </row>
    <row r="411" ht="12.75" customHeight="1">
      <c r="J411" s="48"/>
    </row>
    <row r="412" ht="12.75" customHeight="1">
      <c r="J412" s="48"/>
    </row>
    <row r="413" ht="12.75" customHeight="1">
      <c r="J413" s="48"/>
    </row>
    <row r="414" ht="12.75" customHeight="1">
      <c r="J414" s="48"/>
    </row>
    <row r="415" ht="12.75" customHeight="1">
      <c r="J415" s="48"/>
    </row>
    <row r="416" ht="12.75" customHeight="1">
      <c r="J416" s="48"/>
    </row>
    <row r="417" ht="12.75" customHeight="1">
      <c r="J417" s="48"/>
    </row>
    <row r="418" ht="12.75" customHeight="1">
      <c r="J418" s="48"/>
    </row>
    <row r="419" ht="12.75" customHeight="1">
      <c r="J419" s="48"/>
    </row>
    <row r="420" ht="12.75" customHeight="1">
      <c r="J420" s="48"/>
    </row>
    <row r="421" ht="12.75" customHeight="1">
      <c r="J421" s="48"/>
    </row>
    <row r="422" ht="12.75" customHeight="1">
      <c r="J422" s="48"/>
    </row>
    <row r="423" ht="12.75" customHeight="1">
      <c r="J423" s="48"/>
    </row>
    <row r="424" ht="12.75" customHeight="1">
      <c r="J424" s="48"/>
    </row>
    <row r="425" ht="12.75" customHeight="1">
      <c r="J425" s="48"/>
    </row>
    <row r="426" ht="12.75" customHeight="1">
      <c r="J426" s="48"/>
    </row>
    <row r="427" ht="12.75" customHeight="1">
      <c r="J427" s="48"/>
    </row>
    <row r="428" ht="12.75" customHeight="1">
      <c r="J428" s="48"/>
    </row>
    <row r="429" ht="12.75" customHeight="1">
      <c r="J429" s="48"/>
    </row>
    <row r="430" ht="12.75" customHeight="1">
      <c r="J430" s="48"/>
    </row>
    <row r="431" ht="12.75" customHeight="1">
      <c r="J431" s="48"/>
    </row>
    <row r="432" ht="12.75" customHeight="1">
      <c r="J432" s="48"/>
    </row>
    <row r="433" ht="12.75" customHeight="1">
      <c r="J433" s="48"/>
    </row>
    <row r="434" ht="12.75" customHeight="1">
      <c r="J434" s="48"/>
    </row>
    <row r="435" ht="12.75" customHeight="1">
      <c r="J435" s="48"/>
    </row>
    <row r="436" ht="12.75" customHeight="1">
      <c r="J436" s="48"/>
    </row>
    <row r="437" ht="12.75" customHeight="1">
      <c r="J437" s="48"/>
    </row>
    <row r="438" ht="12.75" customHeight="1">
      <c r="J438" s="48"/>
    </row>
    <row r="439" ht="12.75" customHeight="1">
      <c r="J439" s="48"/>
    </row>
    <row r="440" ht="12.75" customHeight="1">
      <c r="J440" s="48"/>
    </row>
    <row r="441" ht="12.75" customHeight="1">
      <c r="J441" s="48"/>
    </row>
    <row r="442" ht="12.75" customHeight="1">
      <c r="J442" s="48"/>
    </row>
    <row r="443" ht="12.75" customHeight="1">
      <c r="J443" s="48"/>
    </row>
    <row r="444" ht="12.75" customHeight="1">
      <c r="J444" s="48"/>
    </row>
    <row r="445" ht="12.75" customHeight="1">
      <c r="J445" s="48"/>
    </row>
    <row r="446" ht="12.75" customHeight="1">
      <c r="J446" s="48"/>
    </row>
    <row r="447" ht="12.75" customHeight="1">
      <c r="J447" s="48"/>
    </row>
    <row r="448" ht="12.75" customHeight="1">
      <c r="J448" s="48"/>
    </row>
    <row r="449" ht="12.75" customHeight="1">
      <c r="J449" s="48"/>
    </row>
    <row r="450" ht="12.75" customHeight="1">
      <c r="J450" s="48"/>
    </row>
    <row r="451" ht="12.75" customHeight="1">
      <c r="J451" s="48"/>
    </row>
    <row r="452" ht="12.75" customHeight="1">
      <c r="J452" s="48"/>
    </row>
    <row r="453" ht="12.75" customHeight="1">
      <c r="J453" s="48"/>
    </row>
    <row r="454" ht="12.75" customHeight="1">
      <c r="J454" s="48"/>
    </row>
    <row r="455" ht="12.75" customHeight="1">
      <c r="J455" s="48"/>
    </row>
    <row r="456" ht="12.75" customHeight="1">
      <c r="J456" s="48"/>
    </row>
    <row r="457" ht="12.75" customHeight="1">
      <c r="J457" s="48"/>
    </row>
    <row r="458" ht="12.75" customHeight="1">
      <c r="J458" s="48"/>
    </row>
    <row r="459" ht="12.75" customHeight="1">
      <c r="J459" s="48"/>
    </row>
    <row r="460" ht="12.75" customHeight="1">
      <c r="J460" s="48"/>
    </row>
    <row r="461" ht="12.75" customHeight="1">
      <c r="J461" s="48"/>
    </row>
    <row r="462" ht="12.75" customHeight="1">
      <c r="J462" s="48"/>
    </row>
    <row r="463" ht="12.75" customHeight="1">
      <c r="J463" s="48"/>
    </row>
    <row r="464" ht="12.75" customHeight="1">
      <c r="J464" s="48"/>
    </row>
    <row r="465" ht="12.75" customHeight="1">
      <c r="J465" s="48"/>
    </row>
    <row r="466" ht="12.75" customHeight="1">
      <c r="J466" s="48"/>
    </row>
    <row r="467" ht="12.75" customHeight="1">
      <c r="J467" s="48"/>
    </row>
    <row r="468" ht="12.75" customHeight="1">
      <c r="J468" s="48"/>
    </row>
    <row r="469" ht="12.75" customHeight="1">
      <c r="J469" s="48"/>
    </row>
    <row r="470" ht="12.75" customHeight="1">
      <c r="J470" s="48"/>
    </row>
    <row r="471" ht="12.75" customHeight="1">
      <c r="J471" s="48"/>
    </row>
    <row r="472" ht="12.75" customHeight="1">
      <c r="J472" s="48"/>
    </row>
    <row r="473" ht="12.75" customHeight="1">
      <c r="J473" s="48"/>
    </row>
    <row r="474" ht="12.75" customHeight="1">
      <c r="J474" s="48"/>
    </row>
    <row r="475" ht="12.75" customHeight="1">
      <c r="J475" s="48"/>
    </row>
    <row r="476" ht="12.75" customHeight="1">
      <c r="J476" s="48"/>
    </row>
    <row r="477" ht="12.75" customHeight="1">
      <c r="J477" s="48"/>
    </row>
    <row r="478" ht="12.75" customHeight="1">
      <c r="J478" s="48"/>
    </row>
    <row r="479" ht="12.75" customHeight="1">
      <c r="J479" s="48"/>
    </row>
    <row r="480" ht="12.75" customHeight="1">
      <c r="J480" s="48"/>
    </row>
    <row r="481" ht="12.75" customHeight="1">
      <c r="J481" s="48"/>
    </row>
    <row r="482" ht="12.75" customHeight="1">
      <c r="J482" s="48"/>
    </row>
    <row r="483" ht="12.75" customHeight="1">
      <c r="J483" s="48"/>
    </row>
    <row r="484" ht="12.75" customHeight="1">
      <c r="J484" s="48"/>
    </row>
    <row r="485" ht="12.75" customHeight="1">
      <c r="J485" s="48"/>
    </row>
    <row r="486" ht="12.75" customHeight="1">
      <c r="J486" s="48"/>
    </row>
    <row r="487" ht="12.75" customHeight="1">
      <c r="J487" s="48"/>
    </row>
    <row r="488" ht="12.75" customHeight="1">
      <c r="J488" s="48"/>
    </row>
    <row r="489" ht="12.75" customHeight="1">
      <c r="J489" s="48"/>
    </row>
    <row r="490" ht="12.75" customHeight="1">
      <c r="J490" s="48"/>
    </row>
    <row r="491" ht="12.75" customHeight="1">
      <c r="J491" s="48"/>
    </row>
    <row r="492" ht="12.75" customHeight="1">
      <c r="J492" s="48"/>
    </row>
    <row r="493" ht="12.75" customHeight="1">
      <c r="J493" s="48"/>
    </row>
    <row r="494" ht="12.75" customHeight="1">
      <c r="J494" s="48"/>
    </row>
    <row r="495" ht="12.75" customHeight="1">
      <c r="J495" s="48"/>
    </row>
    <row r="496" ht="12.75" customHeight="1">
      <c r="J496" s="48"/>
    </row>
    <row r="497" ht="12.75" customHeight="1">
      <c r="J497" s="48"/>
    </row>
    <row r="498" ht="12.75" customHeight="1">
      <c r="J498" s="48"/>
    </row>
    <row r="499" ht="12.75" customHeight="1">
      <c r="J499" s="48"/>
    </row>
    <row r="500" ht="12.75" customHeight="1">
      <c r="J500" s="48"/>
    </row>
    <row r="501" ht="12.75" customHeight="1">
      <c r="J501" s="48"/>
    </row>
    <row r="502" ht="12.75" customHeight="1">
      <c r="J502" s="48"/>
    </row>
    <row r="503" ht="12.75" customHeight="1">
      <c r="J503" s="48"/>
    </row>
    <row r="504" ht="12.75" customHeight="1">
      <c r="J504" s="48"/>
    </row>
    <row r="505" ht="12.75" customHeight="1">
      <c r="J505" s="48"/>
    </row>
    <row r="506" ht="12.75" customHeight="1">
      <c r="J506" s="48"/>
    </row>
    <row r="507" ht="12.75" customHeight="1">
      <c r="J507" s="48"/>
    </row>
    <row r="508" ht="12.75" customHeight="1">
      <c r="J508" s="48"/>
    </row>
    <row r="509" ht="12.75" customHeight="1">
      <c r="J509" s="48"/>
    </row>
    <row r="510" ht="12.75" customHeight="1">
      <c r="J510" s="48"/>
    </row>
    <row r="511" ht="12.75" customHeight="1">
      <c r="J511" s="48"/>
    </row>
    <row r="512" ht="12.75" customHeight="1">
      <c r="J512" s="48"/>
    </row>
    <row r="513" ht="12.75" customHeight="1">
      <c r="J513" s="48"/>
    </row>
    <row r="514" ht="12.75" customHeight="1">
      <c r="J514" s="48"/>
    </row>
    <row r="515" ht="12.75" customHeight="1">
      <c r="J515" s="48"/>
    </row>
    <row r="516" ht="12.75" customHeight="1">
      <c r="J516" s="48"/>
    </row>
    <row r="517" ht="12.75" customHeight="1">
      <c r="J517" s="48"/>
    </row>
    <row r="518" ht="12.75" customHeight="1">
      <c r="J518" s="48"/>
    </row>
    <row r="519" ht="12.75" customHeight="1">
      <c r="J519" s="48"/>
    </row>
    <row r="520" ht="12.75" customHeight="1">
      <c r="J520" s="48"/>
    </row>
    <row r="521" ht="12.75" customHeight="1">
      <c r="J521" s="48"/>
    </row>
    <row r="522" ht="12.75" customHeight="1">
      <c r="J522" s="48"/>
    </row>
    <row r="523" ht="12.75" customHeight="1">
      <c r="J523" s="48"/>
    </row>
    <row r="524" ht="12.75" customHeight="1">
      <c r="J524" s="48"/>
    </row>
    <row r="525" ht="12.75" customHeight="1">
      <c r="J525" s="48"/>
    </row>
    <row r="526" ht="12.75" customHeight="1">
      <c r="J526" s="48"/>
    </row>
    <row r="527" ht="12.75" customHeight="1">
      <c r="J527" s="48"/>
    </row>
    <row r="528" ht="12.75" customHeight="1">
      <c r="J528" s="48"/>
    </row>
    <row r="529" ht="12.75" customHeight="1">
      <c r="J529" s="48"/>
    </row>
    <row r="530" ht="12.75" customHeight="1">
      <c r="J530" s="48"/>
    </row>
    <row r="531" ht="12.75" customHeight="1">
      <c r="J531" s="48"/>
    </row>
    <row r="532" ht="12.75" customHeight="1">
      <c r="J532" s="48"/>
    </row>
    <row r="533" ht="12.75" customHeight="1">
      <c r="J533" s="48"/>
    </row>
    <row r="534" ht="12.75" customHeight="1">
      <c r="J534" s="48"/>
    </row>
    <row r="535" ht="12.75" customHeight="1">
      <c r="J535" s="48"/>
    </row>
    <row r="536" ht="12.75" customHeight="1">
      <c r="J536" s="48"/>
    </row>
    <row r="537" ht="12.75" customHeight="1">
      <c r="J537" s="48"/>
    </row>
    <row r="538" ht="12.75" customHeight="1">
      <c r="J538" s="48"/>
    </row>
    <row r="539" ht="12.75" customHeight="1">
      <c r="J539" s="48"/>
    </row>
    <row r="540" ht="12.75" customHeight="1">
      <c r="J540" s="48"/>
    </row>
    <row r="541" ht="12.75" customHeight="1">
      <c r="J541" s="48"/>
    </row>
    <row r="542" ht="12.75" customHeight="1">
      <c r="J542" s="48"/>
    </row>
    <row r="543" ht="12.75" customHeight="1">
      <c r="J543" s="48"/>
    </row>
    <row r="544" ht="12.75" customHeight="1">
      <c r="J544" s="48"/>
    </row>
    <row r="545" ht="12.75" customHeight="1">
      <c r="J545" s="48"/>
    </row>
    <row r="546" ht="12.75" customHeight="1">
      <c r="J546" s="48"/>
    </row>
    <row r="547" ht="12.75" customHeight="1">
      <c r="J547" s="48"/>
    </row>
    <row r="548" ht="12.75" customHeight="1">
      <c r="J548" s="48"/>
    </row>
    <row r="549" ht="12.75" customHeight="1">
      <c r="J549" s="48"/>
    </row>
    <row r="550" ht="12.75" customHeight="1">
      <c r="J550" s="48"/>
    </row>
    <row r="551" ht="12.75" customHeight="1">
      <c r="J551" s="48"/>
    </row>
    <row r="552" ht="12.75" customHeight="1">
      <c r="J552" s="48"/>
    </row>
    <row r="553" ht="12.75" customHeight="1">
      <c r="J553" s="48"/>
    </row>
    <row r="554" ht="12.75" customHeight="1">
      <c r="J554" s="48"/>
    </row>
    <row r="555" ht="12.75" customHeight="1">
      <c r="J555" s="48"/>
    </row>
    <row r="556" ht="12.75" customHeight="1">
      <c r="J556" s="48"/>
    </row>
    <row r="557" ht="12.75" customHeight="1">
      <c r="J557" s="48"/>
    </row>
    <row r="558" ht="12.75" customHeight="1">
      <c r="J558" s="48"/>
    </row>
    <row r="559" ht="12.75" customHeight="1">
      <c r="J559" s="48"/>
    </row>
    <row r="560" ht="12.75" customHeight="1">
      <c r="J560" s="48"/>
    </row>
    <row r="561" ht="12.75" customHeight="1">
      <c r="J561" s="48"/>
    </row>
    <row r="562" ht="12.75" customHeight="1">
      <c r="J562" s="48"/>
    </row>
    <row r="563" ht="12.75" customHeight="1">
      <c r="J563" s="48"/>
    </row>
    <row r="564" ht="12.75" customHeight="1">
      <c r="J564" s="48"/>
    </row>
    <row r="565" ht="12.75" customHeight="1">
      <c r="J565" s="48"/>
    </row>
    <row r="566" ht="12.75" customHeight="1">
      <c r="J566" s="48"/>
    </row>
    <row r="567" ht="12.75" customHeight="1">
      <c r="J567" s="48"/>
    </row>
    <row r="568" ht="12.75" customHeight="1">
      <c r="J568" s="48"/>
    </row>
    <row r="569" ht="12.75" customHeight="1">
      <c r="J569" s="48"/>
    </row>
    <row r="570" ht="12.75" customHeight="1">
      <c r="J570" s="48"/>
    </row>
    <row r="571" ht="12.75" customHeight="1">
      <c r="J571" s="48"/>
    </row>
    <row r="572" ht="12.75" customHeight="1">
      <c r="J572" s="48"/>
    </row>
    <row r="573" ht="12.75" customHeight="1">
      <c r="J573" s="48"/>
    </row>
    <row r="574" ht="12.75" customHeight="1">
      <c r="J574" s="48"/>
    </row>
    <row r="575" ht="12.75" customHeight="1">
      <c r="J575" s="48"/>
    </row>
    <row r="576" ht="12.75" customHeight="1">
      <c r="J576" s="48"/>
    </row>
    <row r="577" ht="12.75" customHeight="1">
      <c r="J577" s="48"/>
    </row>
    <row r="578" ht="12.75" customHeight="1">
      <c r="J578" s="48"/>
    </row>
    <row r="579" ht="12.75" customHeight="1">
      <c r="J579" s="48"/>
    </row>
    <row r="580" ht="12.75" customHeight="1">
      <c r="J580" s="48"/>
    </row>
    <row r="581" ht="12.75" customHeight="1">
      <c r="J581" s="48"/>
    </row>
    <row r="582" ht="12.75" customHeight="1">
      <c r="J582" s="48"/>
    </row>
    <row r="583" ht="12.75" customHeight="1">
      <c r="J583" s="48"/>
    </row>
    <row r="584" ht="12.75" customHeight="1">
      <c r="J584" s="48"/>
    </row>
    <row r="585" ht="12.75" customHeight="1">
      <c r="J585" s="48"/>
    </row>
    <row r="586" ht="12.75" customHeight="1">
      <c r="J586" s="48"/>
    </row>
    <row r="587" ht="12.75" customHeight="1">
      <c r="J587" s="48"/>
    </row>
    <row r="588" ht="12.75" customHeight="1">
      <c r="J588" s="48"/>
    </row>
    <row r="589" ht="12.75" customHeight="1">
      <c r="J589" s="48"/>
    </row>
    <row r="590" ht="12.75" customHeight="1">
      <c r="J590" s="48"/>
    </row>
    <row r="591" ht="12.75" customHeight="1">
      <c r="J591" s="48"/>
    </row>
    <row r="592" ht="12.75" customHeight="1">
      <c r="J592" s="48"/>
    </row>
    <row r="593" ht="12.75" customHeight="1">
      <c r="J593" s="48"/>
    </row>
    <row r="594" ht="12.75" customHeight="1">
      <c r="J594" s="48"/>
    </row>
    <row r="595" ht="12.75" customHeight="1">
      <c r="J595" s="48"/>
    </row>
    <row r="596" ht="12.75" customHeight="1">
      <c r="J596" s="48"/>
    </row>
    <row r="597" ht="12.75" customHeight="1">
      <c r="J597" s="48"/>
    </row>
    <row r="598" ht="12.75" customHeight="1">
      <c r="J598" s="48"/>
    </row>
    <row r="599" ht="12.75" customHeight="1">
      <c r="J599" s="48"/>
    </row>
    <row r="600" ht="12.75" customHeight="1">
      <c r="J600" s="48"/>
    </row>
    <row r="601" ht="12.75" customHeight="1">
      <c r="J601" s="48"/>
    </row>
    <row r="602" ht="12.75" customHeight="1">
      <c r="J602" s="48"/>
    </row>
    <row r="603" ht="12.75" customHeight="1">
      <c r="J603" s="48"/>
    </row>
    <row r="604" ht="12.75" customHeight="1">
      <c r="J604" s="48"/>
    </row>
    <row r="605" ht="12.75" customHeight="1">
      <c r="J605" s="48"/>
    </row>
    <row r="606" ht="12.75" customHeight="1">
      <c r="J606" s="48"/>
    </row>
    <row r="607" ht="12.75" customHeight="1">
      <c r="J607" s="48"/>
    </row>
    <row r="608" ht="12.75" customHeight="1">
      <c r="J608" s="48"/>
    </row>
    <row r="609" ht="12.75" customHeight="1">
      <c r="J609" s="48"/>
    </row>
    <row r="610" ht="12.75" customHeight="1">
      <c r="J610" s="48"/>
    </row>
    <row r="611" ht="12.75" customHeight="1">
      <c r="J611" s="48"/>
    </row>
    <row r="612" ht="12.75" customHeight="1">
      <c r="J612" s="48"/>
    </row>
    <row r="613" ht="12.75" customHeight="1">
      <c r="J613" s="48"/>
    </row>
    <row r="614" ht="12.75" customHeight="1">
      <c r="J614" s="48"/>
    </row>
    <row r="615" ht="12.75" customHeight="1">
      <c r="J615" s="48"/>
    </row>
    <row r="616" ht="12.75" customHeight="1">
      <c r="J616" s="48"/>
    </row>
    <row r="617" ht="12.75" customHeight="1">
      <c r="J617" s="48"/>
    </row>
    <row r="618" ht="12.75" customHeight="1">
      <c r="J618" s="48"/>
    </row>
    <row r="619" ht="12.75" customHeight="1">
      <c r="J619" s="48"/>
    </row>
    <row r="620" ht="12.75" customHeight="1">
      <c r="J620" s="48"/>
    </row>
    <row r="621" ht="12.75" customHeight="1">
      <c r="J621" s="48"/>
    </row>
    <row r="622" ht="12.75" customHeight="1">
      <c r="J622" s="48"/>
    </row>
    <row r="623" ht="12.75" customHeight="1">
      <c r="J623" s="48"/>
    </row>
    <row r="624" ht="12.75" customHeight="1">
      <c r="J624" s="48"/>
    </row>
    <row r="625" ht="12.75" customHeight="1">
      <c r="J625" s="48"/>
    </row>
    <row r="626" ht="12.75" customHeight="1">
      <c r="J626" s="48"/>
    </row>
    <row r="627" ht="12.75" customHeight="1">
      <c r="J627" s="48"/>
    </row>
    <row r="628" ht="12.75" customHeight="1">
      <c r="J628" s="48"/>
    </row>
    <row r="629" ht="12.75" customHeight="1">
      <c r="J629" s="48"/>
    </row>
    <row r="630" ht="12.75" customHeight="1">
      <c r="J630" s="48"/>
    </row>
    <row r="631" ht="12.75" customHeight="1">
      <c r="J631" s="48"/>
    </row>
    <row r="632" ht="12.75" customHeight="1">
      <c r="J632" s="48"/>
    </row>
    <row r="633" ht="12.75" customHeight="1">
      <c r="J633" s="48"/>
    </row>
    <row r="634" ht="12.75" customHeight="1">
      <c r="J634" s="48"/>
    </row>
    <row r="635" ht="12.75" customHeight="1">
      <c r="J635" s="48"/>
    </row>
    <row r="636" ht="12.75" customHeight="1">
      <c r="J636" s="48"/>
    </row>
    <row r="637" ht="12.75" customHeight="1">
      <c r="J637" s="48"/>
    </row>
    <row r="638" ht="12.75" customHeight="1">
      <c r="J638" s="48"/>
    </row>
    <row r="639" ht="12.75" customHeight="1">
      <c r="J639" s="48"/>
    </row>
    <row r="640" ht="12.75" customHeight="1">
      <c r="J640" s="48"/>
    </row>
    <row r="641" ht="12.75" customHeight="1">
      <c r="J641" s="48"/>
    </row>
    <row r="642" ht="12.75" customHeight="1">
      <c r="J642" s="48"/>
    </row>
    <row r="643" ht="12.75" customHeight="1">
      <c r="J643" s="48"/>
    </row>
    <row r="644" ht="12.75" customHeight="1">
      <c r="J644" s="48"/>
    </row>
    <row r="645" ht="12.75" customHeight="1">
      <c r="J645" s="48"/>
    </row>
    <row r="646" ht="12.75" customHeight="1">
      <c r="J646" s="48"/>
    </row>
    <row r="647" ht="12.75" customHeight="1">
      <c r="J647" s="48"/>
    </row>
    <row r="648" ht="12.75" customHeight="1">
      <c r="J648" s="48"/>
    </row>
    <row r="649" ht="12.75" customHeight="1">
      <c r="J649" s="48"/>
    </row>
    <row r="650" ht="12.75" customHeight="1">
      <c r="J650" s="48"/>
    </row>
    <row r="651" ht="12.75" customHeight="1">
      <c r="J651" s="48"/>
    </row>
    <row r="652" ht="12.75" customHeight="1">
      <c r="J652" s="48"/>
    </row>
    <row r="653" ht="12.75" customHeight="1">
      <c r="J653" s="48"/>
    </row>
    <row r="654" ht="12.75" customHeight="1">
      <c r="J654" s="48"/>
    </row>
    <row r="655" ht="12.75" customHeight="1">
      <c r="J655" s="48"/>
    </row>
    <row r="656" ht="12.75" customHeight="1">
      <c r="J656" s="48"/>
    </row>
    <row r="657" ht="12.75" customHeight="1">
      <c r="J657" s="48"/>
    </row>
    <row r="658" ht="12.75" customHeight="1">
      <c r="J658" s="48"/>
    </row>
    <row r="659" ht="12.75" customHeight="1">
      <c r="J659" s="48"/>
    </row>
    <row r="660" ht="12.75" customHeight="1">
      <c r="J660" s="48"/>
    </row>
    <row r="661" ht="12.75" customHeight="1">
      <c r="J661" s="48"/>
    </row>
    <row r="662" ht="12.75" customHeight="1">
      <c r="J662" s="48"/>
    </row>
    <row r="663" ht="12.75" customHeight="1">
      <c r="J663" s="48"/>
    </row>
    <row r="664" ht="12.75" customHeight="1">
      <c r="J664" s="48"/>
    </row>
    <row r="665" ht="12.75" customHeight="1">
      <c r="J665" s="48"/>
    </row>
    <row r="666" ht="12.75" customHeight="1">
      <c r="J666" s="48"/>
    </row>
    <row r="667" ht="12.75" customHeight="1">
      <c r="J667" s="48"/>
    </row>
    <row r="668" ht="12.75" customHeight="1">
      <c r="J668" s="48"/>
    </row>
    <row r="669" ht="12.75" customHeight="1">
      <c r="J669" s="48"/>
    </row>
    <row r="670" ht="12.75" customHeight="1">
      <c r="J670" s="48"/>
    </row>
    <row r="671" ht="12.75" customHeight="1">
      <c r="J671" s="48"/>
    </row>
    <row r="672" ht="12.75" customHeight="1">
      <c r="J672" s="48"/>
    </row>
    <row r="673" ht="12.75" customHeight="1">
      <c r="J673" s="48"/>
    </row>
    <row r="674" ht="12.75" customHeight="1">
      <c r="J674" s="48"/>
    </row>
    <row r="675" ht="12.75" customHeight="1">
      <c r="J675" s="48"/>
    </row>
    <row r="676" ht="12.75" customHeight="1">
      <c r="J676" s="48"/>
    </row>
    <row r="677" ht="12.75" customHeight="1">
      <c r="J677" s="48"/>
    </row>
    <row r="678" ht="12.75" customHeight="1">
      <c r="J678" s="48"/>
    </row>
    <row r="679" ht="12.75" customHeight="1">
      <c r="J679" s="48"/>
    </row>
    <row r="680" ht="12.75" customHeight="1">
      <c r="J680" s="48"/>
    </row>
    <row r="681" ht="12.75" customHeight="1">
      <c r="J681" s="48"/>
    </row>
    <row r="682" ht="12.75" customHeight="1">
      <c r="J682" s="48"/>
    </row>
    <row r="683" ht="12.75" customHeight="1">
      <c r="J683" s="48"/>
    </row>
    <row r="684" ht="12.75" customHeight="1">
      <c r="J684" s="48"/>
    </row>
    <row r="685" ht="12.75" customHeight="1">
      <c r="J685" s="48"/>
    </row>
    <row r="686" ht="12.75" customHeight="1">
      <c r="J686" s="48"/>
    </row>
    <row r="687" ht="12.75" customHeight="1">
      <c r="J687" s="48"/>
    </row>
    <row r="688" ht="12.75" customHeight="1">
      <c r="J688" s="48"/>
    </row>
    <row r="689" ht="12.75" customHeight="1">
      <c r="J689" s="48"/>
    </row>
    <row r="690" ht="12.75" customHeight="1">
      <c r="J690" s="48"/>
    </row>
    <row r="691" ht="12.75" customHeight="1">
      <c r="J691" s="48"/>
    </row>
    <row r="692" ht="12.75" customHeight="1">
      <c r="J692" s="48"/>
    </row>
    <row r="693" ht="12.75" customHeight="1">
      <c r="J693" s="48"/>
    </row>
    <row r="694" ht="12.75" customHeight="1">
      <c r="J694" s="48"/>
    </row>
    <row r="695" ht="12.75" customHeight="1">
      <c r="J695" s="48"/>
    </row>
    <row r="696" ht="12.75" customHeight="1">
      <c r="J696" s="48"/>
    </row>
    <row r="697" ht="12.75" customHeight="1">
      <c r="J697" s="48"/>
    </row>
    <row r="698" ht="12.75" customHeight="1">
      <c r="J698" s="48"/>
    </row>
    <row r="699" ht="12.75" customHeight="1">
      <c r="J699" s="48"/>
    </row>
    <row r="700" ht="12.75" customHeight="1">
      <c r="J700" s="48"/>
    </row>
    <row r="701" ht="12.75" customHeight="1">
      <c r="J701" s="48"/>
    </row>
    <row r="702" ht="12.75" customHeight="1">
      <c r="J702" s="48"/>
    </row>
    <row r="703" ht="12.75" customHeight="1">
      <c r="J703" s="48"/>
    </row>
    <row r="704" ht="12.75" customHeight="1">
      <c r="J704" s="48"/>
    </row>
    <row r="705" ht="12.75" customHeight="1">
      <c r="J705" s="48"/>
    </row>
    <row r="706" ht="12.75" customHeight="1">
      <c r="J706" s="48"/>
    </row>
    <row r="707" ht="12.75" customHeight="1">
      <c r="J707" s="48"/>
    </row>
    <row r="708" ht="12.75" customHeight="1">
      <c r="J708" s="48"/>
    </row>
    <row r="709" ht="12.75" customHeight="1">
      <c r="J709" s="48"/>
    </row>
    <row r="710" ht="12.75" customHeight="1">
      <c r="J710" s="48"/>
    </row>
    <row r="711" ht="12.75" customHeight="1">
      <c r="J711" s="48"/>
    </row>
    <row r="712" ht="12.75" customHeight="1">
      <c r="J712" s="48"/>
    </row>
    <row r="713" ht="12.75" customHeight="1">
      <c r="J713" s="48"/>
    </row>
    <row r="714" ht="12.75" customHeight="1">
      <c r="J714" s="48"/>
    </row>
    <row r="715" ht="12.75" customHeight="1">
      <c r="J715" s="48"/>
    </row>
    <row r="716" ht="12.75" customHeight="1">
      <c r="J716" s="48"/>
    </row>
    <row r="717" ht="12.75" customHeight="1">
      <c r="J717" s="48"/>
    </row>
    <row r="718" ht="12.75" customHeight="1">
      <c r="J718" s="48"/>
    </row>
    <row r="719" ht="12.75" customHeight="1">
      <c r="J719" s="48"/>
    </row>
    <row r="720" ht="12.75" customHeight="1">
      <c r="J720" s="48"/>
    </row>
    <row r="721" ht="12.75" customHeight="1">
      <c r="J721" s="48"/>
    </row>
    <row r="722" ht="12.75" customHeight="1">
      <c r="J722" s="48"/>
    </row>
    <row r="723" ht="12.75" customHeight="1">
      <c r="J723" s="48"/>
    </row>
    <row r="724" ht="12.75" customHeight="1">
      <c r="J724" s="48"/>
    </row>
    <row r="725" ht="12.75" customHeight="1">
      <c r="J725" s="48"/>
    </row>
    <row r="726" ht="12.75" customHeight="1">
      <c r="J726" s="48"/>
    </row>
    <row r="727" ht="12.75" customHeight="1">
      <c r="J727" s="48"/>
    </row>
    <row r="728" ht="12.75" customHeight="1">
      <c r="J728" s="48"/>
    </row>
    <row r="729" ht="12.75" customHeight="1">
      <c r="J729" s="48"/>
    </row>
    <row r="730" ht="12.75" customHeight="1">
      <c r="J730" s="48"/>
    </row>
    <row r="731" ht="12.75" customHeight="1">
      <c r="J731" s="48"/>
    </row>
    <row r="732" ht="12.75" customHeight="1">
      <c r="J732" s="48"/>
    </row>
    <row r="733" ht="12.75" customHeight="1">
      <c r="J733" s="48"/>
    </row>
    <row r="734" ht="12.75" customHeight="1">
      <c r="J734" s="48"/>
    </row>
    <row r="735" ht="12.75" customHeight="1">
      <c r="J735" s="48"/>
    </row>
    <row r="736" ht="12.75" customHeight="1">
      <c r="J736" s="48"/>
    </row>
    <row r="737" ht="12.75" customHeight="1">
      <c r="J737" s="48"/>
    </row>
    <row r="738" ht="12.75" customHeight="1">
      <c r="J738" s="48"/>
    </row>
    <row r="739" ht="12.75" customHeight="1">
      <c r="J739" s="48"/>
    </row>
    <row r="740" ht="12.75" customHeight="1">
      <c r="J740" s="48"/>
    </row>
    <row r="741" ht="12.75" customHeight="1">
      <c r="J741" s="48"/>
    </row>
    <row r="742" ht="12.75" customHeight="1">
      <c r="J742" s="48"/>
    </row>
    <row r="743" ht="12.75" customHeight="1">
      <c r="J743" s="48"/>
    </row>
    <row r="744" ht="12.75" customHeight="1">
      <c r="J744" s="48"/>
    </row>
    <row r="745" ht="12.75" customHeight="1">
      <c r="J745" s="48"/>
    </row>
    <row r="746" ht="12.75" customHeight="1">
      <c r="J746" s="48"/>
    </row>
    <row r="747" ht="12.75" customHeight="1">
      <c r="J747" s="48"/>
    </row>
    <row r="748" ht="12.75" customHeight="1">
      <c r="J748" s="48"/>
    </row>
    <row r="749" ht="12.75" customHeight="1">
      <c r="J749" s="48"/>
    </row>
    <row r="750" ht="12.75" customHeight="1">
      <c r="J750" s="48"/>
    </row>
    <row r="751" ht="12.75" customHeight="1">
      <c r="J751" s="48"/>
    </row>
    <row r="752" ht="12.75" customHeight="1">
      <c r="J752" s="48"/>
    </row>
    <row r="753" ht="12.75" customHeight="1">
      <c r="J753" s="48"/>
    </row>
    <row r="754" ht="12.75" customHeight="1">
      <c r="J754" s="48"/>
    </row>
    <row r="755" ht="12.75" customHeight="1">
      <c r="J755" s="48"/>
    </row>
    <row r="756" ht="12.75" customHeight="1">
      <c r="J756" s="48"/>
    </row>
    <row r="757" ht="12.75" customHeight="1">
      <c r="J757" s="48"/>
    </row>
    <row r="758" ht="12.75" customHeight="1">
      <c r="J758" s="48"/>
    </row>
    <row r="759" ht="12.75" customHeight="1">
      <c r="J759" s="48"/>
    </row>
    <row r="760" ht="12.75" customHeight="1">
      <c r="J760" s="48"/>
    </row>
    <row r="761" ht="12.75" customHeight="1">
      <c r="J761" s="48"/>
    </row>
    <row r="762" ht="12.75" customHeight="1">
      <c r="J762" s="48"/>
    </row>
    <row r="763" ht="12.75" customHeight="1">
      <c r="J763" s="48"/>
    </row>
    <row r="764" ht="12.75" customHeight="1">
      <c r="J764" s="48"/>
    </row>
    <row r="765" ht="12.75" customHeight="1">
      <c r="J765" s="48"/>
    </row>
    <row r="766" ht="12.75" customHeight="1">
      <c r="J766" s="48"/>
    </row>
    <row r="767" ht="12.75" customHeight="1">
      <c r="J767" s="48"/>
    </row>
    <row r="768" ht="12.75" customHeight="1">
      <c r="J768" s="48"/>
    </row>
    <row r="769" ht="12.75" customHeight="1">
      <c r="J769" s="48"/>
    </row>
    <row r="770" ht="12.75" customHeight="1">
      <c r="J770" s="48"/>
    </row>
    <row r="771" ht="12.75" customHeight="1">
      <c r="J771" s="48"/>
    </row>
    <row r="772" ht="12.75" customHeight="1">
      <c r="J772" s="48"/>
    </row>
    <row r="773" ht="12.75" customHeight="1">
      <c r="J773" s="48"/>
    </row>
    <row r="774" ht="12.75" customHeight="1">
      <c r="J774" s="48"/>
    </row>
    <row r="775" ht="12.75" customHeight="1">
      <c r="J775" s="48"/>
    </row>
    <row r="776" ht="12.75" customHeight="1">
      <c r="J776" s="48"/>
    </row>
    <row r="777" ht="12.75" customHeight="1">
      <c r="J777" s="48"/>
    </row>
    <row r="778" ht="12.75" customHeight="1">
      <c r="J778" s="48"/>
    </row>
    <row r="779" ht="12.75" customHeight="1">
      <c r="J779" s="48"/>
    </row>
    <row r="780" ht="12.75" customHeight="1">
      <c r="J780" s="48"/>
    </row>
    <row r="781" ht="12.75" customHeight="1">
      <c r="J781" s="48"/>
    </row>
    <row r="782" ht="12.75" customHeight="1">
      <c r="J782" s="48"/>
    </row>
    <row r="783" ht="12.75" customHeight="1">
      <c r="J783" s="48"/>
    </row>
    <row r="784" ht="12.75" customHeight="1">
      <c r="J784" s="48"/>
    </row>
    <row r="785" ht="12.75" customHeight="1">
      <c r="J785" s="48"/>
    </row>
    <row r="786" ht="12.75" customHeight="1">
      <c r="J786" s="48"/>
    </row>
    <row r="787" ht="12.75" customHeight="1">
      <c r="J787" s="48"/>
    </row>
    <row r="788" ht="12.75" customHeight="1">
      <c r="J788" s="48"/>
    </row>
    <row r="789" ht="12.75" customHeight="1">
      <c r="J789" s="48"/>
    </row>
    <row r="790" ht="12.75" customHeight="1">
      <c r="J790" s="48"/>
    </row>
    <row r="791" ht="12.75" customHeight="1">
      <c r="J791" s="48"/>
    </row>
    <row r="792" ht="12.75" customHeight="1">
      <c r="J792" s="48"/>
    </row>
    <row r="793" ht="12.75" customHeight="1">
      <c r="J793" s="48"/>
    </row>
    <row r="794" ht="12.75" customHeight="1">
      <c r="J794" s="48"/>
    </row>
    <row r="795" ht="12.75" customHeight="1">
      <c r="J795" s="48"/>
    </row>
    <row r="796" ht="12.75" customHeight="1">
      <c r="J796" s="48"/>
    </row>
    <row r="797" ht="12.75" customHeight="1">
      <c r="J797" s="48"/>
    </row>
    <row r="798" ht="12.75" customHeight="1">
      <c r="J798" s="48"/>
    </row>
    <row r="799" ht="12.75" customHeight="1">
      <c r="J799" s="48"/>
    </row>
    <row r="800" ht="12.75" customHeight="1">
      <c r="J800" s="48"/>
    </row>
    <row r="801" ht="12.75" customHeight="1">
      <c r="J801" s="48"/>
    </row>
    <row r="802" ht="12.75" customHeight="1">
      <c r="J802" s="48"/>
    </row>
    <row r="803" ht="12.75" customHeight="1">
      <c r="J803" s="48"/>
    </row>
    <row r="804" ht="12.75" customHeight="1">
      <c r="J804" s="48"/>
    </row>
    <row r="805" ht="12.75" customHeight="1">
      <c r="J805" s="48"/>
    </row>
    <row r="806" ht="12.75" customHeight="1">
      <c r="J806" s="48"/>
    </row>
    <row r="807" ht="12.75" customHeight="1">
      <c r="J807" s="48"/>
    </row>
    <row r="808" ht="12.75" customHeight="1">
      <c r="J808" s="48"/>
    </row>
    <row r="809" ht="12.75" customHeight="1">
      <c r="J809" s="48"/>
    </row>
    <row r="810" ht="12.75" customHeight="1">
      <c r="J810" s="48"/>
    </row>
    <row r="811" ht="12.75" customHeight="1">
      <c r="J811" s="48"/>
    </row>
    <row r="812" ht="12.75" customHeight="1">
      <c r="J812" s="48"/>
    </row>
    <row r="813" ht="12.75" customHeight="1">
      <c r="J813" s="48"/>
    </row>
    <row r="814" ht="12.75" customHeight="1">
      <c r="J814" s="48"/>
    </row>
    <row r="815" ht="12.75" customHeight="1">
      <c r="J815" s="48"/>
    </row>
    <row r="816" ht="12.75" customHeight="1">
      <c r="J816" s="48"/>
    </row>
    <row r="817" ht="12.75" customHeight="1">
      <c r="J817" s="48"/>
    </row>
    <row r="818" ht="12.75" customHeight="1">
      <c r="J818" s="48"/>
    </row>
    <row r="819" ht="12.75" customHeight="1">
      <c r="J819" s="48"/>
    </row>
    <row r="820" ht="12.75" customHeight="1">
      <c r="J820" s="48"/>
    </row>
    <row r="821" ht="12.75" customHeight="1">
      <c r="J821" s="48"/>
    </row>
    <row r="822" ht="12.75" customHeight="1">
      <c r="J822" s="48"/>
    </row>
    <row r="823" ht="12.75" customHeight="1">
      <c r="J823" s="48"/>
    </row>
    <row r="824" ht="12.75" customHeight="1">
      <c r="J824" s="48"/>
    </row>
    <row r="825" ht="12.75" customHeight="1">
      <c r="J825" s="48"/>
    </row>
    <row r="826" ht="12.75" customHeight="1">
      <c r="J826" s="48"/>
    </row>
    <row r="827" ht="12.75" customHeight="1">
      <c r="J827" s="48"/>
    </row>
    <row r="828" ht="12.75" customHeight="1">
      <c r="J828" s="48"/>
    </row>
    <row r="829" ht="12.75" customHeight="1">
      <c r="J829" s="48"/>
    </row>
    <row r="830" ht="12.75" customHeight="1">
      <c r="J830" s="48"/>
    </row>
    <row r="831" ht="12.75" customHeight="1">
      <c r="J831" s="48"/>
    </row>
    <row r="832" ht="12.75" customHeight="1">
      <c r="J832" s="48"/>
    </row>
    <row r="833" ht="12.75" customHeight="1">
      <c r="J833" s="48"/>
    </row>
    <row r="834" ht="12.75" customHeight="1">
      <c r="J834" s="48"/>
    </row>
    <row r="835" ht="12.75" customHeight="1">
      <c r="J835" s="48"/>
    </row>
    <row r="836" ht="12.75" customHeight="1">
      <c r="J836" s="48"/>
    </row>
    <row r="837" ht="12.75" customHeight="1">
      <c r="J837" s="48"/>
    </row>
    <row r="838" ht="12.75" customHeight="1">
      <c r="J838" s="48"/>
    </row>
    <row r="839" ht="12.75" customHeight="1">
      <c r="J839" s="48"/>
    </row>
    <row r="840" ht="12.75" customHeight="1">
      <c r="J840" s="48"/>
    </row>
    <row r="841" ht="12.75" customHeight="1">
      <c r="J841" s="48"/>
    </row>
    <row r="842" ht="12.75" customHeight="1">
      <c r="J842" s="48"/>
    </row>
    <row r="843" ht="12.75" customHeight="1">
      <c r="J843" s="48"/>
    </row>
    <row r="844" ht="12.75" customHeight="1">
      <c r="J844" s="48"/>
    </row>
    <row r="845" ht="12.75" customHeight="1">
      <c r="J845" s="48"/>
    </row>
    <row r="846" ht="12.75" customHeight="1">
      <c r="J846" s="48"/>
    </row>
    <row r="847" ht="12.75" customHeight="1">
      <c r="J847" s="48"/>
    </row>
    <row r="848" ht="12.75" customHeight="1">
      <c r="J848" s="48"/>
    </row>
    <row r="849" ht="12.75" customHeight="1">
      <c r="J849" s="48"/>
    </row>
    <row r="850" ht="12.75" customHeight="1">
      <c r="J850" s="48"/>
    </row>
    <row r="851" ht="12.75" customHeight="1">
      <c r="J851" s="48"/>
    </row>
    <row r="852" ht="12.75" customHeight="1">
      <c r="J852" s="48"/>
    </row>
    <row r="853" ht="12.75" customHeight="1">
      <c r="J853" s="48"/>
    </row>
    <row r="854" ht="12.75" customHeight="1">
      <c r="J854" s="48"/>
    </row>
    <row r="855" ht="12.75" customHeight="1">
      <c r="J855" s="48"/>
    </row>
    <row r="856" ht="12.75" customHeight="1">
      <c r="J856" s="48"/>
    </row>
    <row r="857" ht="12.75" customHeight="1">
      <c r="J857" s="48"/>
    </row>
    <row r="858" ht="12.75" customHeight="1">
      <c r="J858" s="48"/>
    </row>
    <row r="859" ht="12.75" customHeight="1">
      <c r="J859" s="48"/>
    </row>
    <row r="860" ht="12.75" customHeight="1">
      <c r="J860" s="48"/>
    </row>
    <row r="861" ht="12.75" customHeight="1">
      <c r="J861" s="48"/>
    </row>
    <row r="862" ht="12.75" customHeight="1">
      <c r="J862" s="48"/>
    </row>
    <row r="863" ht="12.75" customHeight="1">
      <c r="J863" s="48"/>
    </row>
    <row r="864" ht="12.75" customHeight="1">
      <c r="J864" s="48"/>
    </row>
    <row r="865" ht="12.75" customHeight="1">
      <c r="J865" s="48"/>
    </row>
    <row r="866" ht="12.75" customHeight="1">
      <c r="J866" s="48"/>
    </row>
    <row r="867" ht="12.75" customHeight="1">
      <c r="J867" s="48"/>
    </row>
    <row r="868" ht="12.75" customHeight="1">
      <c r="J868" s="48"/>
    </row>
    <row r="869" ht="12.75" customHeight="1">
      <c r="J869" s="48"/>
    </row>
    <row r="870" ht="12.75" customHeight="1">
      <c r="J870" s="48"/>
    </row>
    <row r="871" ht="12.75" customHeight="1">
      <c r="J871" s="48"/>
    </row>
    <row r="872" ht="12.75" customHeight="1">
      <c r="J872" s="48"/>
    </row>
    <row r="873" ht="12.75" customHeight="1">
      <c r="J873" s="48"/>
    </row>
    <row r="874" ht="12.75" customHeight="1">
      <c r="J874" s="48"/>
    </row>
    <row r="875" ht="12.75" customHeight="1">
      <c r="J875" s="48"/>
    </row>
    <row r="876" ht="12.75" customHeight="1">
      <c r="J876" s="48"/>
    </row>
    <row r="877" ht="12.75" customHeight="1">
      <c r="J877" s="48"/>
    </row>
    <row r="878" ht="12.75" customHeight="1">
      <c r="J878" s="48"/>
    </row>
    <row r="879" ht="12.75" customHeight="1">
      <c r="J879" s="48"/>
    </row>
    <row r="880" ht="12.75" customHeight="1">
      <c r="J880" s="48"/>
    </row>
    <row r="881" ht="12.75" customHeight="1">
      <c r="J881" s="48"/>
    </row>
    <row r="882" ht="12.75" customHeight="1">
      <c r="J882" s="48"/>
    </row>
    <row r="883" ht="12.75" customHeight="1">
      <c r="J883" s="48"/>
    </row>
    <row r="884" ht="12.75" customHeight="1">
      <c r="J884" s="48"/>
    </row>
    <row r="885" ht="12.75" customHeight="1">
      <c r="J885" s="48"/>
    </row>
    <row r="886" ht="12.75" customHeight="1">
      <c r="J886" s="48"/>
    </row>
    <row r="887" ht="12.75" customHeight="1">
      <c r="J887" s="48"/>
    </row>
    <row r="888" ht="12.75" customHeight="1">
      <c r="J888" s="48"/>
    </row>
    <row r="889" ht="12.75" customHeight="1">
      <c r="J889" s="48"/>
    </row>
    <row r="890" ht="12.75" customHeight="1">
      <c r="J890" s="48"/>
    </row>
    <row r="891" ht="12.75" customHeight="1">
      <c r="J891" s="48"/>
    </row>
    <row r="892" ht="12.75" customHeight="1">
      <c r="J892" s="48"/>
    </row>
    <row r="893" ht="12.75" customHeight="1">
      <c r="J893" s="48"/>
    </row>
    <row r="894" ht="12.75" customHeight="1">
      <c r="J894" s="48"/>
    </row>
    <row r="895" ht="12.75" customHeight="1">
      <c r="J895" s="48"/>
    </row>
    <row r="896" ht="12.75" customHeight="1">
      <c r="J896" s="48"/>
    </row>
    <row r="897" ht="12.75" customHeight="1">
      <c r="J897" s="48"/>
    </row>
    <row r="898" ht="12.75" customHeight="1">
      <c r="J898" s="48"/>
    </row>
    <row r="899" ht="12.75" customHeight="1">
      <c r="J899" s="48"/>
    </row>
    <row r="900" ht="12.75" customHeight="1">
      <c r="J900" s="48"/>
    </row>
    <row r="901" ht="12.75" customHeight="1">
      <c r="J901" s="48"/>
    </row>
    <row r="902" ht="12.75" customHeight="1">
      <c r="J902" s="48"/>
    </row>
    <row r="903" ht="12.75" customHeight="1">
      <c r="J903" s="48"/>
    </row>
    <row r="904" ht="12.75" customHeight="1">
      <c r="J904" s="48"/>
    </row>
    <row r="905" ht="12.75" customHeight="1">
      <c r="J905" s="48"/>
    </row>
    <row r="906" ht="12.75" customHeight="1">
      <c r="J906" s="48"/>
    </row>
    <row r="907" ht="12.75" customHeight="1">
      <c r="J907" s="48"/>
    </row>
    <row r="908" ht="12.75" customHeight="1">
      <c r="J908" s="48"/>
    </row>
    <row r="909" ht="12.75" customHeight="1">
      <c r="J909" s="48"/>
    </row>
    <row r="910" ht="12.75" customHeight="1">
      <c r="J910" s="48"/>
    </row>
    <row r="911" ht="12.75" customHeight="1">
      <c r="J911" s="48"/>
    </row>
    <row r="912" ht="12.75" customHeight="1">
      <c r="J912" s="48"/>
    </row>
    <row r="913" ht="12.75" customHeight="1">
      <c r="J913" s="48"/>
    </row>
    <row r="914" ht="12.75" customHeight="1">
      <c r="J914" s="48"/>
    </row>
    <row r="915" ht="12.75" customHeight="1">
      <c r="J915" s="48"/>
    </row>
    <row r="916" ht="12.75" customHeight="1">
      <c r="J916" s="48"/>
    </row>
    <row r="917" ht="12.75" customHeight="1">
      <c r="J917" s="48"/>
    </row>
    <row r="918" ht="12.75" customHeight="1">
      <c r="J918" s="48"/>
    </row>
    <row r="919" ht="12.75" customHeight="1">
      <c r="J919" s="48"/>
    </row>
    <row r="920" ht="12.75" customHeight="1">
      <c r="J920" s="48"/>
    </row>
    <row r="921" ht="12.75" customHeight="1">
      <c r="J921" s="48"/>
    </row>
    <row r="922" ht="12.75" customHeight="1">
      <c r="J922" s="48"/>
    </row>
    <row r="923" ht="12.75" customHeight="1">
      <c r="J923" s="48"/>
    </row>
    <row r="924" ht="12.75" customHeight="1">
      <c r="J924" s="48"/>
    </row>
    <row r="925" ht="12.75" customHeight="1">
      <c r="J925" s="48"/>
    </row>
    <row r="926" ht="12.75" customHeight="1">
      <c r="J926" s="48"/>
    </row>
    <row r="927" ht="12.75" customHeight="1">
      <c r="J927" s="48"/>
    </row>
    <row r="928" ht="12.75" customHeight="1">
      <c r="J928" s="48"/>
    </row>
    <row r="929" ht="12.75" customHeight="1">
      <c r="J929" s="48"/>
    </row>
    <row r="930" ht="12.75" customHeight="1">
      <c r="J930" s="48"/>
    </row>
    <row r="931" ht="12.75" customHeight="1">
      <c r="J931" s="48"/>
    </row>
    <row r="932" ht="12.75" customHeight="1">
      <c r="J932" s="48"/>
    </row>
    <row r="933" ht="12.75" customHeight="1">
      <c r="J933" s="48"/>
    </row>
    <row r="934" ht="12.75" customHeight="1">
      <c r="J934" s="48"/>
    </row>
    <row r="935" ht="12.75" customHeight="1">
      <c r="J935" s="48"/>
    </row>
    <row r="936" ht="12.75" customHeight="1">
      <c r="J936" s="48"/>
    </row>
    <row r="937" ht="12.75" customHeight="1">
      <c r="J937" s="48"/>
    </row>
    <row r="938" ht="12.75" customHeight="1">
      <c r="J938" s="48"/>
    </row>
    <row r="939" ht="12.75" customHeight="1">
      <c r="J939" s="48"/>
    </row>
    <row r="940" ht="12.75" customHeight="1">
      <c r="J940" s="48"/>
    </row>
    <row r="941" ht="12.75" customHeight="1">
      <c r="J941" s="48"/>
    </row>
    <row r="942" ht="12.75" customHeight="1">
      <c r="J942" s="48"/>
    </row>
    <row r="943" ht="12.75" customHeight="1">
      <c r="J943" s="48"/>
    </row>
    <row r="944" ht="12.75" customHeight="1">
      <c r="J944" s="48"/>
    </row>
    <row r="945" ht="12.75" customHeight="1">
      <c r="J945" s="48"/>
    </row>
    <row r="946" ht="12.75" customHeight="1">
      <c r="J946" s="48"/>
    </row>
    <row r="947" ht="12.75" customHeight="1">
      <c r="J947" s="48"/>
    </row>
    <row r="948" ht="12.75" customHeight="1">
      <c r="J948" s="48"/>
    </row>
    <row r="949" ht="12.75" customHeight="1">
      <c r="J949" s="48"/>
    </row>
    <row r="950" ht="12.75" customHeight="1">
      <c r="J950" s="48"/>
    </row>
    <row r="951" ht="12.75" customHeight="1">
      <c r="J951" s="48"/>
    </row>
    <row r="952" ht="12.75" customHeight="1">
      <c r="J952" s="48"/>
    </row>
    <row r="953" ht="12.75" customHeight="1">
      <c r="J953" s="48"/>
    </row>
    <row r="954" ht="12.75" customHeight="1">
      <c r="J954" s="48"/>
    </row>
    <row r="955" ht="12.75" customHeight="1">
      <c r="J955" s="48"/>
    </row>
    <row r="956" ht="12.75" customHeight="1">
      <c r="J956" s="48"/>
    </row>
    <row r="957" ht="12.75" customHeight="1">
      <c r="J957" s="48"/>
    </row>
    <row r="958" ht="12.75" customHeight="1">
      <c r="J958" s="48"/>
    </row>
    <row r="959" ht="12.75" customHeight="1">
      <c r="J959" s="48"/>
    </row>
    <row r="960" ht="12.75" customHeight="1">
      <c r="J960" s="48"/>
    </row>
    <row r="961" ht="12.75" customHeight="1">
      <c r="J961" s="48"/>
    </row>
    <row r="962" ht="12.75" customHeight="1">
      <c r="J962" s="48"/>
    </row>
    <row r="963" ht="12.75" customHeight="1">
      <c r="J963" s="48"/>
    </row>
    <row r="964" ht="12.75" customHeight="1">
      <c r="J964" s="48"/>
    </row>
    <row r="965" ht="12.75" customHeight="1">
      <c r="J965" s="48"/>
    </row>
    <row r="966" ht="12.75" customHeight="1">
      <c r="J966" s="48"/>
    </row>
    <row r="967" ht="12.75" customHeight="1">
      <c r="J967" s="48"/>
    </row>
    <row r="968" ht="12.75" customHeight="1">
      <c r="J968" s="48"/>
    </row>
    <row r="969" ht="12.75" customHeight="1">
      <c r="J969" s="48"/>
    </row>
    <row r="970" ht="12.75" customHeight="1">
      <c r="J970" s="48"/>
    </row>
    <row r="971" ht="12.75" customHeight="1">
      <c r="J971" s="48"/>
    </row>
    <row r="972" ht="12.75" customHeight="1">
      <c r="J972" s="48"/>
    </row>
    <row r="973" ht="12.75" customHeight="1">
      <c r="J973" s="48"/>
    </row>
    <row r="974" ht="12.75" customHeight="1">
      <c r="J974" s="48"/>
    </row>
    <row r="975" ht="12.75" customHeight="1">
      <c r="J975" s="48"/>
    </row>
    <row r="976" ht="12.75" customHeight="1">
      <c r="J976" s="48"/>
    </row>
    <row r="977" ht="12.75" customHeight="1">
      <c r="J977" s="48"/>
    </row>
    <row r="978" ht="12.75" customHeight="1">
      <c r="J978" s="48"/>
    </row>
    <row r="979" ht="12.75" customHeight="1">
      <c r="J979" s="48"/>
    </row>
    <row r="980" ht="12.75" customHeight="1">
      <c r="J980" s="48"/>
    </row>
    <row r="981" ht="12.75" customHeight="1">
      <c r="J981" s="48"/>
    </row>
    <row r="982" ht="12.75" customHeight="1">
      <c r="J982" s="48"/>
    </row>
    <row r="983" ht="12.75" customHeight="1">
      <c r="J983" s="48"/>
    </row>
    <row r="984" ht="12.75" customHeight="1">
      <c r="J984" s="48"/>
    </row>
    <row r="985" ht="12.75" customHeight="1">
      <c r="J985" s="48"/>
    </row>
    <row r="986" ht="12.75" customHeight="1">
      <c r="J986" s="48"/>
    </row>
    <row r="987" ht="12.75" customHeight="1">
      <c r="J987" s="48"/>
    </row>
    <row r="988" ht="12.75" customHeight="1">
      <c r="J988" s="48"/>
    </row>
    <row r="989" ht="12.75" customHeight="1">
      <c r="J989" s="48"/>
    </row>
    <row r="990" ht="12.75" customHeight="1">
      <c r="J990" s="48"/>
    </row>
    <row r="991" ht="12.75" customHeight="1">
      <c r="J991" s="48"/>
    </row>
    <row r="992" ht="12.75" customHeight="1">
      <c r="J992" s="48"/>
    </row>
    <row r="993" ht="12.75" customHeight="1">
      <c r="J993" s="48"/>
    </row>
    <row r="994" ht="12.75" customHeight="1">
      <c r="J994" s="48"/>
    </row>
    <row r="995" ht="12.75" customHeight="1">
      <c r="J995" s="48"/>
    </row>
    <row r="996" ht="12.75" customHeight="1">
      <c r="J996" s="48"/>
    </row>
    <row r="997" ht="12.75" customHeight="1">
      <c r="J997" s="48"/>
    </row>
    <row r="998" ht="12.75" customHeight="1">
      <c r="J998" s="48"/>
    </row>
    <row r="999" ht="12.75" customHeight="1">
      <c r="J999" s="48"/>
    </row>
    <row r="1000" ht="12.75" customHeight="1">
      <c r="J1000" s="48"/>
    </row>
  </sheetData>
  <hyperlinks>
    <hyperlink r:id="rId1" ref="BC24"/>
  </hyperlinks>
  <printOptions/>
  <pageMargins bottom="0.75" footer="0.0" header="0.0" left="0.7" right="0.7" top="0.75"/>
  <pageSetup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21.86"/>
    <col customWidth="1" min="4" max="7" width="22.71"/>
    <col customWidth="1" min="8" max="9" width="8.71"/>
    <col customWidth="1" min="10" max="10" width="10.86"/>
    <col customWidth="1" min="11" max="11" width="9.57"/>
    <col customWidth="1" min="12" max="12" width="12.29"/>
    <col customWidth="1" min="13" max="14" width="7.14"/>
    <col customWidth="1" min="15" max="26" width="8.71"/>
  </cols>
  <sheetData>
    <row r="1" ht="12.75" customHeight="1">
      <c r="B1" s="63" t="s">
        <v>1381</v>
      </c>
      <c r="C1" s="63" t="s">
        <v>1382</v>
      </c>
      <c r="D1" s="63" t="s">
        <v>1383</v>
      </c>
      <c r="E1" s="63" t="s">
        <v>1384</v>
      </c>
      <c r="F1" s="64" t="s">
        <v>1385</v>
      </c>
      <c r="G1" s="64" t="s">
        <v>1386</v>
      </c>
      <c r="H1" s="64" t="s">
        <v>1387</v>
      </c>
      <c r="I1" s="64" t="s">
        <v>1388</v>
      </c>
      <c r="J1" s="64" t="s">
        <v>1389</v>
      </c>
      <c r="K1" s="64" t="s">
        <v>1390</v>
      </c>
      <c r="L1" s="65" t="s">
        <v>1391</v>
      </c>
      <c r="M1" s="64" t="s">
        <v>1392</v>
      </c>
      <c r="O1" s="64" t="s">
        <v>1393</v>
      </c>
      <c r="P1" s="64" t="s">
        <v>1394</v>
      </c>
      <c r="Q1" s="64" t="s">
        <v>1395</v>
      </c>
    </row>
    <row r="2" ht="12.75" customHeight="1">
      <c r="A2" s="66" t="s">
        <v>855</v>
      </c>
      <c r="B2" s="21">
        <f>COUNTIFS(company!$C:$C, sector!$A2,company!$Z:$Z,"NR", company!$AF:$AF,"NR")</f>
        <v>5</v>
      </c>
      <c r="C2" s="21">
        <f t="shared" ref="C2:C12" si="1">M2-B2</f>
        <v>3</v>
      </c>
      <c r="D2" s="21">
        <f>COUNTIFS(company!$L:$L,"N",company!$C:$C,sector!$A2 )</f>
        <v>4</v>
      </c>
      <c r="E2" s="21">
        <f>COUNTIFS(company!$L:$L,"Y",company!$C:$C,sector!$A2 )</f>
        <v>4</v>
      </c>
      <c r="F2" s="21">
        <f>COUNTIFS(company!$M:$M,"N",company!$C:$C,sector!$A2 )</f>
        <v>6</v>
      </c>
      <c r="G2" s="21">
        <f>COUNTIFS(company!$M:$M,"Y",company!$C:$C,sector!$A2 )</f>
        <v>2</v>
      </c>
      <c r="H2" s="21">
        <f>COUNTIFS(company!$R:$R,"N",company!$C:$C,sector!$A2 )</f>
        <v>6</v>
      </c>
      <c r="I2" s="21">
        <f>COUNTIFS(company!$R:$R,"Y",company!$C:$C,sector!$A2 )</f>
        <v>2</v>
      </c>
      <c r="J2" s="21">
        <f>COUNTIFS(company!$C:$C,sector!$A2,company!$H:$H,"Y")</f>
        <v>0</v>
      </c>
      <c r="K2" s="21">
        <f>COUNTIFS(company!$C:$C,sector!$A2,company!$H:$H,"N")</f>
        <v>0</v>
      </c>
      <c r="L2" s="47" t="str">
        <f t="shared" ref="L2:L13" si="2">J2/SUM(J2:K2)</f>
        <v>#DIV/0!</v>
      </c>
      <c r="M2" s="13">
        <f t="shared" ref="M2:M12" si="3">H2+I2</f>
        <v>8</v>
      </c>
      <c r="O2" s="13" t="b">
        <f t="shared" ref="O2:O12" si="4">(D2+E2) = (F2+G2)</f>
        <v>1</v>
      </c>
      <c r="P2" s="13" t="b">
        <f t="shared" ref="P2:P12" si="5">(F2 + G2) = (H2 + I2)</f>
        <v>1</v>
      </c>
      <c r="Q2" s="13" t="b">
        <f t="shared" ref="Q2:Q12" si="6">(B2+C2)=(D2+E2)</f>
        <v>1</v>
      </c>
    </row>
    <row r="3" ht="12.75" customHeight="1">
      <c r="A3" s="66" t="s">
        <v>950</v>
      </c>
      <c r="B3" s="21">
        <f>COUNTIFS(company!$C:$C, sector!$A3,company!$Z:$Z,"NR", company!$AF:$AF,"NR")</f>
        <v>1</v>
      </c>
      <c r="C3" s="21">
        <f t="shared" si="1"/>
        <v>8</v>
      </c>
      <c r="D3" s="21">
        <f>COUNTIFS(company!$L:$L,"N",company!$C:$C,sector!$A3 )</f>
        <v>4</v>
      </c>
      <c r="E3" s="21">
        <f>COUNTIFS(company!$L:$L,"Y",company!$C:$C,sector!$A3 )</f>
        <v>5</v>
      </c>
      <c r="F3" s="21">
        <f>COUNTIFS(company!$M:$M,"N",company!$C:$C,sector!$A3 )</f>
        <v>5</v>
      </c>
      <c r="G3" s="21">
        <f>COUNTIFS(company!$M:$M,"Y",company!$C:$C,sector!$A3 )</f>
        <v>4</v>
      </c>
      <c r="H3" s="21">
        <f>COUNTIFS(company!$R:$R,"N",company!$C:$C,sector!$A3 )</f>
        <v>4</v>
      </c>
      <c r="I3" s="21">
        <f>COUNTIFS(company!$R:$R,"Y",company!$C:$C,sector!$A3 )</f>
        <v>5</v>
      </c>
      <c r="J3" s="21">
        <f>COUNTIFS(company!$C:$C,sector!$A3,company!$H:$H,"Y")</f>
        <v>0</v>
      </c>
      <c r="K3" s="21">
        <f>COUNTIFS(company!$C:$C,sector!$A3,company!$H:$H,"N")</f>
        <v>0</v>
      </c>
      <c r="L3" s="47" t="str">
        <f t="shared" si="2"/>
        <v>#DIV/0!</v>
      </c>
      <c r="M3" s="13">
        <f t="shared" si="3"/>
        <v>9</v>
      </c>
      <c r="O3" s="13" t="b">
        <f t="shared" si="4"/>
        <v>1</v>
      </c>
      <c r="P3" s="13" t="b">
        <f t="shared" si="5"/>
        <v>1</v>
      </c>
      <c r="Q3" s="13" t="b">
        <f t="shared" si="6"/>
        <v>1</v>
      </c>
    </row>
    <row r="4" ht="12.75" customHeight="1">
      <c r="A4" s="66" t="s">
        <v>860</v>
      </c>
      <c r="B4" s="21">
        <f>COUNTIFS(company!$C:$C, sector!$A4,company!$Z:$Z,"NR", company!$AF:$AF,"NR")</f>
        <v>2</v>
      </c>
      <c r="C4" s="21">
        <f t="shared" si="1"/>
        <v>9</v>
      </c>
      <c r="D4" s="21">
        <f>COUNTIFS(company!$L:$L,"N",company!$C:$C,sector!$A4 )</f>
        <v>9</v>
      </c>
      <c r="E4" s="21">
        <f>COUNTIFS(company!$L:$L,"Y",company!$C:$C,sector!$A4 )</f>
        <v>2</v>
      </c>
      <c r="F4" s="21">
        <f>COUNTIFS(company!$M:$M,"N",company!$C:$C,sector!$A4 )</f>
        <v>2</v>
      </c>
      <c r="G4" s="21">
        <f>COUNTIFS(company!$M:$M,"Y",company!$C:$C,sector!$A4 )</f>
        <v>9</v>
      </c>
      <c r="H4" s="21">
        <f>COUNTIFS(company!$R:$R,"N",company!$C:$C,sector!$A4 )</f>
        <v>8</v>
      </c>
      <c r="I4" s="21">
        <f>COUNTIFS(company!$R:$R,"Y",company!$C:$C,sector!$A4 )</f>
        <v>3</v>
      </c>
      <c r="J4" s="21">
        <f>COUNTIFS(company!$C:$C,sector!$A4,company!$H:$H,"Y")</f>
        <v>0</v>
      </c>
      <c r="K4" s="21">
        <f>COUNTIFS(company!$C:$C,sector!$A4,company!$H:$H,"N")</f>
        <v>0</v>
      </c>
      <c r="L4" s="47" t="str">
        <f t="shared" si="2"/>
        <v>#DIV/0!</v>
      </c>
      <c r="M4" s="13">
        <f t="shared" si="3"/>
        <v>11</v>
      </c>
      <c r="O4" s="13" t="b">
        <f t="shared" si="4"/>
        <v>1</v>
      </c>
      <c r="P4" s="13" t="b">
        <f t="shared" si="5"/>
        <v>1</v>
      </c>
      <c r="Q4" s="13" t="b">
        <f t="shared" si="6"/>
        <v>1</v>
      </c>
    </row>
    <row r="5" ht="12.75" customHeight="1">
      <c r="A5" s="66" t="s">
        <v>914</v>
      </c>
      <c r="B5" s="21">
        <f>COUNTIFS(company!$C:$C, sector!$A5,company!$Z:$Z,"NR", company!$AF:$AF,"NR")</f>
        <v>2</v>
      </c>
      <c r="C5" s="21">
        <f t="shared" si="1"/>
        <v>4</v>
      </c>
      <c r="D5" s="21">
        <f>COUNTIFS(company!$L:$L,"N",company!$C:$C,sector!$A5 )</f>
        <v>5</v>
      </c>
      <c r="E5" s="21">
        <f>COUNTIFS(company!$L:$L,"Y",company!$C:$C,sector!$A5 )</f>
        <v>1</v>
      </c>
      <c r="F5" s="21">
        <f>COUNTIFS(company!$M:$M,"N",company!$C:$C,sector!$A5 )</f>
        <v>5</v>
      </c>
      <c r="G5" s="21">
        <f>COUNTIFS(company!$M:$M,"Y",company!$C:$C,sector!$A5 )</f>
        <v>1</v>
      </c>
      <c r="H5" s="21">
        <f>COUNTIFS(company!$R:$R,"N",company!$C:$C,sector!$A5 )</f>
        <v>6</v>
      </c>
      <c r="I5" s="21">
        <f>COUNTIFS(company!$R:$R,"Y",company!$C:$C,sector!$A5 )</f>
        <v>0</v>
      </c>
      <c r="J5" s="21">
        <f>COUNTIFS(company!$C:$C,sector!$A5,company!$H:$H,"Y")</f>
        <v>0</v>
      </c>
      <c r="K5" s="21">
        <f>COUNTIFS(company!$C:$C,sector!$A5,company!$H:$H,"N")</f>
        <v>0</v>
      </c>
      <c r="L5" s="47" t="str">
        <f t="shared" si="2"/>
        <v>#DIV/0!</v>
      </c>
      <c r="M5" s="13">
        <f t="shared" si="3"/>
        <v>6</v>
      </c>
      <c r="O5" s="13" t="b">
        <f t="shared" si="4"/>
        <v>1</v>
      </c>
      <c r="P5" s="13" t="b">
        <f t="shared" si="5"/>
        <v>1</v>
      </c>
      <c r="Q5" s="13" t="b">
        <f t="shared" si="6"/>
        <v>1</v>
      </c>
    </row>
    <row r="6" ht="12.75" customHeight="1">
      <c r="A6" s="66" t="s">
        <v>850</v>
      </c>
      <c r="B6" s="21">
        <f>COUNTIFS(company!$C:$C, sector!$A6,company!$Z:$Z,"NR", company!$AF:$AF,"NR")</f>
        <v>2</v>
      </c>
      <c r="C6" s="21">
        <f t="shared" si="1"/>
        <v>16</v>
      </c>
      <c r="D6" s="21">
        <f>COUNTIFS(company!$L:$L,"N",company!$C:$C,sector!$A6 )</f>
        <v>11</v>
      </c>
      <c r="E6" s="21">
        <f>COUNTIFS(company!$L:$L,"Y",company!$C:$C,sector!$A6 )</f>
        <v>7</v>
      </c>
      <c r="F6" s="21">
        <f>COUNTIFS(company!$M:$M,"N",company!$C:$C,sector!$A6 )</f>
        <v>16</v>
      </c>
      <c r="G6" s="21">
        <f>COUNTIFS(company!$M:$M,"Y",company!$C:$C,sector!$A6 )</f>
        <v>2</v>
      </c>
      <c r="H6" s="21">
        <f>COUNTIFS(company!$R:$R,"N",company!$C:$C,sector!$A6 )</f>
        <v>7</v>
      </c>
      <c r="I6" s="21">
        <f>COUNTIFS(company!$R:$R,"Y",company!$C:$C,sector!$A6 )</f>
        <v>11</v>
      </c>
      <c r="J6" s="21">
        <f>COUNTIFS(company!$C:$C,sector!$A6,company!$H:$H,"Y")</f>
        <v>0</v>
      </c>
      <c r="K6" s="21">
        <f>COUNTIFS(company!$C:$C,sector!$A6,company!$H:$H,"N")</f>
        <v>0</v>
      </c>
      <c r="L6" s="47" t="str">
        <f t="shared" si="2"/>
        <v>#DIV/0!</v>
      </c>
      <c r="M6" s="13">
        <f t="shared" si="3"/>
        <v>18</v>
      </c>
      <c r="O6" s="13" t="b">
        <f t="shared" si="4"/>
        <v>1</v>
      </c>
      <c r="P6" s="13" t="b">
        <f t="shared" si="5"/>
        <v>1</v>
      </c>
      <c r="Q6" s="13" t="b">
        <f t="shared" si="6"/>
        <v>1</v>
      </c>
    </row>
    <row r="7" ht="12.75" customHeight="1">
      <c r="A7" s="66" t="s">
        <v>829</v>
      </c>
      <c r="B7" s="21">
        <f>COUNTIFS(company!$C:$C, sector!$A7,company!$Z:$Z,"NR", company!$AF:$AF,"NR")</f>
        <v>3</v>
      </c>
      <c r="C7" s="21">
        <f t="shared" si="1"/>
        <v>13</v>
      </c>
      <c r="D7" s="21">
        <f>COUNTIFS(company!$L:$L,"N",company!$C:$C,sector!$A7 )</f>
        <v>15</v>
      </c>
      <c r="E7" s="21">
        <f>COUNTIFS(company!$L:$L,"Y",company!$C:$C,sector!$A7 )</f>
        <v>1</v>
      </c>
      <c r="F7" s="21">
        <f>COUNTIFS(company!$M:$M,"N",company!$C:$C,sector!$A7 )</f>
        <v>13</v>
      </c>
      <c r="G7" s="21">
        <f>COUNTIFS(company!$M:$M,"Y",company!$C:$C,sector!$A7 )</f>
        <v>3</v>
      </c>
      <c r="H7" s="21">
        <f>COUNTIFS(company!$R:$R,"N",company!$C:$C,sector!$A7 )</f>
        <v>13</v>
      </c>
      <c r="I7" s="21">
        <f>COUNTIFS(company!$R:$R,"Y",company!$C:$C,sector!$A7 )</f>
        <v>3</v>
      </c>
      <c r="J7" s="21">
        <f>COUNTIFS(company!$C:$C,sector!$A7,company!$H:$H,"Y")</f>
        <v>0</v>
      </c>
      <c r="K7" s="21">
        <f>COUNTIFS(company!$C:$C,sector!$A7,company!$H:$H,"N")</f>
        <v>0</v>
      </c>
      <c r="L7" s="47" t="str">
        <f t="shared" si="2"/>
        <v>#DIV/0!</v>
      </c>
      <c r="M7" s="13">
        <f t="shared" si="3"/>
        <v>16</v>
      </c>
      <c r="O7" s="13" t="b">
        <f t="shared" si="4"/>
        <v>1</v>
      </c>
      <c r="P7" s="13" t="b">
        <f t="shared" si="5"/>
        <v>1</v>
      </c>
      <c r="Q7" s="13" t="b">
        <f t="shared" si="6"/>
        <v>1</v>
      </c>
    </row>
    <row r="8" ht="12.75" customHeight="1">
      <c r="A8" s="66" t="s">
        <v>822</v>
      </c>
      <c r="B8" s="21">
        <f>COUNTIFS(company!$C:$C, sector!$A8,company!$Z:$Z,"NR", company!$AF:$AF,"NR")</f>
        <v>3</v>
      </c>
      <c r="C8" s="21">
        <f t="shared" si="1"/>
        <v>9</v>
      </c>
      <c r="D8" s="21">
        <f>COUNTIFS(company!$L:$L,"N",company!$C:$C,sector!$A8 )</f>
        <v>12</v>
      </c>
      <c r="E8" s="21">
        <f>COUNTIFS(company!$L:$L,"Y",company!$C:$C,sector!$A8 )</f>
        <v>0</v>
      </c>
      <c r="F8" s="21">
        <f>COUNTIFS(company!$M:$M,"N",company!$C:$C,sector!$A8 )</f>
        <v>11</v>
      </c>
      <c r="G8" s="21">
        <f>COUNTIFS(company!$M:$M,"Y",company!$C:$C,sector!$A8 )</f>
        <v>1</v>
      </c>
      <c r="H8" s="21">
        <f>COUNTIFS(company!$R:$R,"N",company!$C:$C,sector!$A8 )</f>
        <v>11</v>
      </c>
      <c r="I8" s="21">
        <f>COUNTIFS(company!$R:$R,"Y",company!$C:$C,sector!$A8 )</f>
        <v>1</v>
      </c>
      <c r="J8" s="21">
        <f>COUNTIFS(company!$C:$C,sector!$A8,company!$H:$H,"Y")</f>
        <v>0</v>
      </c>
      <c r="K8" s="21">
        <f>COUNTIFS(company!$C:$C,sector!$A8,company!$H:$H,"N")</f>
        <v>0</v>
      </c>
      <c r="L8" s="47" t="str">
        <f t="shared" si="2"/>
        <v>#DIV/0!</v>
      </c>
      <c r="M8" s="13">
        <f t="shared" si="3"/>
        <v>12</v>
      </c>
      <c r="O8" s="13" t="b">
        <f t="shared" si="4"/>
        <v>1</v>
      </c>
      <c r="P8" s="13" t="b">
        <f t="shared" si="5"/>
        <v>1</v>
      </c>
      <c r="Q8" s="13" t="b">
        <f t="shared" si="6"/>
        <v>1</v>
      </c>
    </row>
    <row r="9" ht="12.75" customHeight="1">
      <c r="A9" s="66" t="s">
        <v>48</v>
      </c>
      <c r="B9" s="21">
        <f>COUNTIFS(company!$C:$C, sector!$A9,company!$Z:$Z,"NR", company!$AF:$AF,"NR")</f>
        <v>0</v>
      </c>
      <c r="C9" s="21">
        <f t="shared" si="1"/>
        <v>2</v>
      </c>
      <c r="D9" s="21">
        <f>COUNTIFS(company!$L:$L,"N",company!$C:$C,sector!$A9 )</f>
        <v>0</v>
      </c>
      <c r="E9" s="21">
        <f>COUNTIFS(company!$L:$L,"Y",company!$C:$C,sector!$A9 )</f>
        <v>2</v>
      </c>
      <c r="F9" s="21">
        <f>COUNTIFS(company!$M:$M,"N",company!$C:$C,sector!$A9 )</f>
        <v>2</v>
      </c>
      <c r="G9" s="21">
        <f>COUNTIFS(company!$M:$M,"Y",company!$C:$C,sector!$A9 )</f>
        <v>0</v>
      </c>
      <c r="H9" s="21">
        <f>COUNTIFS(company!$R:$R,"N",company!$C:$C,sector!$A9 )</f>
        <v>2</v>
      </c>
      <c r="I9" s="21">
        <f>COUNTIFS(company!$R:$R,"Y",company!$C:$C,sector!$A9 )</f>
        <v>0</v>
      </c>
      <c r="J9" s="21">
        <f>COUNTIFS(company!$C:$C,sector!$A9,company!$H:$H,"Y")</f>
        <v>0</v>
      </c>
      <c r="K9" s="21">
        <f>COUNTIFS(company!$C:$C,sector!$A9,company!$H:$H,"N")</f>
        <v>0</v>
      </c>
      <c r="L9" s="47" t="str">
        <f t="shared" si="2"/>
        <v>#DIV/0!</v>
      </c>
      <c r="M9" s="13">
        <f t="shared" si="3"/>
        <v>2</v>
      </c>
      <c r="O9" s="13" t="b">
        <f t="shared" si="4"/>
        <v>1</v>
      </c>
      <c r="P9" s="13" t="b">
        <f t="shared" si="5"/>
        <v>1</v>
      </c>
      <c r="Q9" s="13" t="b">
        <f t="shared" si="6"/>
        <v>1</v>
      </c>
    </row>
    <row r="10" ht="12.75" customHeight="1">
      <c r="A10" s="66" t="s">
        <v>870</v>
      </c>
      <c r="B10" s="21">
        <f>COUNTIFS(company!$C:$C, sector!$A10,company!$Z:$Z,"NR", company!$AF:$AF,"NR")</f>
        <v>1</v>
      </c>
      <c r="C10" s="21">
        <f t="shared" si="1"/>
        <v>1</v>
      </c>
      <c r="D10" s="21">
        <f>COUNTIFS(company!$L:$L,"N",company!$C:$C,sector!$A10 )</f>
        <v>2</v>
      </c>
      <c r="E10" s="21">
        <f>COUNTIFS(company!$L:$L,"Y",company!$C:$C,sector!$A10 )</f>
        <v>0</v>
      </c>
      <c r="F10" s="21">
        <f>COUNTIFS(company!$M:$M,"N",company!$C:$C,sector!$A10 )</f>
        <v>2</v>
      </c>
      <c r="G10" s="21">
        <f>COUNTIFS(company!$M:$M,"Y",company!$C:$C,sector!$A10 )</f>
        <v>0</v>
      </c>
      <c r="H10" s="21">
        <f>COUNTIFS(company!$R:$R,"N",company!$C:$C,sector!$A10 )</f>
        <v>2</v>
      </c>
      <c r="I10" s="21">
        <f>COUNTIFS(company!$R:$R,"Y",company!$C:$C,sector!$A10 )</f>
        <v>0</v>
      </c>
      <c r="J10" s="21">
        <f>COUNTIFS(company!$C:$C,sector!$A10,company!$H:$H,"Y")</f>
        <v>0</v>
      </c>
      <c r="K10" s="21">
        <f>COUNTIFS(company!$C:$C,sector!$A10,company!$H:$H,"N")</f>
        <v>0</v>
      </c>
      <c r="L10" s="47" t="str">
        <f t="shared" si="2"/>
        <v>#DIV/0!</v>
      </c>
      <c r="M10" s="13">
        <f t="shared" si="3"/>
        <v>2</v>
      </c>
      <c r="O10" s="13" t="b">
        <f t="shared" si="4"/>
        <v>1</v>
      </c>
      <c r="P10" s="13" t="b">
        <f t="shared" si="5"/>
        <v>1</v>
      </c>
      <c r="Q10" s="13" t="b">
        <f t="shared" si="6"/>
        <v>1</v>
      </c>
    </row>
    <row r="11" ht="12.75" customHeight="1">
      <c r="A11" s="66" t="s">
        <v>840</v>
      </c>
      <c r="B11" s="21">
        <f>COUNTIFS(company!$C:$C, sector!$A11,company!$Z:$Z,"NR", company!$AF:$AF,"NR")</f>
        <v>1</v>
      </c>
      <c r="C11" s="21">
        <f t="shared" si="1"/>
        <v>11</v>
      </c>
      <c r="D11" s="21">
        <f>COUNTIFS(company!$L:$L,"N",company!$C:$C,sector!$A11 )</f>
        <v>9</v>
      </c>
      <c r="E11" s="21">
        <f>COUNTIFS(company!$L:$L,"Y",company!$C:$C,sector!$A11 )</f>
        <v>3</v>
      </c>
      <c r="F11" s="21">
        <f>COUNTIFS(company!$M:$M,"N",company!$C:$C,sector!$A11 )</f>
        <v>7</v>
      </c>
      <c r="G11" s="21">
        <f>COUNTIFS(company!$M:$M,"Y",company!$C:$C,sector!$A11 )</f>
        <v>5</v>
      </c>
      <c r="H11" s="21">
        <f>COUNTIFS(company!$R:$R,"N",company!$C:$C,sector!$A11 )</f>
        <v>7</v>
      </c>
      <c r="I11" s="21">
        <f>COUNTIFS(company!$R:$R,"Y",company!$C:$C,sector!$A11 )</f>
        <v>5</v>
      </c>
      <c r="J11" s="21">
        <f>COUNTIFS(company!$C:$C,sector!$A11,company!$H:$H,"Y")</f>
        <v>0</v>
      </c>
      <c r="K11" s="21">
        <f>COUNTIFS(company!$C:$C,sector!$A11,company!$H:$H,"N")</f>
        <v>0</v>
      </c>
      <c r="L11" s="47" t="str">
        <f t="shared" si="2"/>
        <v>#DIV/0!</v>
      </c>
      <c r="M11" s="13">
        <f t="shared" si="3"/>
        <v>12</v>
      </c>
      <c r="O11" s="13" t="b">
        <f t="shared" si="4"/>
        <v>1</v>
      </c>
      <c r="P11" s="13" t="b">
        <f t="shared" si="5"/>
        <v>1</v>
      </c>
      <c r="Q11" s="13" t="b">
        <f t="shared" si="6"/>
        <v>1</v>
      </c>
    </row>
    <row r="12" ht="12.75" customHeight="1">
      <c r="A12" s="66" t="s">
        <v>932</v>
      </c>
      <c r="B12" s="21">
        <f>COUNTIFS(company!$C:$C, sector!$A12,company!$Z:$Z,"NR", company!$AF:$AF,"NR")</f>
        <v>1</v>
      </c>
      <c r="C12" s="21">
        <f t="shared" si="1"/>
        <v>3</v>
      </c>
      <c r="D12" s="21">
        <f>COUNTIFS(company!$L:$L,"N",company!$C:$C,sector!$A12 )</f>
        <v>3</v>
      </c>
      <c r="E12" s="21">
        <f>COUNTIFS(company!$L:$L,"Y",company!$C:$C,sector!$A12 )</f>
        <v>1</v>
      </c>
      <c r="F12" s="21">
        <f>COUNTIFS(company!$M:$M,"N",company!$C:$C,sector!$A12 )</f>
        <v>4</v>
      </c>
      <c r="G12" s="21">
        <f>COUNTIFS(company!$M:$M,"Y",company!$C:$C,sector!$A12 )</f>
        <v>0</v>
      </c>
      <c r="H12" s="21">
        <f>COUNTIFS(company!$R:$R,"N",company!$C:$C,sector!$A12 )</f>
        <v>4</v>
      </c>
      <c r="I12" s="21">
        <f>COUNTIFS(company!$R:$R,"Y",company!$C:$C,sector!$A12 )</f>
        <v>0</v>
      </c>
      <c r="J12" s="21">
        <f>COUNTIFS(company!$C:$C,sector!$A12,company!$H:$H,"Y")</f>
        <v>0</v>
      </c>
      <c r="K12" s="21">
        <f>COUNTIFS(company!$C:$C,sector!$A12,company!$H:$H,"N")</f>
        <v>0</v>
      </c>
      <c r="L12" s="47" t="str">
        <f t="shared" si="2"/>
        <v>#DIV/0!</v>
      </c>
      <c r="M12" s="13">
        <f t="shared" si="3"/>
        <v>4</v>
      </c>
      <c r="O12" s="13" t="b">
        <f t="shared" si="4"/>
        <v>1</v>
      </c>
      <c r="P12" s="13" t="b">
        <f t="shared" si="5"/>
        <v>1</v>
      </c>
      <c r="Q12" s="13" t="b">
        <f t="shared" si="6"/>
        <v>1</v>
      </c>
    </row>
    <row r="13" ht="12.75" customHeight="1">
      <c r="A13" s="67" t="s">
        <v>1396</v>
      </c>
      <c r="B13" s="68">
        <f t="shared" ref="B13:K13" si="7">SUM(B2:B12)</f>
        <v>21</v>
      </c>
      <c r="C13" s="68">
        <f t="shared" si="7"/>
        <v>79</v>
      </c>
      <c r="D13" s="68">
        <f t="shared" si="7"/>
        <v>74</v>
      </c>
      <c r="E13" s="68">
        <f t="shared" si="7"/>
        <v>26</v>
      </c>
      <c r="F13" s="68">
        <f t="shared" si="7"/>
        <v>73</v>
      </c>
      <c r="G13" s="68">
        <f t="shared" si="7"/>
        <v>27</v>
      </c>
      <c r="H13" s="68">
        <f t="shared" si="7"/>
        <v>70</v>
      </c>
      <c r="I13" s="68">
        <f t="shared" si="7"/>
        <v>30</v>
      </c>
      <c r="J13" s="68">
        <f t="shared" si="7"/>
        <v>0</v>
      </c>
      <c r="K13" s="68">
        <f t="shared" si="7"/>
        <v>0</v>
      </c>
      <c r="L13" s="69" t="str">
        <f t="shared" si="2"/>
        <v>#DIV/0!</v>
      </c>
      <c r="M13" s="68">
        <f>SUM(M2:M12)</f>
        <v>100</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33.86"/>
    <col customWidth="1" min="3" max="3" width="35.57"/>
    <col customWidth="1" min="4" max="26" width="8.71"/>
  </cols>
  <sheetData>
    <row r="1" ht="12.75" customHeight="1">
      <c r="A1" s="13" t="s">
        <v>22</v>
      </c>
      <c r="B1" s="70" t="s">
        <v>45</v>
      </c>
      <c r="C1" s="71" t="str">
        <f>VLOOKUP(A1,companies!$B:$D,3,FALSE)</f>
        <v> US88579Y1010</v>
      </c>
      <c r="D1" s="13" t="b">
        <f t="shared" ref="D1:D26" si="1">C1=B1</f>
        <v>0</v>
      </c>
    </row>
    <row r="2" ht="12.75" customHeight="1">
      <c r="A2" s="13" t="s">
        <v>59</v>
      </c>
      <c r="B2" s="70" t="s">
        <v>62</v>
      </c>
      <c r="C2" s="71" t="str">
        <f>VLOOKUP(A2,companies!$B:$D,3,FALSE)</f>
        <v> US0028241000</v>
      </c>
      <c r="D2" s="13" t="b">
        <f t="shared" si="1"/>
        <v>0</v>
      </c>
    </row>
    <row r="3" ht="12.75" customHeight="1">
      <c r="A3" s="13" t="s">
        <v>64</v>
      </c>
      <c r="B3" s="70" t="s">
        <v>68</v>
      </c>
      <c r="C3" s="71" t="str">
        <f>VLOOKUP(A3,companies!$B:$D,3,FALSE)</f>
        <v> US00287Y1091</v>
      </c>
      <c r="D3" s="13" t="b">
        <f t="shared" si="1"/>
        <v>0</v>
      </c>
    </row>
    <row r="4" ht="12.75" customHeight="1">
      <c r="A4" s="13" t="s">
        <v>70</v>
      </c>
      <c r="B4" s="70" t="s">
        <v>73</v>
      </c>
      <c r="C4" s="71" t="str">
        <f>VLOOKUP(A4,companies!$B:$D,3,FALSE)</f>
        <v> IE00B4BNMY34</v>
      </c>
      <c r="D4" s="13" t="b">
        <f t="shared" si="1"/>
        <v>0</v>
      </c>
    </row>
    <row r="5" ht="12.75" customHeight="1">
      <c r="A5" s="22" t="s">
        <v>75</v>
      </c>
      <c r="B5" s="70" t="s">
        <v>79</v>
      </c>
      <c r="C5" s="71" t="str">
        <f>VLOOKUP(A5,companies!$B:$D,3,FALSE)</f>
        <v> US00724F1012</v>
      </c>
      <c r="D5" s="13" t="b">
        <f t="shared" si="1"/>
        <v>0</v>
      </c>
    </row>
    <row r="6" ht="12.75" customHeight="1">
      <c r="A6" s="22" t="s">
        <v>81</v>
      </c>
      <c r="B6" s="72" t="s">
        <v>85</v>
      </c>
      <c r="C6" s="71" t="str">
        <f>VLOOKUP(A6,companies!$B:$D,3,FALSE)</f>
        <v> US0200021014</v>
      </c>
      <c r="D6" s="13" t="b">
        <f t="shared" si="1"/>
        <v>0</v>
      </c>
    </row>
    <row r="7" ht="12.75" customHeight="1">
      <c r="A7" s="13" t="s">
        <v>87</v>
      </c>
      <c r="B7" s="73" t="s">
        <v>91</v>
      </c>
      <c r="C7" s="74" t="str">
        <f>VLOOKUP(A7,companies!$B:$D,3,FALSE)</f>
        <v> US02079K1079</v>
      </c>
      <c r="D7" s="13" t="b">
        <f t="shared" si="1"/>
        <v>0</v>
      </c>
    </row>
    <row r="8" ht="12.75" customHeight="1">
      <c r="A8" s="13" t="s">
        <v>93</v>
      </c>
      <c r="B8" s="75" t="s">
        <v>97</v>
      </c>
      <c r="C8" s="71" t="str">
        <f>VLOOKUP(A8,companies!$B:$D,3,FALSE)</f>
        <v> US02209S1033</v>
      </c>
      <c r="D8" s="13" t="b">
        <f t="shared" si="1"/>
        <v>0</v>
      </c>
    </row>
    <row r="9" ht="12.75" customHeight="1">
      <c r="A9" s="13" t="s">
        <v>99</v>
      </c>
      <c r="B9" s="75" t="s">
        <v>101</v>
      </c>
      <c r="C9" s="71" t="str">
        <f>VLOOKUP(A9,companies!$B:$D,3,FALSE)</f>
        <v/>
      </c>
      <c r="D9" s="13" t="b">
        <f t="shared" si="1"/>
        <v>0</v>
      </c>
    </row>
    <row r="10" ht="12.75" customHeight="1">
      <c r="A10" s="13" t="s">
        <v>102</v>
      </c>
      <c r="B10" s="75" t="s">
        <v>105</v>
      </c>
      <c r="C10" s="71" t="str">
        <f>VLOOKUP(A10,companies!$B:$D,3,FALSE)</f>
        <v> US0258161092</v>
      </c>
      <c r="D10" s="13" t="b">
        <f t="shared" si="1"/>
        <v>0</v>
      </c>
    </row>
    <row r="11" ht="12.75" customHeight="1">
      <c r="A11" s="22" t="s">
        <v>107</v>
      </c>
      <c r="B11" s="75" t="s">
        <v>111</v>
      </c>
      <c r="C11" s="71" t="str">
        <f>VLOOKUP(A11,companies!$B:$D,3,FALSE)</f>
        <v> US0268747849</v>
      </c>
      <c r="D11" s="13" t="b">
        <f t="shared" si="1"/>
        <v>0</v>
      </c>
    </row>
    <row r="12" ht="12.75" customHeight="1">
      <c r="A12" s="22" t="s">
        <v>113</v>
      </c>
      <c r="B12" s="75" t="s">
        <v>116</v>
      </c>
      <c r="C12" s="71" t="str">
        <f>VLOOKUP(A12,companies!$B:$D,3,FALSE)</f>
        <v> US03027X1000</v>
      </c>
      <c r="D12" s="13" t="b">
        <f t="shared" si="1"/>
        <v>0</v>
      </c>
    </row>
    <row r="13" ht="12.75" customHeight="1">
      <c r="A13" s="13" t="s">
        <v>118</v>
      </c>
      <c r="B13" s="75" t="s">
        <v>122</v>
      </c>
      <c r="C13" s="71" t="str">
        <f>VLOOKUP(A13,companies!$B:$D,3,FALSE)</f>
        <v> US0311621009</v>
      </c>
      <c r="D13" s="13" t="b">
        <f t="shared" si="1"/>
        <v>0</v>
      </c>
    </row>
    <row r="14" ht="12.75" customHeight="1">
      <c r="A14" s="13" t="s">
        <v>124</v>
      </c>
      <c r="B14" s="75" t="s">
        <v>128</v>
      </c>
      <c r="C14" s="71" t="str">
        <f>VLOOKUP(A14,companies!$B:$D,3,FALSE)</f>
        <v> US0378331005</v>
      </c>
      <c r="D14" s="13" t="b">
        <f t="shared" si="1"/>
        <v>0</v>
      </c>
    </row>
    <row r="15" ht="12.75" customHeight="1">
      <c r="A15" s="13" t="s">
        <v>130</v>
      </c>
      <c r="B15" s="75" t="s">
        <v>134</v>
      </c>
      <c r="C15" s="71" t="str">
        <f>VLOOKUP(A15,companies!$B:$D,3,FALSE)</f>
        <v> US00206R1023</v>
      </c>
      <c r="D15" s="13" t="b">
        <f t="shared" si="1"/>
        <v>0</v>
      </c>
    </row>
    <row r="16" ht="12.75" customHeight="1">
      <c r="A16" s="13" t="s">
        <v>136</v>
      </c>
      <c r="B16" s="75" t="s">
        <v>139</v>
      </c>
      <c r="C16" s="71" t="str">
        <f>VLOOKUP(A16,companies!$B:$D,3,FALSE)</f>
        <v> US0605051046</v>
      </c>
      <c r="D16" s="13" t="b">
        <f t="shared" si="1"/>
        <v>0</v>
      </c>
    </row>
    <row r="17" ht="12.75" customHeight="1">
      <c r="A17" s="22" t="s">
        <v>141</v>
      </c>
      <c r="B17" s="75" t="s">
        <v>143</v>
      </c>
      <c r="C17" s="71" t="str">
        <f>VLOOKUP(A17,companies!$B:$D,3,FALSE)</f>
        <v/>
      </c>
      <c r="D17" s="13" t="b">
        <f t="shared" si="1"/>
        <v>0</v>
      </c>
    </row>
    <row r="18" ht="12.75" customHeight="1">
      <c r="A18" s="22" t="s">
        <v>144</v>
      </c>
      <c r="B18" s="75" t="s">
        <v>148</v>
      </c>
      <c r="C18" s="71" t="str">
        <f>VLOOKUP(A18,companies!$B:$D,3,FALSE)</f>
        <v> US09062X1037</v>
      </c>
      <c r="D18" s="13" t="b">
        <f t="shared" si="1"/>
        <v>0</v>
      </c>
    </row>
    <row r="19" ht="12.75" customHeight="1">
      <c r="A19" s="22" t="s">
        <v>150</v>
      </c>
      <c r="B19" s="72" t="s">
        <v>154</v>
      </c>
      <c r="C19" s="71" t="str">
        <f>VLOOKUP(A19,companies!$B:$D,3,FALSE)</f>
        <v> US09247X1019</v>
      </c>
      <c r="D19" s="13" t="b">
        <f t="shared" si="1"/>
        <v>0</v>
      </c>
    </row>
    <row r="20" ht="12.75" customHeight="1">
      <c r="A20" s="22" t="s">
        <v>156</v>
      </c>
      <c r="B20" s="75" t="s">
        <v>159</v>
      </c>
      <c r="C20" s="71" t="str">
        <f>VLOOKUP(A20,companies!$B:$D,3,FALSE)</f>
        <v> US0970231058</v>
      </c>
      <c r="D20" s="13" t="b">
        <f t="shared" si="1"/>
        <v>0</v>
      </c>
    </row>
    <row r="21" ht="12.75" customHeight="1">
      <c r="A21" s="22" t="s">
        <v>161</v>
      </c>
      <c r="B21" s="75" t="s">
        <v>163</v>
      </c>
      <c r="C21" s="71" t="str">
        <f>VLOOKUP(A21,companies!$B:$D,3,FALSE)</f>
        <v>US09857L1089</v>
      </c>
      <c r="D21" s="13" t="b">
        <f t="shared" si="1"/>
        <v>1</v>
      </c>
    </row>
    <row r="22" ht="12.75" customHeight="1">
      <c r="A22" s="22" t="s">
        <v>164</v>
      </c>
      <c r="B22" s="75" t="s">
        <v>167</v>
      </c>
      <c r="C22" s="71" t="str">
        <f>VLOOKUP(A22,companies!$B:$D,3,FALSE)</f>
        <v> US1101221083</v>
      </c>
      <c r="D22" s="13" t="b">
        <f t="shared" si="1"/>
        <v>0</v>
      </c>
    </row>
    <row r="23" ht="12.75" customHeight="1">
      <c r="A23" s="22" t="s">
        <v>169</v>
      </c>
      <c r="B23" s="75" t="s">
        <v>173</v>
      </c>
      <c r="C23" s="71" t="str">
        <f>VLOOKUP(A23,companies!$B:$D,3,FALSE)</f>
        <v> US14040H1059</v>
      </c>
      <c r="D23" s="13" t="b">
        <f t="shared" si="1"/>
        <v>0</v>
      </c>
    </row>
    <row r="24" ht="12.75" customHeight="1">
      <c r="A24" s="22" t="s">
        <v>175</v>
      </c>
      <c r="B24" s="75" t="s">
        <v>177</v>
      </c>
      <c r="C24" s="71" t="str">
        <f>VLOOKUP(A24,companies!$B:$D,3,FALSE)</f>
        <v>US1491231015</v>
      </c>
      <c r="D24" s="13" t="b">
        <f t="shared" si="1"/>
        <v>1</v>
      </c>
    </row>
    <row r="25" ht="12.75" customHeight="1">
      <c r="A25" s="22" t="s">
        <v>178</v>
      </c>
      <c r="B25" s="75" t="s">
        <v>180</v>
      </c>
      <c r="C25" s="71" t="str">
        <f>VLOOKUP(A25,companies!$B:$D,3,FALSE)</f>
        <v>US16119P1084</v>
      </c>
      <c r="D25" s="13" t="b">
        <f t="shared" si="1"/>
        <v>1</v>
      </c>
    </row>
    <row r="26" ht="12.75" customHeight="1">
      <c r="A26" s="22" t="s">
        <v>181</v>
      </c>
      <c r="B26" s="75" t="s">
        <v>182</v>
      </c>
      <c r="C26" s="71" t="str">
        <f>VLOOKUP(A26,companies!$B:$D,3,FALSE)</f>
        <v>US1667641005</v>
      </c>
      <c r="D26" s="13" t="b">
        <f t="shared" si="1"/>
        <v>1</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71"/>
    <col customWidth="1" min="2" max="20" width="12.57"/>
    <col customWidth="1" min="21" max="26" width="8.71"/>
  </cols>
  <sheetData>
    <row r="1" ht="14.25" customHeight="1">
      <c r="A1" s="1" t="s">
        <v>0</v>
      </c>
      <c r="B1" s="1" t="s">
        <v>2</v>
      </c>
      <c r="C1" s="1" t="s">
        <v>27</v>
      </c>
      <c r="D1" s="1" t="s">
        <v>28</v>
      </c>
      <c r="E1" s="1" t="s">
        <v>29</v>
      </c>
      <c r="F1" s="1" t="s">
        <v>30</v>
      </c>
      <c r="G1" s="1" t="s">
        <v>31</v>
      </c>
      <c r="H1" s="1" t="s">
        <v>32</v>
      </c>
      <c r="I1" s="1" t="s">
        <v>33</v>
      </c>
      <c r="J1" s="1" t="s">
        <v>34</v>
      </c>
      <c r="K1" s="1" t="s">
        <v>35</v>
      </c>
      <c r="L1" s="1" t="s">
        <v>36</v>
      </c>
      <c r="M1" s="1" t="s">
        <v>37</v>
      </c>
      <c r="N1" s="1" t="s">
        <v>38</v>
      </c>
      <c r="O1" s="1" t="s">
        <v>39</v>
      </c>
      <c r="P1" s="1" t="s">
        <v>40</v>
      </c>
      <c r="Q1" s="11" t="s">
        <v>41</v>
      </c>
      <c r="R1" s="1" t="s">
        <v>42</v>
      </c>
      <c r="S1" s="1" t="s">
        <v>43</v>
      </c>
      <c r="T1" s="1" t="s">
        <v>44</v>
      </c>
      <c r="U1" s="3"/>
      <c r="V1" s="3"/>
      <c r="W1" s="3"/>
      <c r="X1" s="3"/>
      <c r="Y1" s="3"/>
      <c r="Z1" s="3"/>
    </row>
    <row r="2" ht="14.25" customHeight="1">
      <c r="A2" s="5" t="s">
        <v>22</v>
      </c>
      <c r="B2" s="5" t="s">
        <v>45</v>
      </c>
      <c r="C2" s="5" t="s">
        <v>23</v>
      </c>
      <c r="D2" s="5" t="s">
        <v>46</v>
      </c>
      <c r="E2" s="5" t="s">
        <v>47</v>
      </c>
      <c r="F2" s="5" t="s">
        <v>48</v>
      </c>
      <c r="G2" s="5"/>
      <c r="H2" s="1"/>
      <c r="I2" s="1"/>
      <c r="J2" s="5" t="s">
        <v>49</v>
      </c>
      <c r="K2" s="5">
        <v>4050000.0</v>
      </c>
      <c r="L2" s="5">
        <v>1780000.0</v>
      </c>
      <c r="M2" s="5">
        <v>1320000.0</v>
      </c>
      <c r="N2" s="5">
        <v>5370000.0</v>
      </c>
      <c r="O2" s="5">
        <v>8925800.0</v>
      </c>
      <c r="P2" s="12">
        <v>3.2136E10</v>
      </c>
      <c r="Q2" s="1"/>
      <c r="R2" s="1"/>
      <c r="S2" s="1"/>
      <c r="T2" s="1"/>
      <c r="U2" s="3"/>
      <c r="V2" s="3"/>
      <c r="W2" s="3"/>
      <c r="X2" s="3"/>
      <c r="Y2" s="3"/>
      <c r="Z2" s="3"/>
    </row>
    <row r="3" ht="14.25" customHeight="1">
      <c r="A3" s="5"/>
      <c r="B3" s="5"/>
      <c r="C3" s="5"/>
      <c r="D3" s="5"/>
      <c r="E3" s="5"/>
      <c r="F3" s="5"/>
      <c r="G3" s="5"/>
      <c r="H3" s="1"/>
      <c r="I3" s="1"/>
      <c r="J3" s="5"/>
      <c r="K3" s="5"/>
      <c r="L3" s="5"/>
      <c r="M3" s="5"/>
      <c r="N3" s="5"/>
      <c r="O3" s="5"/>
      <c r="P3" s="12"/>
      <c r="Q3" s="1"/>
      <c r="R3" s="1"/>
      <c r="S3" s="1"/>
      <c r="T3" s="1"/>
      <c r="U3" s="3"/>
      <c r="V3" s="3"/>
      <c r="W3" s="3"/>
      <c r="X3" s="3"/>
      <c r="Y3" s="3"/>
      <c r="Z3" s="3"/>
    </row>
    <row r="4" ht="14.25" customHeight="1">
      <c r="A4" s="5"/>
      <c r="B4" s="5"/>
      <c r="C4" s="5"/>
      <c r="D4" s="5"/>
      <c r="E4" s="5"/>
      <c r="F4" s="5"/>
      <c r="G4" s="5"/>
      <c r="H4" s="1"/>
      <c r="I4" s="1"/>
      <c r="J4" s="5"/>
      <c r="K4" s="5"/>
      <c r="L4" s="5"/>
      <c r="M4" s="5"/>
      <c r="N4" s="5"/>
      <c r="O4" s="5"/>
      <c r="P4" s="12"/>
      <c r="Q4" s="1"/>
      <c r="R4" s="1"/>
      <c r="S4" s="1"/>
      <c r="T4" s="1"/>
      <c r="U4" s="3"/>
      <c r="V4" s="3"/>
      <c r="W4" s="3"/>
      <c r="X4" s="3"/>
      <c r="Y4" s="3"/>
      <c r="Z4" s="3"/>
    </row>
    <row r="5" ht="14.25" customHeight="1">
      <c r="A5" s="5"/>
      <c r="B5" s="5"/>
      <c r="C5" s="5"/>
      <c r="D5" s="5"/>
      <c r="E5" s="5"/>
      <c r="F5" s="5"/>
      <c r="G5" s="5"/>
      <c r="H5" s="1"/>
      <c r="I5" s="1"/>
      <c r="J5" s="5"/>
      <c r="K5" s="5"/>
      <c r="L5" s="5"/>
      <c r="M5" s="5"/>
      <c r="N5" s="5"/>
      <c r="O5" s="5"/>
      <c r="P5" s="12"/>
      <c r="Q5" s="1"/>
      <c r="R5" s="1"/>
      <c r="S5" s="1"/>
      <c r="T5" s="1"/>
      <c r="U5" s="3"/>
      <c r="V5" s="3"/>
      <c r="W5" s="3"/>
      <c r="X5" s="3"/>
      <c r="Y5" s="3"/>
      <c r="Z5" s="3"/>
    </row>
    <row r="6" ht="14.25" customHeight="1">
      <c r="A6" s="5"/>
      <c r="B6" s="5"/>
      <c r="C6" s="5"/>
      <c r="D6" s="5"/>
      <c r="E6" s="5"/>
      <c r="F6" s="5"/>
      <c r="G6" s="5"/>
      <c r="H6" s="1"/>
      <c r="I6" s="1"/>
      <c r="J6" s="5"/>
      <c r="K6" s="5"/>
      <c r="L6" s="5"/>
      <c r="M6" s="5"/>
      <c r="N6" s="5"/>
      <c r="O6" s="5"/>
      <c r="P6" s="12"/>
      <c r="Q6" s="1"/>
      <c r="R6" s="1"/>
      <c r="S6" s="1"/>
      <c r="T6" s="1"/>
      <c r="U6" s="3"/>
      <c r="V6" s="3"/>
      <c r="W6" s="3"/>
      <c r="X6" s="3"/>
      <c r="Y6" s="3"/>
      <c r="Z6" s="3"/>
    </row>
    <row r="7" ht="14.25" customHeight="1">
      <c r="A7" s="5"/>
      <c r="B7" s="5"/>
      <c r="C7" s="5"/>
      <c r="D7" s="5"/>
      <c r="E7" s="5"/>
      <c r="F7" s="5"/>
      <c r="G7" s="5"/>
      <c r="H7" s="1"/>
      <c r="I7" s="1"/>
      <c r="J7" s="5"/>
      <c r="K7" s="5"/>
      <c r="L7" s="5"/>
      <c r="M7" s="5"/>
      <c r="N7" s="5"/>
      <c r="O7" s="5"/>
      <c r="P7" s="12"/>
      <c r="Q7" s="1"/>
      <c r="R7" s="1"/>
      <c r="S7" s="1"/>
      <c r="T7" s="1"/>
      <c r="U7" s="3"/>
      <c r="V7" s="3"/>
      <c r="W7" s="3"/>
      <c r="X7" s="3"/>
      <c r="Y7" s="3"/>
      <c r="Z7" s="3"/>
    </row>
    <row r="8" ht="14.25" customHeight="1">
      <c r="A8" s="5"/>
      <c r="B8" s="5"/>
      <c r="C8" s="5"/>
      <c r="D8" s="5"/>
      <c r="E8" s="5"/>
      <c r="F8" s="5"/>
      <c r="G8" s="5"/>
      <c r="H8" s="1"/>
      <c r="I8" s="1"/>
      <c r="J8" s="5"/>
      <c r="K8" s="5"/>
      <c r="L8" s="5"/>
      <c r="M8" s="5"/>
      <c r="N8" s="5"/>
      <c r="O8" s="5"/>
      <c r="P8" s="12"/>
      <c r="Q8" s="1"/>
      <c r="R8" s="1"/>
      <c r="S8" s="1"/>
      <c r="T8" s="1"/>
      <c r="U8" s="3"/>
      <c r="V8" s="3"/>
      <c r="W8" s="3"/>
      <c r="X8" s="3"/>
      <c r="Y8" s="3"/>
      <c r="Z8" s="3"/>
    </row>
    <row r="9" ht="14.25" customHeight="1">
      <c r="A9" s="5"/>
      <c r="B9" s="5"/>
      <c r="C9" s="5"/>
      <c r="D9" s="5"/>
      <c r="E9" s="5"/>
      <c r="F9" s="5"/>
      <c r="G9" s="5"/>
      <c r="H9" s="1"/>
      <c r="I9" s="1"/>
      <c r="J9" s="5"/>
      <c r="K9" s="5"/>
      <c r="L9" s="5"/>
      <c r="M9" s="5"/>
      <c r="N9" s="5"/>
      <c r="O9" s="5"/>
      <c r="P9" s="12"/>
      <c r="Q9" s="1"/>
      <c r="R9" s="1"/>
      <c r="S9" s="1"/>
      <c r="T9" s="1"/>
      <c r="U9" s="3"/>
      <c r="V9" s="3"/>
      <c r="W9" s="3"/>
      <c r="X9" s="3"/>
      <c r="Y9" s="3"/>
      <c r="Z9" s="3"/>
    </row>
    <row r="10" ht="14.25" customHeight="1">
      <c r="A10" s="5"/>
      <c r="B10" s="5"/>
      <c r="C10" s="5"/>
      <c r="D10" s="5"/>
      <c r="E10" s="5"/>
      <c r="F10" s="5"/>
      <c r="G10" s="5"/>
      <c r="H10" s="1"/>
      <c r="I10" s="1"/>
      <c r="J10" s="5"/>
      <c r="K10" s="5"/>
      <c r="L10" s="5"/>
      <c r="M10" s="5"/>
      <c r="N10" s="5"/>
      <c r="O10" s="5"/>
      <c r="P10" s="12"/>
      <c r="Q10" s="1"/>
      <c r="R10" s="1"/>
      <c r="S10" s="1"/>
      <c r="T10" s="1"/>
      <c r="U10" s="3"/>
      <c r="V10" s="3"/>
      <c r="W10" s="3"/>
      <c r="X10" s="3"/>
      <c r="Y10" s="3"/>
      <c r="Z10" s="3"/>
    </row>
    <row r="11" ht="14.25" customHeight="1">
      <c r="A11" s="5"/>
      <c r="B11" s="5"/>
      <c r="C11" s="5"/>
      <c r="D11" s="5"/>
      <c r="E11" s="5"/>
      <c r="F11" s="5"/>
      <c r="G11" s="5"/>
      <c r="H11" s="1"/>
      <c r="I11" s="1"/>
      <c r="J11" s="5"/>
      <c r="K11" s="5"/>
      <c r="L11" s="5"/>
      <c r="M11" s="5"/>
      <c r="N11" s="5"/>
      <c r="O11" s="5"/>
      <c r="P11" s="12"/>
      <c r="Q11" s="1"/>
      <c r="R11" s="1"/>
      <c r="S11" s="1"/>
      <c r="T11" s="1"/>
      <c r="U11" s="3"/>
      <c r="V11" s="3"/>
      <c r="W11" s="3"/>
      <c r="X11" s="3"/>
      <c r="Y11" s="3"/>
      <c r="Z11" s="3"/>
    </row>
    <row r="12" ht="14.25" customHeight="1">
      <c r="A12" s="5"/>
      <c r="B12" s="5"/>
      <c r="C12" s="5"/>
      <c r="D12" s="5"/>
      <c r="E12" s="5"/>
      <c r="F12" s="5"/>
      <c r="G12" s="5"/>
      <c r="H12" s="1"/>
      <c r="I12" s="1"/>
      <c r="J12" s="5"/>
      <c r="K12" s="5"/>
      <c r="L12" s="5"/>
      <c r="M12" s="5"/>
      <c r="N12" s="5"/>
      <c r="O12" s="5"/>
      <c r="P12" s="12"/>
      <c r="Q12" s="1"/>
      <c r="R12" s="1"/>
      <c r="S12" s="1"/>
      <c r="T12" s="1"/>
      <c r="U12" s="3"/>
      <c r="V12" s="3"/>
      <c r="W12" s="3"/>
      <c r="X12" s="3"/>
      <c r="Y12" s="3"/>
      <c r="Z12" s="3"/>
    </row>
    <row r="13" ht="14.25" customHeight="1">
      <c r="A13" s="5"/>
      <c r="B13" s="5"/>
      <c r="C13" s="5"/>
      <c r="D13" s="5"/>
      <c r="E13" s="5"/>
      <c r="F13" s="5"/>
      <c r="G13" s="5"/>
      <c r="H13" s="1"/>
      <c r="I13" s="1"/>
      <c r="J13" s="5"/>
      <c r="K13" s="5"/>
      <c r="L13" s="5"/>
      <c r="M13" s="5"/>
      <c r="N13" s="5"/>
      <c r="O13" s="5"/>
      <c r="P13" s="12"/>
      <c r="Q13" s="1"/>
      <c r="R13" s="1"/>
      <c r="S13" s="1"/>
      <c r="T13" s="1"/>
      <c r="U13" s="3"/>
      <c r="V13" s="3"/>
      <c r="W13" s="3"/>
      <c r="X13" s="3"/>
      <c r="Y13" s="3"/>
      <c r="Z13" s="3"/>
    </row>
    <row r="14" ht="14.25" customHeight="1">
      <c r="A14" s="5"/>
      <c r="B14" s="5"/>
      <c r="C14" s="5"/>
      <c r="D14" s="5"/>
      <c r="E14" s="5"/>
      <c r="F14" s="5"/>
      <c r="G14" s="5"/>
      <c r="H14" s="1"/>
      <c r="I14" s="1"/>
      <c r="J14" s="5"/>
      <c r="K14" s="5"/>
      <c r="L14" s="5"/>
      <c r="M14" s="5"/>
      <c r="N14" s="5"/>
      <c r="O14" s="5"/>
      <c r="P14" s="12"/>
      <c r="Q14" s="1"/>
      <c r="R14" s="1"/>
      <c r="S14" s="1"/>
      <c r="T14" s="1"/>
      <c r="U14" s="3"/>
      <c r="V14" s="3"/>
      <c r="W14" s="3"/>
      <c r="X14" s="3"/>
      <c r="Y14" s="3"/>
      <c r="Z14" s="3"/>
    </row>
    <row r="15" ht="14.25" customHeight="1">
      <c r="A15" s="5"/>
      <c r="B15" s="5"/>
      <c r="C15" s="5"/>
      <c r="D15" s="5"/>
      <c r="E15" s="5"/>
      <c r="F15" s="5"/>
      <c r="G15" s="5"/>
      <c r="H15" s="1"/>
      <c r="I15" s="1"/>
      <c r="J15" s="5"/>
      <c r="K15" s="5"/>
      <c r="L15" s="5"/>
      <c r="M15" s="5"/>
      <c r="N15" s="5"/>
      <c r="O15" s="5"/>
      <c r="P15" s="12"/>
      <c r="Q15" s="1"/>
      <c r="R15" s="1"/>
      <c r="S15" s="1"/>
      <c r="T15" s="1"/>
      <c r="U15" s="3"/>
      <c r="V15" s="3"/>
      <c r="W15" s="3"/>
      <c r="X15" s="3"/>
      <c r="Y15" s="3"/>
      <c r="Z15" s="3"/>
    </row>
    <row r="16" ht="14.25" customHeight="1">
      <c r="A16" s="5"/>
      <c r="B16" s="5"/>
      <c r="C16" s="5"/>
      <c r="D16" s="5"/>
      <c r="E16" s="5"/>
      <c r="F16" s="5"/>
      <c r="G16" s="5"/>
      <c r="H16" s="1"/>
      <c r="I16" s="1"/>
      <c r="J16" s="5"/>
      <c r="K16" s="5"/>
      <c r="L16" s="5"/>
      <c r="M16" s="5"/>
      <c r="N16" s="5"/>
      <c r="O16" s="5"/>
      <c r="P16" s="12"/>
      <c r="Q16" s="1"/>
      <c r="R16" s="1"/>
      <c r="S16" s="1"/>
      <c r="T16" s="1"/>
      <c r="U16" s="3"/>
      <c r="V16" s="3"/>
      <c r="W16" s="3"/>
      <c r="X16" s="3"/>
      <c r="Y16" s="3"/>
      <c r="Z16" s="3"/>
    </row>
    <row r="17" ht="14.25" customHeight="1">
      <c r="A17" s="5"/>
      <c r="B17" s="5"/>
      <c r="C17" s="5"/>
      <c r="D17" s="5"/>
      <c r="E17" s="5"/>
      <c r="F17" s="5"/>
      <c r="G17" s="5"/>
      <c r="H17" s="1"/>
      <c r="I17" s="1"/>
      <c r="J17" s="5"/>
      <c r="K17" s="5"/>
      <c r="L17" s="5"/>
      <c r="M17" s="5"/>
      <c r="N17" s="5"/>
      <c r="O17" s="5"/>
      <c r="P17" s="12"/>
      <c r="Q17" s="1"/>
      <c r="R17" s="1"/>
      <c r="S17" s="1"/>
      <c r="T17" s="1"/>
      <c r="U17" s="3"/>
      <c r="V17" s="3"/>
      <c r="W17" s="3"/>
      <c r="X17" s="3"/>
      <c r="Y17" s="3"/>
      <c r="Z17" s="3"/>
    </row>
    <row r="18" ht="14.25" customHeight="1">
      <c r="A18" s="5"/>
      <c r="B18" s="5"/>
      <c r="C18" s="5"/>
      <c r="D18" s="5"/>
      <c r="E18" s="5"/>
      <c r="F18" s="5"/>
      <c r="G18" s="5"/>
      <c r="H18" s="1"/>
      <c r="I18" s="1"/>
      <c r="J18" s="5"/>
      <c r="K18" s="5"/>
      <c r="L18" s="5"/>
      <c r="M18" s="5"/>
      <c r="N18" s="5"/>
      <c r="O18" s="5"/>
      <c r="P18" s="12"/>
      <c r="Q18" s="1"/>
      <c r="R18" s="1"/>
      <c r="S18" s="1"/>
      <c r="T18" s="1"/>
      <c r="U18" s="3"/>
      <c r="V18" s="3"/>
      <c r="W18" s="3"/>
      <c r="X18" s="3"/>
      <c r="Y18" s="3"/>
      <c r="Z18" s="3"/>
    </row>
    <row r="19" ht="14.25" customHeight="1">
      <c r="A19" s="5"/>
      <c r="B19" s="5"/>
      <c r="C19" s="5"/>
      <c r="D19" s="5"/>
      <c r="E19" s="5"/>
      <c r="F19" s="5"/>
      <c r="G19" s="5"/>
      <c r="H19" s="1"/>
      <c r="I19" s="1"/>
      <c r="J19" s="5"/>
      <c r="K19" s="5"/>
      <c r="L19" s="5"/>
      <c r="M19" s="5"/>
      <c r="N19" s="5"/>
      <c r="O19" s="5"/>
      <c r="P19" s="12"/>
      <c r="Q19" s="1"/>
      <c r="R19" s="1"/>
      <c r="S19" s="1"/>
      <c r="T19" s="1"/>
      <c r="U19" s="3"/>
      <c r="V19" s="3"/>
      <c r="W19" s="3"/>
      <c r="X19" s="3"/>
      <c r="Y19" s="3"/>
      <c r="Z19" s="3"/>
    </row>
    <row r="20" ht="14.25" customHeight="1">
      <c r="A20" s="5"/>
      <c r="B20" s="5"/>
      <c r="C20" s="5"/>
      <c r="D20" s="5"/>
      <c r="E20" s="5"/>
      <c r="F20" s="5"/>
      <c r="G20" s="5"/>
      <c r="H20" s="1"/>
      <c r="I20" s="1"/>
      <c r="J20" s="5"/>
      <c r="K20" s="5"/>
      <c r="L20" s="5"/>
      <c r="M20" s="5"/>
      <c r="N20" s="5"/>
      <c r="O20" s="5"/>
      <c r="P20" s="12"/>
      <c r="Q20" s="1"/>
      <c r="R20" s="1"/>
      <c r="S20" s="1"/>
      <c r="T20" s="1"/>
      <c r="U20" s="3"/>
      <c r="V20" s="3"/>
      <c r="W20" s="3"/>
      <c r="X20" s="3"/>
      <c r="Y20" s="3"/>
      <c r="Z20" s="3"/>
    </row>
    <row r="21" ht="14.25" customHeight="1">
      <c r="A21" s="5"/>
      <c r="B21" s="5"/>
      <c r="C21" s="5"/>
      <c r="D21" s="5"/>
      <c r="E21" s="5"/>
      <c r="F21" s="5"/>
      <c r="G21" s="5"/>
      <c r="H21" s="1"/>
      <c r="I21" s="1"/>
      <c r="J21" s="5"/>
      <c r="K21" s="5"/>
      <c r="L21" s="5"/>
      <c r="M21" s="5"/>
      <c r="N21" s="5"/>
      <c r="O21" s="5"/>
      <c r="P21" s="12"/>
      <c r="Q21" s="1"/>
      <c r="R21" s="1"/>
      <c r="S21" s="1"/>
      <c r="T21" s="1"/>
      <c r="U21" s="3"/>
      <c r="V21" s="3"/>
      <c r="W21" s="3"/>
      <c r="X21" s="3"/>
      <c r="Y21" s="3"/>
      <c r="Z21" s="3"/>
    </row>
    <row r="22" ht="14.25" customHeight="1">
      <c r="A22" s="5"/>
      <c r="B22" s="5"/>
      <c r="C22" s="5"/>
      <c r="D22" s="5"/>
      <c r="E22" s="5"/>
      <c r="F22" s="5"/>
      <c r="G22" s="5"/>
      <c r="H22" s="1"/>
      <c r="I22" s="1"/>
      <c r="J22" s="5"/>
      <c r="K22" s="5"/>
      <c r="L22" s="5"/>
      <c r="M22" s="5"/>
      <c r="N22" s="5"/>
      <c r="O22" s="5"/>
      <c r="P22" s="12"/>
      <c r="Q22" s="1"/>
      <c r="R22" s="1"/>
      <c r="S22" s="1"/>
      <c r="T22" s="1"/>
      <c r="U22" s="3"/>
      <c r="V22" s="3"/>
      <c r="W22" s="3"/>
      <c r="X22" s="3"/>
      <c r="Y22" s="3"/>
      <c r="Z22" s="3"/>
    </row>
    <row r="23" ht="14.25" customHeight="1">
      <c r="A23" s="5"/>
      <c r="B23" s="5"/>
      <c r="C23" s="5"/>
      <c r="D23" s="5"/>
      <c r="E23" s="5"/>
      <c r="F23" s="5"/>
      <c r="G23" s="5"/>
      <c r="H23" s="1"/>
      <c r="I23" s="1"/>
      <c r="J23" s="5"/>
      <c r="K23" s="5"/>
      <c r="L23" s="5"/>
      <c r="M23" s="5"/>
      <c r="N23" s="5"/>
      <c r="O23" s="5"/>
      <c r="P23" s="12"/>
      <c r="Q23" s="1"/>
      <c r="R23" s="1"/>
      <c r="S23" s="1"/>
      <c r="T23" s="1"/>
      <c r="U23" s="3"/>
      <c r="V23" s="3"/>
      <c r="W23" s="3"/>
      <c r="X23" s="3"/>
      <c r="Y23" s="3"/>
      <c r="Z23" s="3"/>
    </row>
    <row r="24" ht="14.25" customHeight="1">
      <c r="A24" s="5"/>
      <c r="B24" s="5"/>
      <c r="C24" s="5"/>
      <c r="D24" s="5"/>
      <c r="E24" s="5"/>
      <c r="F24" s="5"/>
      <c r="G24" s="5"/>
      <c r="H24" s="1"/>
      <c r="I24" s="1"/>
      <c r="J24" s="5"/>
      <c r="K24" s="5"/>
      <c r="L24" s="5"/>
      <c r="M24" s="5"/>
      <c r="N24" s="5"/>
      <c r="O24" s="5"/>
      <c r="P24" s="12"/>
      <c r="Q24" s="1"/>
      <c r="R24" s="1"/>
      <c r="S24" s="1"/>
      <c r="T24" s="1"/>
      <c r="U24" s="3"/>
      <c r="V24" s="3"/>
      <c r="W24" s="3"/>
      <c r="X24" s="3"/>
      <c r="Y24" s="3"/>
      <c r="Z24" s="3"/>
    </row>
    <row r="25" ht="14.25" customHeight="1">
      <c r="A25" s="5"/>
      <c r="B25" s="5"/>
      <c r="C25" s="5"/>
      <c r="D25" s="5"/>
      <c r="E25" s="5"/>
      <c r="F25" s="5"/>
      <c r="G25" s="5"/>
      <c r="H25" s="1"/>
      <c r="I25" s="1"/>
      <c r="J25" s="5"/>
      <c r="K25" s="5"/>
      <c r="L25" s="5"/>
      <c r="M25" s="5"/>
      <c r="N25" s="5"/>
      <c r="O25" s="5"/>
      <c r="P25" s="12"/>
      <c r="Q25" s="1"/>
      <c r="R25" s="1"/>
      <c r="S25" s="1"/>
      <c r="T25" s="1"/>
      <c r="U25" s="3"/>
      <c r="V25" s="3"/>
      <c r="W25" s="3"/>
      <c r="X25" s="3"/>
      <c r="Y25" s="3"/>
      <c r="Z25" s="3"/>
    </row>
    <row r="26" ht="14.25" customHeight="1">
      <c r="A26" s="5"/>
      <c r="B26" s="5"/>
      <c r="C26" s="5"/>
      <c r="D26" s="5"/>
      <c r="E26" s="5"/>
      <c r="F26" s="5"/>
      <c r="G26" s="5"/>
      <c r="H26" s="1"/>
      <c r="I26" s="1"/>
      <c r="J26" s="5"/>
      <c r="K26" s="5"/>
      <c r="L26" s="5"/>
      <c r="M26" s="5"/>
      <c r="N26" s="5"/>
      <c r="O26" s="5"/>
      <c r="P26" s="12"/>
      <c r="Q26" s="1"/>
      <c r="R26" s="1"/>
      <c r="S26" s="1"/>
      <c r="T26" s="1"/>
      <c r="U26" s="3"/>
      <c r="V26" s="3"/>
      <c r="W26" s="3"/>
      <c r="X26" s="3"/>
      <c r="Y26" s="3"/>
      <c r="Z26" s="3"/>
    </row>
    <row r="27" ht="14.25" customHeight="1">
      <c r="A27" s="5"/>
      <c r="B27" s="5"/>
      <c r="C27" s="5"/>
      <c r="D27" s="5"/>
      <c r="E27" s="5"/>
      <c r="F27" s="5"/>
      <c r="G27" s="5"/>
      <c r="H27" s="1"/>
      <c r="I27" s="1"/>
      <c r="J27" s="5"/>
      <c r="K27" s="5"/>
      <c r="L27" s="5"/>
      <c r="M27" s="5"/>
      <c r="N27" s="5"/>
      <c r="O27" s="5"/>
      <c r="P27" s="12"/>
      <c r="Q27" s="1"/>
      <c r="R27" s="1"/>
      <c r="S27" s="1"/>
      <c r="T27" s="1"/>
      <c r="U27" s="3"/>
      <c r="V27" s="3"/>
      <c r="W27" s="3"/>
      <c r="X27" s="3"/>
      <c r="Y27" s="3"/>
      <c r="Z27" s="3"/>
    </row>
    <row r="28" ht="14.25" customHeight="1">
      <c r="A28" s="5"/>
      <c r="B28" s="5"/>
      <c r="C28" s="5"/>
      <c r="D28" s="5"/>
      <c r="E28" s="5"/>
      <c r="F28" s="5"/>
      <c r="G28" s="5"/>
      <c r="H28" s="1"/>
      <c r="I28" s="1"/>
      <c r="J28" s="5"/>
      <c r="K28" s="5"/>
      <c r="L28" s="5"/>
      <c r="M28" s="5"/>
      <c r="N28" s="5"/>
      <c r="O28" s="5"/>
      <c r="P28" s="12"/>
      <c r="Q28" s="1"/>
      <c r="R28" s="1"/>
      <c r="S28" s="1"/>
      <c r="T28" s="1"/>
      <c r="U28" s="3"/>
      <c r="V28" s="3"/>
      <c r="W28" s="3"/>
      <c r="X28" s="3"/>
      <c r="Y28" s="3"/>
      <c r="Z28" s="3"/>
    </row>
    <row r="29" ht="14.25" customHeight="1">
      <c r="A29" s="5"/>
      <c r="B29" s="5"/>
      <c r="C29" s="5"/>
      <c r="D29" s="5"/>
      <c r="E29" s="5"/>
      <c r="F29" s="5"/>
      <c r="G29" s="5"/>
      <c r="H29" s="1"/>
      <c r="I29" s="1"/>
      <c r="J29" s="5"/>
      <c r="K29" s="5"/>
      <c r="L29" s="5"/>
      <c r="M29" s="5"/>
      <c r="N29" s="5"/>
      <c r="O29" s="5"/>
      <c r="P29" s="12"/>
      <c r="Q29" s="1"/>
      <c r="R29" s="1"/>
      <c r="S29" s="1"/>
      <c r="T29" s="1"/>
      <c r="U29" s="3"/>
      <c r="V29" s="3"/>
      <c r="W29" s="3"/>
      <c r="X29" s="3"/>
      <c r="Y29" s="3"/>
      <c r="Z29" s="3"/>
    </row>
    <row r="30" ht="14.25" customHeight="1">
      <c r="A30" s="5"/>
      <c r="B30" s="5"/>
      <c r="C30" s="5"/>
      <c r="D30" s="5"/>
      <c r="E30" s="5"/>
      <c r="F30" s="5"/>
      <c r="G30" s="5"/>
      <c r="H30" s="1"/>
      <c r="I30" s="1"/>
      <c r="J30" s="5"/>
      <c r="K30" s="5"/>
      <c r="L30" s="5"/>
      <c r="M30" s="5"/>
      <c r="N30" s="5"/>
      <c r="O30" s="5"/>
      <c r="P30" s="12"/>
      <c r="Q30" s="1"/>
      <c r="R30" s="1"/>
      <c r="S30" s="1"/>
      <c r="T30" s="1"/>
      <c r="U30" s="3"/>
      <c r="V30" s="3"/>
      <c r="W30" s="3"/>
      <c r="X30" s="3"/>
      <c r="Y30" s="3"/>
      <c r="Z30" s="3"/>
    </row>
    <row r="31" ht="14.25" customHeight="1">
      <c r="A31" s="5"/>
      <c r="B31" s="5"/>
      <c r="C31" s="5"/>
      <c r="D31" s="5"/>
      <c r="E31" s="5"/>
      <c r="F31" s="5"/>
      <c r="G31" s="5"/>
      <c r="H31" s="1"/>
      <c r="I31" s="1"/>
      <c r="J31" s="5"/>
      <c r="K31" s="5"/>
      <c r="L31" s="5"/>
      <c r="M31" s="5"/>
      <c r="N31" s="5"/>
      <c r="O31" s="5"/>
      <c r="P31" s="12"/>
      <c r="Q31" s="1"/>
      <c r="R31" s="1"/>
      <c r="S31" s="1"/>
      <c r="T31" s="1"/>
      <c r="U31" s="3"/>
      <c r="V31" s="3"/>
      <c r="W31" s="3"/>
      <c r="X31" s="3"/>
      <c r="Y31" s="3"/>
      <c r="Z31" s="3"/>
    </row>
    <row r="32" ht="14.25" customHeight="1">
      <c r="A32" s="5"/>
      <c r="B32" s="5"/>
      <c r="C32" s="5"/>
      <c r="D32" s="5"/>
      <c r="E32" s="5"/>
      <c r="F32" s="5"/>
      <c r="G32" s="5"/>
      <c r="H32" s="1"/>
      <c r="I32" s="1"/>
      <c r="J32" s="5"/>
      <c r="K32" s="5"/>
      <c r="L32" s="5"/>
      <c r="M32" s="5"/>
      <c r="N32" s="5"/>
      <c r="O32" s="5"/>
      <c r="P32" s="12"/>
      <c r="Q32" s="1"/>
      <c r="R32" s="1"/>
      <c r="S32" s="1"/>
      <c r="T32" s="1"/>
      <c r="U32" s="3"/>
      <c r="V32" s="3"/>
      <c r="W32" s="3"/>
      <c r="X32" s="3"/>
      <c r="Y32" s="3"/>
      <c r="Z32" s="3"/>
    </row>
    <row r="33" ht="14.25" customHeight="1">
      <c r="A33" s="5"/>
      <c r="B33" s="5"/>
      <c r="C33" s="5"/>
      <c r="D33" s="5"/>
      <c r="E33" s="5"/>
      <c r="F33" s="5"/>
      <c r="G33" s="5"/>
      <c r="H33" s="1"/>
      <c r="I33" s="1"/>
      <c r="J33" s="5"/>
      <c r="K33" s="5"/>
      <c r="L33" s="5"/>
      <c r="M33" s="5"/>
      <c r="N33" s="5"/>
      <c r="O33" s="5"/>
      <c r="P33" s="12"/>
      <c r="Q33" s="1"/>
      <c r="R33" s="1"/>
      <c r="S33" s="1"/>
      <c r="T33" s="1"/>
      <c r="U33" s="3"/>
      <c r="V33" s="3"/>
      <c r="W33" s="3"/>
      <c r="X33" s="3"/>
      <c r="Y33" s="3"/>
      <c r="Z33" s="3"/>
    </row>
    <row r="34" ht="14.25" customHeight="1">
      <c r="A34" s="5"/>
      <c r="B34" s="5"/>
      <c r="C34" s="5"/>
      <c r="D34" s="5"/>
      <c r="E34" s="5"/>
      <c r="F34" s="5"/>
      <c r="G34" s="5"/>
      <c r="H34" s="1"/>
      <c r="I34" s="1"/>
      <c r="J34" s="5"/>
      <c r="K34" s="5"/>
      <c r="L34" s="5"/>
      <c r="M34" s="5"/>
      <c r="N34" s="5"/>
      <c r="O34" s="5"/>
      <c r="P34" s="12"/>
      <c r="Q34" s="1"/>
      <c r="R34" s="1"/>
      <c r="S34" s="1"/>
      <c r="T34" s="1"/>
      <c r="U34" s="3"/>
      <c r="V34" s="3"/>
      <c r="W34" s="3"/>
      <c r="X34" s="3"/>
      <c r="Y34" s="3"/>
      <c r="Z34" s="3"/>
    </row>
    <row r="35" ht="14.25" customHeight="1">
      <c r="A35" s="5"/>
      <c r="B35" s="5"/>
      <c r="C35" s="5"/>
      <c r="D35" s="5"/>
      <c r="E35" s="5"/>
      <c r="F35" s="5"/>
      <c r="G35" s="5"/>
      <c r="H35" s="1"/>
      <c r="I35" s="1"/>
      <c r="J35" s="5"/>
      <c r="K35" s="5"/>
      <c r="L35" s="5"/>
      <c r="M35" s="5"/>
      <c r="N35" s="5"/>
      <c r="O35" s="5"/>
      <c r="P35" s="12"/>
      <c r="Q35" s="1"/>
      <c r="R35" s="1"/>
      <c r="S35" s="1"/>
      <c r="T35" s="1"/>
      <c r="U35" s="3"/>
      <c r="V35" s="3"/>
      <c r="W35" s="3"/>
      <c r="X35" s="3"/>
      <c r="Y35" s="3"/>
      <c r="Z35" s="3"/>
    </row>
    <row r="36" ht="14.25" customHeight="1">
      <c r="A36" s="5"/>
      <c r="B36" s="5"/>
      <c r="C36" s="5"/>
      <c r="D36" s="5"/>
      <c r="E36" s="5"/>
      <c r="F36" s="5"/>
      <c r="G36" s="5"/>
      <c r="H36" s="1"/>
      <c r="I36" s="1"/>
      <c r="J36" s="5"/>
      <c r="K36" s="5"/>
      <c r="L36" s="5"/>
      <c r="M36" s="5"/>
      <c r="N36" s="5"/>
      <c r="O36" s="5"/>
      <c r="P36" s="12"/>
      <c r="Q36" s="1"/>
      <c r="R36" s="1"/>
      <c r="S36" s="1"/>
      <c r="T36" s="1"/>
      <c r="U36" s="3"/>
      <c r="V36" s="3"/>
      <c r="W36" s="3"/>
      <c r="X36" s="3"/>
      <c r="Y36" s="3"/>
      <c r="Z36" s="3"/>
    </row>
    <row r="37" ht="14.25" customHeight="1">
      <c r="A37" s="5"/>
      <c r="B37" s="5"/>
      <c r="C37" s="5"/>
      <c r="D37" s="5"/>
      <c r="E37" s="5"/>
      <c r="F37" s="5"/>
      <c r="G37" s="5"/>
      <c r="H37" s="1"/>
      <c r="I37" s="1"/>
      <c r="J37" s="5"/>
      <c r="K37" s="5"/>
      <c r="L37" s="5"/>
      <c r="M37" s="5"/>
      <c r="N37" s="5"/>
      <c r="O37" s="5"/>
      <c r="P37" s="12"/>
      <c r="Q37" s="1"/>
      <c r="R37" s="1"/>
      <c r="S37" s="1"/>
      <c r="T37" s="1"/>
      <c r="U37" s="3"/>
      <c r="V37" s="3"/>
      <c r="W37" s="3"/>
      <c r="X37" s="3"/>
      <c r="Y37" s="3"/>
      <c r="Z37" s="3"/>
    </row>
    <row r="38" ht="14.25" customHeight="1">
      <c r="A38" s="5"/>
      <c r="B38" s="5"/>
      <c r="C38" s="5"/>
      <c r="D38" s="5"/>
      <c r="E38" s="5"/>
      <c r="F38" s="5"/>
      <c r="G38" s="5"/>
      <c r="H38" s="1"/>
      <c r="I38" s="1"/>
      <c r="J38" s="5"/>
      <c r="K38" s="5"/>
      <c r="L38" s="5"/>
      <c r="M38" s="5"/>
      <c r="N38" s="5"/>
      <c r="O38" s="5"/>
      <c r="P38" s="12"/>
      <c r="Q38" s="1"/>
      <c r="R38" s="1"/>
      <c r="S38" s="1"/>
      <c r="T38" s="1"/>
      <c r="U38" s="3"/>
      <c r="V38" s="3"/>
      <c r="W38" s="3"/>
      <c r="X38" s="3"/>
      <c r="Y38" s="3"/>
      <c r="Z38" s="3"/>
    </row>
    <row r="39" ht="14.25" customHeight="1">
      <c r="A39" s="5"/>
      <c r="B39" s="5"/>
      <c r="C39" s="5"/>
      <c r="D39" s="5"/>
      <c r="E39" s="5"/>
      <c r="F39" s="5"/>
      <c r="G39" s="5"/>
      <c r="H39" s="1"/>
      <c r="I39" s="1"/>
      <c r="J39" s="5"/>
      <c r="K39" s="5"/>
      <c r="L39" s="5"/>
      <c r="M39" s="5"/>
      <c r="N39" s="5"/>
      <c r="O39" s="5"/>
      <c r="P39" s="12"/>
      <c r="Q39" s="1"/>
      <c r="R39" s="1"/>
      <c r="S39" s="1"/>
      <c r="T39" s="1"/>
      <c r="U39" s="3"/>
      <c r="V39" s="3"/>
      <c r="W39" s="3"/>
      <c r="X39" s="3"/>
      <c r="Y39" s="3"/>
      <c r="Z39" s="3"/>
    </row>
    <row r="40" ht="14.25" customHeight="1">
      <c r="A40" s="5"/>
      <c r="B40" s="5"/>
      <c r="C40" s="5"/>
      <c r="D40" s="5"/>
      <c r="E40" s="5"/>
      <c r="F40" s="5"/>
      <c r="G40" s="5"/>
      <c r="H40" s="1"/>
      <c r="I40" s="1"/>
      <c r="J40" s="5"/>
      <c r="K40" s="5"/>
      <c r="L40" s="5"/>
      <c r="M40" s="5"/>
      <c r="N40" s="5"/>
      <c r="O40" s="5"/>
      <c r="P40" s="12"/>
      <c r="Q40" s="1"/>
      <c r="R40" s="1"/>
      <c r="S40" s="1"/>
      <c r="T40" s="1"/>
      <c r="U40" s="3"/>
      <c r="V40" s="3"/>
      <c r="W40" s="3"/>
      <c r="X40" s="3"/>
      <c r="Y40" s="3"/>
      <c r="Z40" s="3"/>
    </row>
    <row r="41" ht="14.25" customHeight="1">
      <c r="A41" s="5"/>
      <c r="B41" s="5"/>
      <c r="C41" s="5"/>
      <c r="D41" s="5"/>
      <c r="E41" s="5"/>
      <c r="F41" s="5"/>
      <c r="G41" s="5"/>
      <c r="H41" s="1"/>
      <c r="I41" s="1"/>
      <c r="J41" s="5"/>
      <c r="K41" s="5"/>
      <c r="L41" s="5"/>
      <c r="M41" s="5"/>
      <c r="N41" s="5"/>
      <c r="O41" s="5"/>
      <c r="P41" s="12"/>
      <c r="Q41" s="1"/>
      <c r="R41" s="1"/>
      <c r="S41" s="1"/>
      <c r="T41" s="1"/>
      <c r="U41" s="3"/>
      <c r="V41" s="3"/>
      <c r="W41" s="3"/>
      <c r="X41" s="3"/>
      <c r="Y41" s="3"/>
      <c r="Z41" s="3"/>
    </row>
    <row r="42" ht="14.25" customHeight="1">
      <c r="A42" s="5"/>
      <c r="B42" s="5"/>
      <c r="C42" s="5"/>
      <c r="D42" s="5"/>
      <c r="E42" s="5"/>
      <c r="F42" s="5"/>
      <c r="G42" s="5"/>
      <c r="H42" s="1"/>
      <c r="I42" s="1"/>
      <c r="J42" s="5"/>
      <c r="K42" s="5"/>
      <c r="L42" s="5"/>
      <c r="M42" s="5"/>
      <c r="N42" s="5"/>
      <c r="O42" s="5"/>
      <c r="P42" s="12"/>
      <c r="Q42" s="1"/>
      <c r="R42" s="1"/>
      <c r="S42" s="1"/>
      <c r="T42" s="1"/>
      <c r="U42" s="3"/>
      <c r="V42" s="3"/>
      <c r="W42" s="3"/>
      <c r="X42" s="3"/>
      <c r="Y42" s="3"/>
      <c r="Z42" s="3"/>
    </row>
    <row r="43" ht="14.25" customHeight="1">
      <c r="A43" s="5"/>
      <c r="B43" s="5"/>
      <c r="C43" s="5"/>
      <c r="D43" s="5"/>
      <c r="E43" s="5"/>
      <c r="F43" s="5"/>
      <c r="G43" s="5"/>
      <c r="H43" s="1"/>
      <c r="I43" s="1"/>
      <c r="J43" s="5"/>
      <c r="K43" s="5"/>
      <c r="L43" s="5"/>
      <c r="M43" s="5"/>
      <c r="N43" s="5"/>
      <c r="O43" s="5"/>
      <c r="P43" s="12"/>
      <c r="Q43" s="1"/>
      <c r="R43" s="1"/>
      <c r="S43" s="1"/>
      <c r="T43" s="1"/>
      <c r="U43" s="3"/>
      <c r="V43" s="3"/>
      <c r="W43" s="3"/>
      <c r="X43" s="3"/>
      <c r="Y43" s="3"/>
      <c r="Z43" s="3"/>
    </row>
    <row r="44" ht="14.25" customHeight="1">
      <c r="A44" s="5"/>
      <c r="B44" s="5"/>
      <c r="C44" s="5"/>
      <c r="D44" s="5"/>
      <c r="E44" s="5"/>
      <c r="F44" s="5"/>
      <c r="G44" s="5"/>
      <c r="H44" s="1"/>
      <c r="I44" s="1"/>
      <c r="J44" s="5"/>
      <c r="K44" s="5"/>
      <c r="L44" s="5"/>
      <c r="M44" s="5"/>
      <c r="N44" s="5"/>
      <c r="O44" s="5"/>
      <c r="P44" s="12"/>
      <c r="Q44" s="1"/>
      <c r="R44" s="1"/>
      <c r="S44" s="1"/>
      <c r="T44" s="1"/>
      <c r="U44" s="3"/>
      <c r="V44" s="3"/>
      <c r="W44" s="3"/>
      <c r="X44" s="3"/>
      <c r="Y44" s="3"/>
      <c r="Z44" s="3"/>
    </row>
    <row r="45" ht="14.25" customHeight="1">
      <c r="A45" s="5"/>
      <c r="B45" s="5"/>
      <c r="C45" s="5"/>
      <c r="D45" s="5"/>
      <c r="E45" s="5"/>
      <c r="F45" s="5"/>
      <c r="G45" s="5"/>
      <c r="H45" s="1"/>
      <c r="I45" s="1"/>
      <c r="J45" s="5"/>
      <c r="K45" s="5"/>
      <c r="L45" s="5"/>
      <c r="M45" s="5"/>
      <c r="N45" s="5"/>
      <c r="O45" s="5"/>
      <c r="P45" s="12"/>
      <c r="Q45" s="1"/>
      <c r="R45" s="1"/>
      <c r="S45" s="1"/>
      <c r="T45" s="1"/>
      <c r="U45" s="3"/>
      <c r="V45" s="3"/>
      <c r="W45" s="3"/>
      <c r="X45" s="3"/>
      <c r="Y45" s="3"/>
      <c r="Z45" s="3"/>
    </row>
    <row r="46" ht="14.25" customHeight="1">
      <c r="A46" s="5"/>
      <c r="B46" s="5"/>
      <c r="C46" s="5"/>
      <c r="D46" s="5"/>
      <c r="E46" s="5"/>
      <c r="F46" s="5"/>
      <c r="G46" s="5"/>
      <c r="H46" s="1"/>
      <c r="I46" s="1"/>
      <c r="J46" s="5"/>
      <c r="K46" s="5"/>
      <c r="L46" s="5"/>
      <c r="M46" s="5"/>
      <c r="N46" s="5"/>
      <c r="O46" s="5"/>
      <c r="P46" s="12"/>
      <c r="Q46" s="1"/>
      <c r="R46" s="1"/>
      <c r="S46" s="1"/>
      <c r="T46" s="1"/>
      <c r="U46" s="3"/>
      <c r="V46" s="3"/>
      <c r="W46" s="3"/>
      <c r="X46" s="3"/>
      <c r="Y46" s="3"/>
      <c r="Z46" s="3"/>
    </row>
    <row r="47" ht="14.25" customHeight="1">
      <c r="A47" s="5"/>
      <c r="B47" s="5"/>
      <c r="C47" s="5"/>
      <c r="D47" s="5"/>
      <c r="E47" s="5"/>
      <c r="F47" s="5"/>
      <c r="G47" s="5"/>
      <c r="H47" s="1"/>
      <c r="I47" s="1"/>
      <c r="J47" s="5"/>
      <c r="K47" s="5"/>
      <c r="L47" s="5"/>
      <c r="M47" s="5"/>
      <c r="N47" s="5"/>
      <c r="O47" s="5"/>
      <c r="P47" s="12"/>
      <c r="Q47" s="1"/>
      <c r="R47" s="1"/>
      <c r="S47" s="1"/>
      <c r="T47" s="1"/>
      <c r="U47" s="3"/>
      <c r="V47" s="3"/>
      <c r="W47" s="3"/>
      <c r="X47" s="3"/>
      <c r="Y47" s="3"/>
      <c r="Z47" s="3"/>
    </row>
    <row r="48" ht="14.25" customHeight="1">
      <c r="A48" s="5"/>
      <c r="B48" s="5"/>
      <c r="C48" s="5"/>
      <c r="D48" s="5"/>
      <c r="E48" s="5"/>
      <c r="F48" s="5"/>
      <c r="G48" s="5"/>
      <c r="H48" s="1"/>
      <c r="I48" s="1"/>
      <c r="J48" s="5"/>
      <c r="K48" s="5"/>
      <c r="L48" s="5"/>
      <c r="M48" s="5"/>
      <c r="N48" s="5"/>
      <c r="O48" s="5"/>
      <c r="P48" s="12"/>
      <c r="Q48" s="1"/>
      <c r="R48" s="1"/>
      <c r="S48" s="1"/>
      <c r="T48" s="1"/>
      <c r="U48" s="3"/>
      <c r="V48" s="3"/>
      <c r="W48" s="3"/>
      <c r="X48" s="3"/>
      <c r="Y48" s="3"/>
      <c r="Z48" s="3"/>
    </row>
    <row r="49" ht="14.25" customHeight="1">
      <c r="A49" s="5"/>
      <c r="B49" s="5"/>
      <c r="C49" s="5"/>
      <c r="D49" s="5"/>
      <c r="E49" s="5"/>
      <c r="F49" s="5"/>
      <c r="G49" s="5"/>
      <c r="H49" s="1"/>
      <c r="I49" s="1"/>
      <c r="J49" s="5"/>
      <c r="K49" s="5"/>
      <c r="L49" s="5"/>
      <c r="M49" s="5"/>
      <c r="N49" s="5"/>
      <c r="O49" s="5"/>
      <c r="P49" s="12"/>
      <c r="Q49" s="1"/>
      <c r="R49" s="1"/>
      <c r="S49" s="1"/>
      <c r="T49" s="1"/>
      <c r="U49" s="3"/>
      <c r="V49" s="3"/>
      <c r="W49" s="3"/>
      <c r="X49" s="3"/>
      <c r="Y49" s="3"/>
      <c r="Z49" s="3"/>
    </row>
    <row r="50" ht="14.25" customHeight="1">
      <c r="A50" s="5"/>
      <c r="B50" s="5"/>
      <c r="C50" s="5"/>
      <c r="D50" s="5"/>
      <c r="E50" s="5"/>
      <c r="F50" s="5"/>
      <c r="G50" s="5"/>
      <c r="H50" s="1"/>
      <c r="I50" s="1"/>
      <c r="J50" s="5"/>
      <c r="K50" s="5"/>
      <c r="L50" s="5"/>
      <c r="M50" s="5"/>
      <c r="N50" s="5"/>
      <c r="O50" s="5"/>
      <c r="P50" s="12"/>
      <c r="Q50" s="1"/>
      <c r="R50" s="1"/>
      <c r="S50" s="1"/>
      <c r="T50" s="1"/>
      <c r="U50" s="3"/>
      <c r="V50" s="3"/>
      <c r="W50" s="3"/>
      <c r="X50" s="3"/>
      <c r="Y50" s="3"/>
      <c r="Z50" s="3"/>
    </row>
    <row r="51" ht="14.25" customHeight="1">
      <c r="A51" s="5"/>
      <c r="B51" s="5"/>
      <c r="C51" s="5"/>
      <c r="D51" s="5"/>
      <c r="E51" s="5"/>
      <c r="F51" s="5"/>
      <c r="G51" s="5"/>
      <c r="H51" s="1"/>
      <c r="I51" s="1"/>
      <c r="J51" s="5"/>
      <c r="K51" s="5"/>
      <c r="L51" s="5"/>
      <c r="M51" s="5"/>
      <c r="N51" s="5"/>
      <c r="O51" s="5"/>
      <c r="P51" s="12"/>
      <c r="Q51" s="1"/>
      <c r="R51" s="1"/>
      <c r="S51" s="1"/>
      <c r="T51" s="1"/>
      <c r="U51" s="3"/>
      <c r="V51" s="3"/>
      <c r="W51" s="3"/>
      <c r="X51" s="3"/>
      <c r="Y51" s="3"/>
      <c r="Z51" s="3"/>
    </row>
    <row r="52" ht="14.25" customHeight="1">
      <c r="A52" s="5"/>
      <c r="B52" s="5"/>
      <c r="C52" s="5"/>
      <c r="D52" s="5"/>
      <c r="E52" s="5"/>
      <c r="F52" s="5"/>
      <c r="G52" s="5"/>
      <c r="H52" s="1"/>
      <c r="I52" s="1"/>
      <c r="J52" s="5"/>
      <c r="K52" s="5"/>
      <c r="L52" s="5"/>
      <c r="M52" s="5"/>
      <c r="N52" s="5"/>
      <c r="O52" s="5"/>
      <c r="P52" s="12"/>
      <c r="Q52" s="1"/>
      <c r="R52" s="1"/>
      <c r="S52" s="1"/>
      <c r="T52" s="1"/>
      <c r="U52" s="3"/>
      <c r="V52" s="3"/>
      <c r="W52" s="3"/>
      <c r="X52" s="3"/>
      <c r="Y52" s="3"/>
      <c r="Z52" s="3"/>
    </row>
    <row r="53" ht="14.25" customHeight="1">
      <c r="A53" s="5"/>
      <c r="B53" s="5"/>
      <c r="C53" s="5"/>
      <c r="D53" s="5"/>
      <c r="E53" s="5"/>
      <c r="F53" s="5"/>
      <c r="G53" s="5"/>
      <c r="H53" s="1"/>
      <c r="I53" s="1"/>
      <c r="J53" s="5"/>
      <c r="K53" s="5"/>
      <c r="L53" s="5"/>
      <c r="M53" s="5"/>
      <c r="N53" s="5"/>
      <c r="O53" s="5"/>
      <c r="P53" s="12"/>
      <c r="Q53" s="1"/>
      <c r="R53" s="1"/>
      <c r="S53" s="1"/>
      <c r="T53" s="1"/>
      <c r="U53" s="3"/>
      <c r="V53" s="3"/>
      <c r="W53" s="3"/>
      <c r="X53" s="3"/>
      <c r="Y53" s="3"/>
      <c r="Z53" s="3"/>
    </row>
    <row r="54" ht="14.25" customHeight="1">
      <c r="A54" s="5"/>
      <c r="B54" s="5"/>
      <c r="C54" s="5"/>
      <c r="D54" s="5"/>
      <c r="E54" s="5"/>
      <c r="F54" s="5"/>
      <c r="G54" s="5"/>
      <c r="H54" s="1"/>
      <c r="I54" s="1"/>
      <c r="J54" s="5"/>
      <c r="K54" s="5"/>
      <c r="L54" s="5"/>
      <c r="M54" s="5"/>
      <c r="N54" s="5"/>
      <c r="O54" s="5"/>
      <c r="P54" s="12"/>
      <c r="Q54" s="1"/>
      <c r="R54" s="1"/>
      <c r="S54" s="1"/>
      <c r="T54" s="1"/>
      <c r="U54" s="3"/>
      <c r="V54" s="3"/>
      <c r="W54" s="3"/>
      <c r="X54" s="3"/>
      <c r="Y54" s="3"/>
      <c r="Z54" s="3"/>
    </row>
    <row r="55" ht="14.25" customHeight="1">
      <c r="A55" s="5"/>
      <c r="B55" s="5"/>
      <c r="C55" s="5"/>
      <c r="D55" s="5"/>
      <c r="E55" s="5"/>
      <c r="F55" s="5"/>
      <c r="G55" s="5"/>
      <c r="H55" s="1"/>
      <c r="I55" s="1"/>
      <c r="J55" s="5"/>
      <c r="K55" s="5"/>
      <c r="L55" s="5"/>
      <c r="M55" s="5"/>
      <c r="N55" s="5"/>
      <c r="O55" s="5"/>
      <c r="P55" s="12"/>
      <c r="Q55" s="1"/>
      <c r="R55" s="1"/>
      <c r="S55" s="1"/>
      <c r="T55" s="1"/>
      <c r="U55" s="3"/>
      <c r="V55" s="3"/>
      <c r="W55" s="3"/>
      <c r="X55" s="3"/>
      <c r="Y55" s="3"/>
      <c r="Z55" s="3"/>
    </row>
    <row r="56" ht="14.25" customHeight="1">
      <c r="A56" s="5"/>
      <c r="B56" s="5"/>
      <c r="C56" s="5"/>
      <c r="D56" s="5"/>
      <c r="E56" s="5"/>
      <c r="F56" s="5"/>
      <c r="G56" s="5"/>
      <c r="H56" s="1"/>
      <c r="I56" s="1"/>
      <c r="J56" s="5"/>
      <c r="K56" s="5"/>
      <c r="L56" s="5"/>
      <c r="M56" s="5"/>
      <c r="N56" s="5"/>
      <c r="O56" s="5"/>
      <c r="P56" s="12"/>
      <c r="Q56" s="1"/>
      <c r="R56" s="1"/>
      <c r="S56" s="1"/>
      <c r="T56" s="1"/>
      <c r="U56" s="3"/>
      <c r="V56" s="3"/>
      <c r="W56" s="3"/>
      <c r="X56" s="3"/>
      <c r="Y56" s="3"/>
      <c r="Z56" s="3"/>
    </row>
    <row r="57" ht="14.25" customHeight="1">
      <c r="A57" s="5"/>
      <c r="B57" s="5"/>
      <c r="C57" s="5"/>
      <c r="D57" s="5"/>
      <c r="E57" s="5"/>
      <c r="F57" s="5"/>
      <c r="G57" s="5"/>
      <c r="H57" s="1"/>
      <c r="I57" s="1"/>
      <c r="J57" s="5"/>
      <c r="K57" s="5"/>
      <c r="L57" s="5"/>
      <c r="M57" s="5"/>
      <c r="N57" s="5"/>
      <c r="O57" s="5"/>
      <c r="P57" s="12"/>
      <c r="Q57" s="1"/>
      <c r="R57" s="1"/>
      <c r="S57" s="1"/>
      <c r="T57" s="1"/>
      <c r="U57" s="3"/>
      <c r="V57" s="3"/>
      <c r="W57" s="3"/>
      <c r="X57" s="3"/>
      <c r="Y57" s="3"/>
      <c r="Z57" s="3"/>
    </row>
    <row r="58" ht="14.25" customHeight="1">
      <c r="A58" s="5"/>
      <c r="B58" s="5"/>
      <c r="C58" s="5"/>
      <c r="D58" s="5"/>
      <c r="E58" s="5"/>
      <c r="F58" s="5"/>
      <c r="G58" s="5"/>
      <c r="H58" s="1"/>
      <c r="I58" s="1"/>
      <c r="J58" s="5"/>
      <c r="K58" s="5"/>
      <c r="L58" s="5"/>
      <c r="M58" s="5"/>
      <c r="N58" s="5"/>
      <c r="O58" s="5"/>
      <c r="P58" s="12"/>
      <c r="Q58" s="1"/>
      <c r="R58" s="1"/>
      <c r="S58" s="1"/>
      <c r="T58" s="1"/>
      <c r="U58" s="3"/>
      <c r="V58" s="3"/>
      <c r="W58" s="3"/>
      <c r="X58" s="3"/>
      <c r="Y58" s="3"/>
      <c r="Z58" s="3"/>
    </row>
    <row r="59" ht="14.25" customHeight="1">
      <c r="A59" s="5"/>
      <c r="B59" s="5"/>
      <c r="C59" s="5"/>
      <c r="D59" s="5"/>
      <c r="E59" s="5"/>
      <c r="F59" s="5"/>
      <c r="G59" s="5"/>
      <c r="H59" s="1"/>
      <c r="I59" s="1"/>
      <c r="J59" s="5"/>
      <c r="K59" s="5"/>
      <c r="L59" s="5"/>
      <c r="M59" s="5"/>
      <c r="N59" s="5"/>
      <c r="O59" s="5"/>
      <c r="P59" s="12"/>
      <c r="Q59" s="1"/>
      <c r="R59" s="1"/>
      <c r="S59" s="1"/>
      <c r="T59" s="1"/>
      <c r="U59" s="3"/>
      <c r="V59" s="3"/>
      <c r="W59" s="3"/>
      <c r="X59" s="3"/>
      <c r="Y59" s="3"/>
      <c r="Z59" s="3"/>
    </row>
    <row r="60" ht="14.25" customHeight="1">
      <c r="A60" s="5"/>
      <c r="B60" s="5"/>
      <c r="C60" s="5"/>
      <c r="D60" s="5"/>
      <c r="E60" s="5"/>
      <c r="F60" s="5"/>
      <c r="G60" s="5"/>
      <c r="H60" s="1"/>
      <c r="I60" s="1"/>
      <c r="J60" s="5"/>
      <c r="K60" s="5"/>
      <c r="L60" s="5"/>
      <c r="M60" s="5"/>
      <c r="N60" s="5"/>
      <c r="O60" s="5"/>
      <c r="P60" s="12"/>
      <c r="Q60" s="1"/>
      <c r="R60" s="1"/>
      <c r="S60" s="1"/>
      <c r="T60" s="1"/>
      <c r="U60" s="3"/>
      <c r="V60" s="3"/>
      <c r="W60" s="3"/>
      <c r="X60" s="3"/>
      <c r="Y60" s="3"/>
      <c r="Z60" s="3"/>
    </row>
    <row r="61" ht="14.25" customHeight="1">
      <c r="A61" s="5"/>
      <c r="B61" s="5"/>
      <c r="C61" s="5"/>
      <c r="D61" s="5"/>
      <c r="E61" s="5"/>
      <c r="F61" s="5"/>
      <c r="G61" s="5"/>
      <c r="H61" s="1"/>
      <c r="I61" s="1"/>
      <c r="J61" s="5"/>
      <c r="K61" s="5"/>
      <c r="L61" s="5"/>
      <c r="M61" s="5"/>
      <c r="N61" s="5"/>
      <c r="O61" s="5"/>
      <c r="P61" s="12"/>
      <c r="Q61" s="1"/>
      <c r="R61" s="1"/>
      <c r="S61" s="1"/>
      <c r="T61" s="1"/>
      <c r="U61" s="3"/>
      <c r="V61" s="3"/>
      <c r="W61" s="3"/>
      <c r="X61" s="3"/>
      <c r="Y61" s="3"/>
      <c r="Z61" s="3"/>
    </row>
    <row r="62" ht="14.25" customHeight="1">
      <c r="A62" s="5"/>
      <c r="B62" s="5"/>
      <c r="C62" s="5"/>
      <c r="D62" s="5"/>
      <c r="E62" s="5"/>
      <c r="F62" s="5"/>
      <c r="G62" s="5"/>
      <c r="H62" s="1"/>
      <c r="I62" s="1"/>
      <c r="J62" s="5"/>
      <c r="K62" s="5"/>
      <c r="L62" s="5"/>
      <c r="M62" s="5"/>
      <c r="N62" s="5"/>
      <c r="O62" s="5"/>
      <c r="P62" s="12"/>
      <c r="Q62" s="1"/>
      <c r="R62" s="1"/>
      <c r="S62" s="1"/>
      <c r="T62" s="1"/>
      <c r="U62" s="3"/>
      <c r="V62" s="3"/>
      <c r="W62" s="3"/>
      <c r="X62" s="3"/>
      <c r="Y62" s="3"/>
      <c r="Z62" s="3"/>
    </row>
    <row r="63" ht="14.25" customHeight="1">
      <c r="A63" s="5"/>
      <c r="B63" s="5"/>
      <c r="C63" s="5"/>
      <c r="D63" s="5"/>
      <c r="E63" s="5"/>
      <c r="F63" s="5"/>
      <c r="G63" s="5"/>
      <c r="H63" s="1"/>
      <c r="I63" s="1"/>
      <c r="J63" s="5"/>
      <c r="K63" s="5"/>
      <c r="L63" s="5"/>
      <c r="M63" s="5"/>
      <c r="N63" s="5"/>
      <c r="O63" s="5"/>
      <c r="P63" s="12"/>
      <c r="Q63" s="1"/>
      <c r="R63" s="1"/>
      <c r="S63" s="1"/>
      <c r="T63" s="1"/>
      <c r="U63" s="3"/>
      <c r="V63" s="3"/>
      <c r="W63" s="3"/>
      <c r="X63" s="3"/>
      <c r="Y63" s="3"/>
      <c r="Z63" s="3"/>
    </row>
    <row r="64" ht="14.25" customHeight="1">
      <c r="A64" s="5"/>
      <c r="B64" s="5"/>
      <c r="C64" s="5"/>
      <c r="D64" s="5"/>
      <c r="E64" s="5"/>
      <c r="F64" s="5"/>
      <c r="G64" s="5"/>
      <c r="H64" s="1"/>
      <c r="I64" s="1"/>
      <c r="J64" s="5"/>
      <c r="K64" s="5"/>
      <c r="L64" s="5"/>
      <c r="M64" s="5"/>
      <c r="N64" s="5"/>
      <c r="O64" s="5"/>
      <c r="P64" s="12"/>
      <c r="Q64" s="1"/>
      <c r="R64" s="1"/>
      <c r="S64" s="1"/>
      <c r="T64" s="1"/>
      <c r="U64" s="3"/>
      <c r="V64" s="3"/>
      <c r="W64" s="3"/>
      <c r="X64" s="3"/>
      <c r="Y64" s="3"/>
      <c r="Z64" s="3"/>
    </row>
    <row r="65" ht="14.25" customHeight="1">
      <c r="A65" s="5"/>
      <c r="B65" s="5"/>
      <c r="C65" s="5"/>
      <c r="D65" s="5"/>
      <c r="E65" s="5"/>
      <c r="F65" s="5"/>
      <c r="G65" s="5"/>
      <c r="H65" s="1"/>
      <c r="I65" s="1"/>
      <c r="J65" s="5"/>
      <c r="K65" s="5"/>
      <c r="L65" s="5"/>
      <c r="M65" s="5"/>
      <c r="N65" s="5"/>
      <c r="O65" s="5"/>
      <c r="P65" s="12"/>
      <c r="Q65" s="1"/>
      <c r="R65" s="1"/>
      <c r="S65" s="1"/>
      <c r="T65" s="1"/>
      <c r="U65" s="3"/>
      <c r="V65" s="3"/>
      <c r="W65" s="3"/>
      <c r="X65" s="3"/>
      <c r="Y65" s="3"/>
      <c r="Z65" s="3"/>
    </row>
    <row r="66" ht="14.25" customHeight="1">
      <c r="A66" s="5"/>
      <c r="B66" s="5"/>
      <c r="C66" s="5"/>
      <c r="D66" s="5"/>
      <c r="E66" s="5"/>
      <c r="F66" s="5"/>
      <c r="G66" s="5"/>
      <c r="H66" s="1"/>
      <c r="I66" s="1"/>
      <c r="J66" s="5"/>
      <c r="K66" s="5"/>
      <c r="L66" s="5"/>
      <c r="M66" s="5"/>
      <c r="N66" s="5"/>
      <c r="O66" s="5"/>
      <c r="P66" s="12"/>
      <c r="Q66" s="1"/>
      <c r="R66" s="1"/>
      <c r="S66" s="1"/>
      <c r="T66" s="1"/>
      <c r="U66" s="3"/>
      <c r="V66" s="3"/>
      <c r="W66" s="3"/>
      <c r="X66" s="3"/>
      <c r="Y66" s="3"/>
      <c r="Z66" s="3"/>
    </row>
    <row r="67" ht="14.25" customHeight="1">
      <c r="A67" s="5"/>
      <c r="B67" s="5"/>
      <c r="C67" s="5"/>
      <c r="D67" s="5"/>
      <c r="E67" s="5"/>
      <c r="F67" s="5"/>
      <c r="G67" s="5"/>
      <c r="H67" s="1"/>
      <c r="I67" s="1"/>
      <c r="J67" s="5"/>
      <c r="K67" s="5"/>
      <c r="L67" s="5"/>
      <c r="M67" s="5"/>
      <c r="N67" s="5"/>
      <c r="O67" s="5"/>
      <c r="P67" s="12"/>
      <c r="Q67" s="1"/>
      <c r="R67" s="1"/>
      <c r="S67" s="1"/>
      <c r="T67" s="1"/>
      <c r="U67" s="3"/>
      <c r="V67" s="3"/>
      <c r="W67" s="3"/>
      <c r="X67" s="3"/>
      <c r="Y67" s="3"/>
      <c r="Z67" s="3"/>
    </row>
    <row r="68" ht="14.25" customHeight="1">
      <c r="A68" s="5"/>
      <c r="B68" s="5"/>
      <c r="C68" s="5"/>
      <c r="D68" s="5"/>
      <c r="E68" s="5"/>
      <c r="F68" s="5"/>
      <c r="G68" s="5"/>
      <c r="H68" s="1"/>
      <c r="I68" s="1"/>
      <c r="J68" s="5"/>
      <c r="K68" s="5"/>
      <c r="L68" s="5"/>
      <c r="M68" s="5"/>
      <c r="N68" s="5"/>
      <c r="O68" s="5"/>
      <c r="P68" s="12"/>
      <c r="Q68" s="1"/>
      <c r="R68" s="1"/>
      <c r="S68" s="1"/>
      <c r="T68" s="1"/>
      <c r="U68" s="3"/>
      <c r="V68" s="3"/>
      <c r="W68" s="3"/>
      <c r="X68" s="3"/>
      <c r="Y68" s="3"/>
      <c r="Z68" s="3"/>
    </row>
    <row r="69" ht="14.25" customHeight="1">
      <c r="A69" s="5"/>
      <c r="B69" s="5"/>
      <c r="C69" s="5"/>
      <c r="D69" s="5"/>
      <c r="E69" s="5"/>
      <c r="F69" s="5"/>
      <c r="G69" s="5"/>
      <c r="H69" s="1"/>
      <c r="I69" s="1"/>
      <c r="J69" s="5"/>
      <c r="K69" s="5"/>
      <c r="L69" s="5"/>
      <c r="M69" s="5"/>
      <c r="N69" s="5"/>
      <c r="O69" s="5"/>
      <c r="P69" s="12"/>
      <c r="Q69" s="1"/>
      <c r="R69" s="1"/>
      <c r="S69" s="1"/>
      <c r="T69" s="1"/>
      <c r="U69" s="3"/>
      <c r="V69" s="3"/>
      <c r="W69" s="3"/>
      <c r="X69" s="3"/>
      <c r="Y69" s="3"/>
      <c r="Z69" s="3"/>
    </row>
    <row r="70" ht="14.25" customHeight="1">
      <c r="A70" s="5"/>
      <c r="B70" s="5"/>
      <c r="C70" s="5"/>
      <c r="D70" s="5"/>
      <c r="E70" s="5"/>
      <c r="F70" s="5"/>
      <c r="G70" s="5"/>
      <c r="H70" s="1"/>
      <c r="I70" s="1"/>
      <c r="J70" s="5"/>
      <c r="K70" s="5"/>
      <c r="L70" s="5"/>
      <c r="M70" s="5"/>
      <c r="N70" s="5"/>
      <c r="O70" s="5"/>
      <c r="P70" s="12"/>
      <c r="Q70" s="1"/>
      <c r="R70" s="1"/>
      <c r="S70" s="1"/>
      <c r="T70" s="1"/>
      <c r="U70" s="3"/>
      <c r="V70" s="3"/>
      <c r="W70" s="3"/>
      <c r="X70" s="3"/>
      <c r="Y70" s="3"/>
      <c r="Z70" s="3"/>
    </row>
    <row r="71" ht="14.25" customHeight="1">
      <c r="A71" s="5"/>
      <c r="B71" s="5"/>
      <c r="C71" s="5"/>
      <c r="D71" s="5"/>
      <c r="E71" s="5"/>
      <c r="F71" s="5"/>
      <c r="G71" s="5"/>
      <c r="H71" s="1"/>
      <c r="I71" s="1"/>
      <c r="J71" s="5"/>
      <c r="K71" s="5"/>
      <c r="L71" s="5"/>
      <c r="M71" s="5"/>
      <c r="N71" s="5"/>
      <c r="O71" s="5"/>
      <c r="P71" s="12"/>
      <c r="Q71" s="1"/>
      <c r="R71" s="1"/>
      <c r="S71" s="1"/>
      <c r="T71" s="1"/>
      <c r="U71" s="3"/>
      <c r="V71" s="3"/>
      <c r="W71" s="3"/>
      <c r="X71" s="3"/>
      <c r="Y71" s="3"/>
      <c r="Z71" s="3"/>
    </row>
    <row r="72" ht="14.25" customHeight="1">
      <c r="A72" s="5"/>
      <c r="B72" s="5"/>
      <c r="C72" s="5"/>
      <c r="D72" s="5"/>
      <c r="E72" s="5"/>
      <c r="F72" s="5"/>
      <c r="G72" s="5"/>
      <c r="H72" s="1"/>
      <c r="I72" s="1"/>
      <c r="J72" s="5"/>
      <c r="K72" s="5"/>
      <c r="L72" s="5"/>
      <c r="M72" s="5"/>
      <c r="N72" s="5"/>
      <c r="O72" s="5"/>
      <c r="P72" s="12"/>
      <c r="Q72" s="1"/>
      <c r="R72" s="1"/>
      <c r="S72" s="1"/>
      <c r="T72" s="1"/>
      <c r="U72" s="3"/>
      <c r="V72" s="3"/>
      <c r="W72" s="3"/>
      <c r="X72" s="3"/>
      <c r="Y72" s="3"/>
      <c r="Z72" s="3"/>
    </row>
    <row r="73" ht="14.25" customHeight="1">
      <c r="A73" s="5"/>
      <c r="B73" s="5"/>
      <c r="C73" s="5"/>
      <c r="D73" s="5"/>
      <c r="E73" s="5"/>
      <c r="F73" s="5"/>
      <c r="G73" s="5"/>
      <c r="H73" s="1"/>
      <c r="I73" s="1"/>
      <c r="J73" s="5"/>
      <c r="K73" s="5"/>
      <c r="L73" s="5"/>
      <c r="M73" s="5"/>
      <c r="N73" s="5"/>
      <c r="O73" s="5"/>
      <c r="P73" s="12"/>
      <c r="Q73" s="1"/>
      <c r="R73" s="1"/>
      <c r="S73" s="1"/>
      <c r="T73" s="1"/>
      <c r="U73" s="3"/>
      <c r="V73" s="3"/>
      <c r="W73" s="3"/>
      <c r="X73" s="3"/>
      <c r="Y73" s="3"/>
      <c r="Z73" s="3"/>
    </row>
    <row r="74" ht="14.25" customHeight="1">
      <c r="A74" s="5"/>
      <c r="B74" s="5"/>
      <c r="C74" s="5"/>
      <c r="D74" s="5"/>
      <c r="E74" s="5"/>
      <c r="F74" s="5"/>
      <c r="G74" s="5"/>
      <c r="H74" s="1"/>
      <c r="I74" s="1"/>
      <c r="J74" s="5"/>
      <c r="K74" s="5"/>
      <c r="L74" s="5"/>
      <c r="M74" s="5"/>
      <c r="N74" s="5"/>
      <c r="O74" s="5"/>
      <c r="P74" s="12"/>
      <c r="Q74" s="1"/>
      <c r="R74" s="1"/>
      <c r="S74" s="1"/>
      <c r="T74" s="1"/>
      <c r="U74" s="3"/>
      <c r="V74" s="3"/>
      <c r="W74" s="3"/>
      <c r="X74" s="3"/>
      <c r="Y74" s="3"/>
      <c r="Z74" s="3"/>
    </row>
    <row r="75" ht="14.25" customHeight="1">
      <c r="A75" s="5"/>
      <c r="B75" s="5"/>
      <c r="C75" s="5"/>
      <c r="D75" s="5"/>
      <c r="E75" s="5"/>
      <c r="F75" s="5"/>
      <c r="G75" s="5"/>
      <c r="H75" s="1"/>
      <c r="I75" s="1"/>
      <c r="J75" s="5"/>
      <c r="K75" s="5"/>
      <c r="L75" s="5"/>
      <c r="M75" s="5"/>
      <c r="N75" s="5"/>
      <c r="O75" s="5"/>
      <c r="P75" s="12"/>
      <c r="Q75" s="1"/>
      <c r="R75" s="1"/>
      <c r="S75" s="1"/>
      <c r="T75" s="1"/>
      <c r="U75" s="3"/>
      <c r="V75" s="3"/>
      <c r="W75" s="3"/>
      <c r="X75" s="3"/>
      <c r="Y75" s="3"/>
      <c r="Z75" s="3"/>
    </row>
    <row r="76" ht="14.25" customHeight="1">
      <c r="A76" s="5"/>
      <c r="B76" s="5"/>
      <c r="C76" s="5"/>
      <c r="D76" s="5"/>
      <c r="E76" s="5"/>
      <c r="F76" s="5"/>
      <c r="G76" s="5"/>
      <c r="H76" s="1"/>
      <c r="I76" s="1"/>
      <c r="J76" s="5"/>
      <c r="K76" s="5"/>
      <c r="L76" s="5"/>
      <c r="M76" s="5"/>
      <c r="N76" s="5"/>
      <c r="O76" s="5"/>
      <c r="P76" s="12"/>
      <c r="Q76" s="1"/>
      <c r="R76" s="1"/>
      <c r="S76" s="1"/>
      <c r="T76" s="1"/>
      <c r="U76" s="3"/>
      <c r="V76" s="3"/>
      <c r="W76" s="3"/>
      <c r="X76" s="3"/>
      <c r="Y76" s="3"/>
      <c r="Z76" s="3"/>
    </row>
    <row r="77" ht="14.25" customHeight="1">
      <c r="A77" s="5"/>
      <c r="B77" s="5"/>
      <c r="C77" s="5"/>
      <c r="D77" s="5"/>
      <c r="E77" s="5"/>
      <c r="F77" s="5"/>
      <c r="G77" s="5"/>
      <c r="H77" s="1"/>
      <c r="I77" s="1"/>
      <c r="J77" s="5"/>
      <c r="K77" s="5"/>
      <c r="L77" s="5"/>
      <c r="M77" s="5"/>
      <c r="N77" s="5"/>
      <c r="O77" s="5"/>
      <c r="P77" s="12"/>
      <c r="Q77" s="1"/>
      <c r="R77" s="1"/>
      <c r="S77" s="1"/>
      <c r="T77" s="1"/>
      <c r="U77" s="3"/>
      <c r="V77" s="3"/>
      <c r="W77" s="3"/>
      <c r="X77" s="3"/>
      <c r="Y77" s="3"/>
      <c r="Z77" s="3"/>
    </row>
    <row r="78" ht="14.25" customHeight="1">
      <c r="A78" s="5"/>
      <c r="B78" s="5"/>
      <c r="C78" s="5"/>
      <c r="D78" s="5"/>
      <c r="E78" s="5"/>
      <c r="F78" s="5"/>
      <c r="G78" s="5"/>
      <c r="H78" s="1"/>
      <c r="I78" s="1"/>
      <c r="J78" s="5"/>
      <c r="K78" s="5"/>
      <c r="L78" s="5"/>
      <c r="M78" s="5"/>
      <c r="N78" s="5"/>
      <c r="O78" s="5"/>
      <c r="P78" s="12"/>
      <c r="Q78" s="1"/>
      <c r="R78" s="1"/>
      <c r="S78" s="1"/>
      <c r="T78" s="1"/>
      <c r="U78" s="3"/>
      <c r="V78" s="3"/>
      <c r="W78" s="3"/>
      <c r="X78" s="3"/>
      <c r="Y78" s="3"/>
      <c r="Z78" s="3"/>
    </row>
    <row r="79" ht="14.25" customHeight="1">
      <c r="A79" s="5"/>
      <c r="B79" s="5"/>
      <c r="C79" s="5"/>
      <c r="D79" s="5"/>
      <c r="E79" s="5"/>
      <c r="F79" s="5"/>
      <c r="G79" s="5"/>
      <c r="H79" s="1"/>
      <c r="I79" s="1"/>
      <c r="J79" s="5"/>
      <c r="K79" s="5"/>
      <c r="L79" s="5"/>
      <c r="M79" s="5"/>
      <c r="N79" s="5"/>
      <c r="O79" s="5"/>
      <c r="P79" s="12"/>
      <c r="Q79" s="1"/>
      <c r="R79" s="1"/>
      <c r="S79" s="1"/>
      <c r="T79" s="1"/>
      <c r="U79" s="3"/>
      <c r="V79" s="3"/>
      <c r="W79" s="3"/>
      <c r="X79" s="3"/>
      <c r="Y79" s="3"/>
      <c r="Z79" s="3"/>
    </row>
    <row r="80" ht="14.25" customHeight="1">
      <c r="A80" s="5"/>
      <c r="B80" s="5"/>
      <c r="C80" s="5"/>
      <c r="D80" s="5"/>
      <c r="E80" s="5"/>
      <c r="F80" s="5"/>
      <c r="G80" s="5"/>
      <c r="H80" s="1"/>
      <c r="I80" s="1"/>
      <c r="J80" s="5"/>
      <c r="K80" s="5"/>
      <c r="L80" s="5"/>
      <c r="M80" s="5"/>
      <c r="N80" s="5"/>
      <c r="O80" s="5"/>
      <c r="P80" s="12"/>
      <c r="Q80" s="1"/>
      <c r="R80" s="1"/>
      <c r="S80" s="1"/>
      <c r="T80" s="1"/>
      <c r="U80" s="3"/>
      <c r="V80" s="3"/>
      <c r="W80" s="3"/>
      <c r="X80" s="3"/>
      <c r="Y80" s="3"/>
      <c r="Z80" s="3"/>
    </row>
    <row r="81" ht="14.25" customHeight="1">
      <c r="A81" s="5"/>
      <c r="B81" s="5"/>
      <c r="C81" s="5"/>
      <c r="D81" s="5"/>
      <c r="E81" s="5"/>
      <c r="F81" s="5"/>
      <c r="G81" s="5"/>
      <c r="H81" s="1"/>
      <c r="I81" s="1"/>
      <c r="J81" s="5"/>
      <c r="K81" s="5"/>
      <c r="L81" s="5"/>
      <c r="M81" s="5"/>
      <c r="N81" s="5"/>
      <c r="O81" s="5"/>
      <c r="P81" s="12"/>
      <c r="Q81" s="1"/>
      <c r="R81" s="1"/>
      <c r="S81" s="1"/>
      <c r="T81" s="1"/>
      <c r="U81" s="3"/>
      <c r="V81" s="3"/>
      <c r="W81" s="3"/>
      <c r="X81" s="3"/>
      <c r="Y81" s="3"/>
      <c r="Z81" s="3"/>
    </row>
    <row r="82" ht="14.25" customHeight="1">
      <c r="A82" s="5"/>
      <c r="B82" s="5"/>
      <c r="C82" s="5"/>
      <c r="D82" s="5"/>
      <c r="E82" s="5"/>
      <c r="F82" s="5"/>
      <c r="G82" s="5"/>
      <c r="H82" s="1"/>
      <c r="I82" s="1"/>
      <c r="J82" s="5"/>
      <c r="K82" s="5"/>
      <c r="L82" s="5"/>
      <c r="M82" s="5"/>
      <c r="N82" s="5"/>
      <c r="O82" s="5"/>
      <c r="P82" s="12"/>
      <c r="Q82" s="1"/>
      <c r="R82" s="1"/>
      <c r="S82" s="1"/>
      <c r="T82" s="1"/>
      <c r="U82" s="3"/>
      <c r="V82" s="3"/>
      <c r="W82" s="3"/>
      <c r="X82" s="3"/>
      <c r="Y82" s="3"/>
      <c r="Z82" s="3"/>
    </row>
    <row r="83" ht="14.25" customHeight="1">
      <c r="A83" s="5"/>
      <c r="B83" s="5"/>
      <c r="C83" s="5"/>
      <c r="D83" s="5"/>
      <c r="E83" s="5"/>
      <c r="F83" s="5"/>
      <c r="G83" s="5"/>
      <c r="H83" s="1"/>
      <c r="I83" s="1"/>
      <c r="J83" s="5"/>
      <c r="K83" s="5"/>
      <c r="L83" s="5"/>
      <c r="M83" s="5"/>
      <c r="N83" s="5"/>
      <c r="O83" s="5"/>
      <c r="P83" s="12"/>
      <c r="Q83" s="1"/>
      <c r="R83" s="1"/>
      <c r="S83" s="1"/>
      <c r="T83" s="1"/>
      <c r="U83" s="3"/>
      <c r="V83" s="3"/>
      <c r="W83" s="3"/>
      <c r="X83" s="3"/>
      <c r="Y83" s="3"/>
      <c r="Z83" s="3"/>
    </row>
    <row r="84" ht="14.25" customHeight="1">
      <c r="A84" s="5"/>
      <c r="B84" s="5"/>
      <c r="C84" s="5"/>
      <c r="D84" s="5"/>
      <c r="E84" s="5"/>
      <c r="F84" s="5"/>
      <c r="G84" s="5"/>
      <c r="H84" s="1"/>
      <c r="I84" s="1"/>
      <c r="J84" s="5"/>
      <c r="K84" s="5"/>
      <c r="L84" s="5"/>
      <c r="M84" s="5"/>
      <c r="N84" s="5"/>
      <c r="O84" s="5"/>
      <c r="P84" s="12"/>
      <c r="Q84" s="1"/>
      <c r="R84" s="1"/>
      <c r="S84" s="1"/>
      <c r="T84" s="1"/>
      <c r="U84" s="3"/>
      <c r="V84" s="3"/>
      <c r="W84" s="3"/>
      <c r="X84" s="3"/>
      <c r="Y84" s="3"/>
      <c r="Z84" s="3"/>
    </row>
    <row r="85" ht="14.25" customHeight="1">
      <c r="A85" s="5"/>
      <c r="B85" s="5"/>
      <c r="C85" s="5"/>
      <c r="D85" s="5"/>
      <c r="E85" s="5"/>
      <c r="F85" s="5"/>
      <c r="G85" s="5"/>
      <c r="H85" s="1"/>
      <c r="I85" s="1"/>
      <c r="J85" s="5"/>
      <c r="K85" s="5"/>
      <c r="L85" s="5"/>
      <c r="M85" s="5"/>
      <c r="N85" s="5"/>
      <c r="O85" s="5"/>
      <c r="P85" s="12"/>
      <c r="Q85" s="1"/>
      <c r="R85" s="1"/>
      <c r="S85" s="1"/>
      <c r="T85" s="1"/>
      <c r="U85" s="3"/>
      <c r="V85" s="3"/>
      <c r="W85" s="3"/>
      <c r="X85" s="3"/>
      <c r="Y85" s="3"/>
      <c r="Z85" s="3"/>
    </row>
    <row r="86" ht="14.25" customHeight="1">
      <c r="A86" s="5"/>
      <c r="B86" s="5"/>
      <c r="C86" s="5"/>
      <c r="D86" s="5"/>
      <c r="E86" s="5"/>
      <c r="F86" s="5"/>
      <c r="G86" s="5"/>
      <c r="H86" s="1"/>
      <c r="I86" s="1"/>
      <c r="J86" s="5"/>
      <c r="K86" s="5"/>
      <c r="L86" s="5"/>
      <c r="M86" s="5"/>
      <c r="N86" s="5"/>
      <c r="O86" s="5"/>
      <c r="P86" s="12"/>
      <c r="Q86" s="1"/>
      <c r="R86" s="1"/>
      <c r="S86" s="1"/>
      <c r="T86" s="1"/>
      <c r="U86" s="3"/>
      <c r="V86" s="3"/>
      <c r="W86" s="3"/>
      <c r="X86" s="3"/>
      <c r="Y86" s="3"/>
      <c r="Z86" s="3"/>
    </row>
    <row r="87" ht="14.25" customHeight="1">
      <c r="A87" s="5"/>
      <c r="B87" s="5"/>
      <c r="C87" s="5"/>
      <c r="D87" s="5"/>
      <c r="E87" s="5"/>
      <c r="F87" s="5"/>
      <c r="G87" s="5"/>
      <c r="H87" s="1"/>
      <c r="I87" s="1"/>
      <c r="J87" s="5"/>
      <c r="K87" s="5"/>
      <c r="L87" s="5"/>
      <c r="M87" s="5"/>
      <c r="N87" s="5"/>
      <c r="O87" s="5"/>
      <c r="P87" s="12"/>
      <c r="Q87" s="1"/>
      <c r="R87" s="1"/>
      <c r="S87" s="1"/>
      <c r="T87" s="1"/>
      <c r="U87" s="3"/>
      <c r="V87" s="3"/>
      <c r="W87" s="3"/>
      <c r="X87" s="3"/>
      <c r="Y87" s="3"/>
      <c r="Z87" s="3"/>
    </row>
    <row r="88" ht="14.25" customHeight="1">
      <c r="A88" s="5"/>
      <c r="B88" s="5"/>
      <c r="C88" s="5"/>
      <c r="D88" s="5"/>
      <c r="E88" s="5"/>
      <c r="F88" s="5"/>
      <c r="G88" s="5"/>
      <c r="H88" s="1"/>
      <c r="I88" s="1"/>
      <c r="J88" s="5"/>
      <c r="K88" s="5"/>
      <c r="L88" s="5"/>
      <c r="M88" s="5"/>
      <c r="N88" s="5"/>
      <c r="O88" s="5"/>
      <c r="P88" s="12"/>
      <c r="Q88" s="1"/>
      <c r="R88" s="1"/>
      <c r="S88" s="1"/>
      <c r="T88" s="1"/>
      <c r="U88" s="3"/>
      <c r="V88" s="3"/>
      <c r="W88" s="3"/>
      <c r="X88" s="3"/>
      <c r="Y88" s="3"/>
      <c r="Z88" s="3"/>
    </row>
    <row r="89" ht="14.25" customHeight="1">
      <c r="A89" s="5"/>
      <c r="B89" s="5"/>
      <c r="C89" s="5"/>
      <c r="D89" s="5"/>
      <c r="E89" s="5"/>
      <c r="F89" s="5"/>
      <c r="G89" s="5"/>
      <c r="H89" s="1"/>
      <c r="I89" s="1"/>
      <c r="J89" s="5"/>
      <c r="K89" s="5"/>
      <c r="L89" s="5"/>
      <c r="M89" s="5"/>
      <c r="N89" s="5"/>
      <c r="O89" s="5"/>
      <c r="P89" s="12"/>
      <c r="Q89" s="1"/>
      <c r="R89" s="1"/>
      <c r="S89" s="1"/>
      <c r="T89" s="1"/>
      <c r="U89" s="3"/>
      <c r="V89" s="3"/>
      <c r="W89" s="3"/>
      <c r="X89" s="3"/>
      <c r="Y89" s="3"/>
      <c r="Z89" s="3"/>
    </row>
    <row r="90" ht="14.25" customHeight="1">
      <c r="A90" s="5"/>
      <c r="B90" s="5"/>
      <c r="C90" s="5"/>
      <c r="D90" s="5"/>
      <c r="E90" s="5"/>
      <c r="F90" s="5"/>
      <c r="G90" s="5"/>
      <c r="H90" s="1"/>
      <c r="I90" s="1"/>
      <c r="J90" s="5"/>
      <c r="K90" s="5"/>
      <c r="L90" s="5"/>
      <c r="M90" s="5"/>
      <c r="N90" s="5"/>
      <c r="O90" s="5"/>
      <c r="P90" s="12"/>
      <c r="Q90" s="1"/>
      <c r="R90" s="1"/>
      <c r="S90" s="1"/>
      <c r="T90" s="1"/>
      <c r="U90" s="3"/>
      <c r="V90" s="3"/>
      <c r="W90" s="3"/>
      <c r="X90" s="3"/>
      <c r="Y90" s="3"/>
      <c r="Z90" s="3"/>
    </row>
    <row r="91" ht="14.25" customHeight="1">
      <c r="A91" s="5"/>
      <c r="B91" s="5"/>
      <c r="C91" s="5"/>
      <c r="D91" s="5"/>
      <c r="E91" s="5"/>
      <c r="F91" s="5"/>
      <c r="G91" s="5"/>
      <c r="H91" s="1"/>
      <c r="I91" s="1"/>
      <c r="J91" s="5"/>
      <c r="K91" s="5"/>
      <c r="L91" s="5"/>
      <c r="M91" s="5"/>
      <c r="N91" s="5"/>
      <c r="O91" s="5"/>
      <c r="P91" s="12"/>
      <c r="Q91" s="1"/>
      <c r="R91" s="1"/>
      <c r="S91" s="1"/>
      <c r="T91" s="1"/>
      <c r="U91" s="3"/>
      <c r="V91" s="3"/>
      <c r="W91" s="3"/>
      <c r="X91" s="3"/>
      <c r="Y91" s="3"/>
      <c r="Z91" s="3"/>
    </row>
    <row r="92" ht="14.25" customHeight="1">
      <c r="A92" s="5"/>
      <c r="B92" s="5"/>
      <c r="C92" s="5"/>
      <c r="D92" s="5"/>
      <c r="E92" s="5"/>
      <c r="F92" s="5"/>
      <c r="G92" s="5"/>
      <c r="H92" s="1"/>
      <c r="I92" s="1"/>
      <c r="J92" s="5"/>
      <c r="K92" s="5"/>
      <c r="L92" s="5"/>
      <c r="M92" s="5"/>
      <c r="N92" s="5"/>
      <c r="O92" s="5"/>
      <c r="P92" s="12"/>
      <c r="Q92" s="1"/>
      <c r="R92" s="1"/>
      <c r="S92" s="1"/>
      <c r="T92" s="1"/>
      <c r="U92" s="3"/>
      <c r="V92" s="3"/>
      <c r="W92" s="3"/>
      <c r="X92" s="3"/>
      <c r="Y92" s="3"/>
      <c r="Z92" s="3"/>
    </row>
    <row r="93" ht="14.25" customHeight="1">
      <c r="A93" s="5"/>
      <c r="B93" s="5"/>
      <c r="C93" s="5"/>
      <c r="D93" s="5"/>
      <c r="E93" s="5"/>
      <c r="F93" s="5"/>
      <c r="G93" s="5"/>
      <c r="H93" s="1"/>
      <c r="I93" s="1"/>
      <c r="J93" s="5"/>
      <c r="K93" s="5"/>
      <c r="L93" s="5"/>
      <c r="M93" s="5"/>
      <c r="N93" s="5"/>
      <c r="O93" s="5"/>
      <c r="P93" s="12"/>
      <c r="Q93" s="1"/>
      <c r="R93" s="1"/>
      <c r="S93" s="1"/>
      <c r="T93" s="1"/>
      <c r="U93" s="3"/>
      <c r="V93" s="3"/>
      <c r="W93" s="3"/>
      <c r="X93" s="3"/>
      <c r="Y93" s="3"/>
      <c r="Z93" s="3"/>
    </row>
    <row r="94" ht="14.25" customHeight="1">
      <c r="A94" s="5"/>
      <c r="B94" s="5"/>
      <c r="C94" s="5"/>
      <c r="D94" s="5"/>
      <c r="E94" s="5"/>
      <c r="F94" s="5"/>
      <c r="G94" s="5"/>
      <c r="H94" s="1"/>
      <c r="I94" s="1"/>
      <c r="J94" s="5"/>
      <c r="K94" s="5"/>
      <c r="L94" s="5"/>
      <c r="M94" s="5"/>
      <c r="N94" s="5"/>
      <c r="O94" s="5"/>
      <c r="P94" s="12"/>
      <c r="Q94" s="1"/>
      <c r="R94" s="1"/>
      <c r="S94" s="1"/>
      <c r="T94" s="1"/>
      <c r="U94" s="3"/>
      <c r="V94" s="3"/>
      <c r="W94" s="3"/>
      <c r="X94" s="3"/>
      <c r="Y94" s="3"/>
      <c r="Z94" s="3"/>
    </row>
    <row r="95" ht="14.25" customHeight="1">
      <c r="A95" s="5"/>
      <c r="B95" s="5"/>
      <c r="C95" s="5"/>
      <c r="D95" s="5"/>
      <c r="E95" s="5"/>
      <c r="F95" s="5"/>
      <c r="G95" s="5"/>
      <c r="H95" s="1"/>
      <c r="I95" s="1"/>
      <c r="J95" s="5"/>
      <c r="K95" s="5"/>
      <c r="L95" s="5"/>
      <c r="M95" s="5"/>
      <c r="N95" s="5"/>
      <c r="O95" s="5"/>
      <c r="P95" s="12"/>
      <c r="Q95" s="1"/>
      <c r="R95" s="1"/>
      <c r="S95" s="1"/>
      <c r="T95" s="1"/>
      <c r="U95" s="3"/>
      <c r="V95" s="3"/>
      <c r="W95" s="3"/>
      <c r="X95" s="3"/>
      <c r="Y95" s="3"/>
      <c r="Z95" s="3"/>
    </row>
    <row r="96" ht="14.25" customHeight="1">
      <c r="A96" s="5"/>
      <c r="B96" s="5"/>
      <c r="C96" s="5"/>
      <c r="D96" s="5"/>
      <c r="E96" s="5"/>
      <c r="F96" s="5"/>
      <c r="G96" s="5"/>
      <c r="H96" s="1"/>
      <c r="I96" s="1"/>
      <c r="J96" s="5"/>
      <c r="K96" s="5"/>
      <c r="L96" s="5"/>
      <c r="M96" s="5"/>
      <c r="N96" s="5"/>
      <c r="O96" s="5"/>
      <c r="P96" s="12"/>
      <c r="Q96" s="1"/>
      <c r="R96" s="1"/>
      <c r="S96" s="1"/>
      <c r="T96" s="1"/>
      <c r="U96" s="3"/>
      <c r="V96" s="3"/>
      <c r="W96" s="3"/>
      <c r="X96" s="3"/>
      <c r="Y96" s="3"/>
      <c r="Z96" s="3"/>
    </row>
    <row r="97" ht="14.25" customHeight="1">
      <c r="A97" s="5"/>
      <c r="B97" s="5"/>
      <c r="C97" s="5"/>
      <c r="D97" s="5"/>
      <c r="E97" s="5"/>
      <c r="F97" s="5"/>
      <c r="G97" s="5"/>
      <c r="H97" s="1"/>
      <c r="I97" s="1"/>
      <c r="J97" s="5"/>
      <c r="K97" s="5"/>
      <c r="L97" s="5"/>
      <c r="M97" s="5"/>
      <c r="N97" s="5"/>
      <c r="O97" s="5"/>
      <c r="P97" s="12"/>
      <c r="Q97" s="1"/>
      <c r="R97" s="1"/>
      <c r="S97" s="1"/>
      <c r="T97" s="1"/>
      <c r="U97" s="3"/>
      <c r="V97" s="3"/>
      <c r="W97" s="3"/>
      <c r="X97" s="3"/>
      <c r="Y97" s="3"/>
      <c r="Z97" s="3"/>
    </row>
    <row r="98" ht="14.25" customHeight="1">
      <c r="A98" s="5"/>
      <c r="B98" s="5"/>
      <c r="C98" s="5"/>
      <c r="D98" s="5"/>
      <c r="E98" s="5"/>
      <c r="F98" s="5"/>
      <c r="G98" s="5"/>
      <c r="H98" s="1"/>
      <c r="I98" s="1"/>
      <c r="J98" s="5"/>
      <c r="K98" s="5"/>
      <c r="L98" s="5"/>
      <c r="M98" s="5"/>
      <c r="N98" s="5"/>
      <c r="O98" s="5"/>
      <c r="P98" s="12"/>
      <c r="Q98" s="1"/>
      <c r="R98" s="1"/>
      <c r="S98" s="1"/>
      <c r="T98" s="1"/>
      <c r="U98" s="3"/>
      <c r="V98" s="3"/>
      <c r="W98" s="3"/>
      <c r="X98" s="3"/>
      <c r="Y98" s="3"/>
      <c r="Z98" s="3"/>
    </row>
    <row r="99" ht="14.25" customHeight="1">
      <c r="A99" s="5"/>
      <c r="B99" s="5"/>
      <c r="C99" s="5"/>
      <c r="D99" s="5"/>
      <c r="E99" s="5"/>
      <c r="F99" s="5"/>
      <c r="G99" s="5"/>
      <c r="H99" s="1"/>
      <c r="I99" s="1"/>
      <c r="J99" s="5"/>
      <c r="K99" s="5"/>
      <c r="L99" s="5"/>
      <c r="M99" s="5"/>
      <c r="N99" s="5"/>
      <c r="O99" s="5"/>
      <c r="P99" s="12"/>
      <c r="Q99" s="1"/>
      <c r="R99" s="1"/>
      <c r="S99" s="1"/>
      <c r="T99" s="1"/>
      <c r="U99" s="3"/>
      <c r="V99" s="3"/>
      <c r="W99" s="3"/>
      <c r="X99" s="3"/>
      <c r="Y99" s="3"/>
      <c r="Z99" s="3"/>
    </row>
    <row r="100" ht="14.25" customHeight="1">
      <c r="A100" s="5"/>
      <c r="B100" s="5"/>
      <c r="C100" s="5"/>
      <c r="D100" s="5"/>
      <c r="E100" s="5"/>
      <c r="F100" s="5"/>
      <c r="G100" s="5"/>
      <c r="H100" s="1"/>
      <c r="I100" s="1"/>
      <c r="J100" s="5"/>
      <c r="K100" s="5"/>
      <c r="L100" s="5"/>
      <c r="M100" s="5"/>
      <c r="N100" s="5"/>
      <c r="O100" s="5"/>
      <c r="P100" s="12"/>
      <c r="Q100" s="1"/>
      <c r="R100" s="1"/>
      <c r="S100" s="1"/>
      <c r="T100" s="1"/>
      <c r="U100" s="3"/>
      <c r="V100" s="3"/>
      <c r="W100" s="3"/>
      <c r="X100" s="3"/>
      <c r="Y100" s="3"/>
      <c r="Z100" s="3"/>
    </row>
    <row r="101" ht="14.25" customHeight="1">
      <c r="A101" s="5"/>
      <c r="B101" s="5"/>
      <c r="C101" s="5"/>
      <c r="D101" s="5"/>
      <c r="E101" s="5"/>
      <c r="F101" s="5"/>
      <c r="G101" s="5"/>
      <c r="H101" s="1"/>
      <c r="I101" s="1"/>
      <c r="J101" s="5"/>
      <c r="K101" s="5"/>
      <c r="L101" s="5"/>
      <c r="M101" s="5"/>
      <c r="N101" s="5"/>
      <c r="O101" s="5"/>
      <c r="P101" s="12"/>
      <c r="Q101" s="1"/>
      <c r="R101" s="1"/>
      <c r="S101" s="1"/>
      <c r="T101" s="1"/>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29"/>
    <col customWidth="1" min="2" max="26" width="8.71"/>
  </cols>
  <sheetData>
    <row r="1" ht="12.75" customHeight="1"/>
    <row r="2" ht="12.75" customHeight="1">
      <c r="A2" s="13" t="s">
        <v>50</v>
      </c>
      <c r="B2" s="13">
        <v>85.0</v>
      </c>
    </row>
    <row r="3" ht="12.75" customHeight="1">
      <c r="A3" s="13" t="s">
        <v>51</v>
      </c>
      <c r="B3" s="14">
        <v>0.05</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86"/>
    <col customWidth="1" min="2" max="2" width="29.57"/>
    <col customWidth="1" min="3" max="4" width="21.43"/>
    <col customWidth="1" min="5" max="6" width="13.86"/>
    <col customWidth="1" min="7" max="26" width="8.71"/>
  </cols>
  <sheetData>
    <row r="1" ht="9.0" customHeight="1">
      <c r="A1" s="15" t="s">
        <v>2</v>
      </c>
      <c r="B1" s="15" t="s">
        <v>0</v>
      </c>
      <c r="C1" s="15" t="s">
        <v>52</v>
      </c>
      <c r="D1" s="15" t="s">
        <v>53</v>
      </c>
      <c r="E1" s="15" t="s">
        <v>54</v>
      </c>
      <c r="F1" s="15" t="s">
        <v>55</v>
      </c>
      <c r="G1" s="15" t="s">
        <v>56</v>
      </c>
      <c r="H1" s="16"/>
      <c r="I1" s="16"/>
      <c r="J1" s="16"/>
      <c r="K1" s="16"/>
      <c r="L1" s="16"/>
      <c r="M1" s="16"/>
      <c r="N1" s="16"/>
      <c r="O1" s="16"/>
      <c r="P1" s="16"/>
      <c r="Q1" s="16"/>
      <c r="R1" s="16"/>
      <c r="S1" s="16"/>
      <c r="T1" s="16"/>
      <c r="U1" s="16"/>
      <c r="V1" s="16"/>
      <c r="W1" s="16"/>
      <c r="X1" s="16"/>
      <c r="Y1" s="16"/>
      <c r="Z1" s="16"/>
    </row>
    <row r="2" ht="9.0" customHeight="1">
      <c r="A2" s="17">
        <v>1.0</v>
      </c>
      <c r="B2" s="16" t="s">
        <v>22</v>
      </c>
      <c r="C2" s="16" t="s">
        <v>22</v>
      </c>
      <c r="D2" s="16" t="s">
        <v>23</v>
      </c>
      <c r="E2" s="16" t="s">
        <v>57</v>
      </c>
      <c r="F2" s="16" t="s">
        <v>45</v>
      </c>
      <c r="G2" s="16" t="s">
        <v>58</v>
      </c>
      <c r="H2" s="16"/>
      <c r="I2" s="16"/>
      <c r="J2" s="16"/>
      <c r="K2" s="16"/>
      <c r="L2" s="16"/>
      <c r="M2" s="16"/>
      <c r="N2" s="16"/>
      <c r="O2" s="16"/>
      <c r="P2" s="16"/>
      <c r="Q2" s="16"/>
      <c r="R2" s="16"/>
      <c r="S2" s="16"/>
      <c r="T2" s="16"/>
      <c r="U2" s="16"/>
      <c r="V2" s="16"/>
      <c r="W2" s="16"/>
      <c r="X2" s="16"/>
      <c r="Y2" s="16"/>
      <c r="Z2" s="16"/>
    </row>
    <row r="3" ht="9.0" customHeight="1">
      <c r="A3" s="17">
        <f t="shared" ref="A3:A101" si="1">A2+1</f>
        <v>2</v>
      </c>
      <c r="B3" s="16" t="s">
        <v>59</v>
      </c>
      <c r="C3" s="16" t="s">
        <v>59</v>
      </c>
      <c r="D3" s="16" t="s">
        <v>60</v>
      </c>
      <c r="E3" s="16" t="s">
        <v>61</v>
      </c>
      <c r="F3" s="16" t="s">
        <v>62</v>
      </c>
      <c r="G3" s="16" t="s">
        <v>63</v>
      </c>
      <c r="H3" s="16"/>
      <c r="I3" s="16"/>
      <c r="J3" s="16"/>
      <c r="K3" s="16"/>
      <c r="L3" s="16"/>
      <c r="M3" s="16"/>
      <c r="N3" s="16"/>
      <c r="O3" s="16"/>
      <c r="P3" s="16"/>
      <c r="Q3" s="16"/>
      <c r="R3" s="16"/>
      <c r="S3" s="16"/>
      <c r="T3" s="16"/>
      <c r="U3" s="16"/>
      <c r="V3" s="16"/>
      <c r="W3" s="16"/>
      <c r="X3" s="16"/>
      <c r="Y3" s="16"/>
      <c r="Z3" s="16"/>
    </row>
    <row r="4" ht="9.0" customHeight="1">
      <c r="A4" s="17">
        <f t="shared" si="1"/>
        <v>3</v>
      </c>
      <c r="B4" s="16" t="s">
        <v>64</v>
      </c>
      <c r="C4" s="16" t="s">
        <v>65</v>
      </c>
      <c r="D4" s="16" t="s">
        <v>66</v>
      </c>
      <c r="E4" s="16" t="s">
        <v>67</v>
      </c>
      <c r="F4" s="16" t="s">
        <v>68</v>
      </c>
      <c r="G4" s="16" t="s">
        <v>69</v>
      </c>
      <c r="H4" s="16"/>
      <c r="I4" s="16"/>
      <c r="J4" s="16"/>
      <c r="K4" s="16"/>
      <c r="L4" s="16"/>
      <c r="M4" s="16"/>
      <c r="N4" s="16"/>
      <c r="O4" s="16"/>
      <c r="P4" s="16"/>
      <c r="Q4" s="16"/>
      <c r="R4" s="16"/>
      <c r="S4" s="16"/>
      <c r="T4" s="16"/>
      <c r="U4" s="16"/>
      <c r="V4" s="16"/>
      <c r="W4" s="16"/>
      <c r="X4" s="16"/>
      <c r="Y4" s="16"/>
      <c r="Z4" s="16"/>
    </row>
    <row r="5" ht="9.0" customHeight="1">
      <c r="A5" s="17">
        <f t="shared" si="1"/>
        <v>4</v>
      </c>
      <c r="B5" s="16" t="s">
        <v>70</v>
      </c>
      <c r="C5" s="16" t="s">
        <v>70</v>
      </c>
      <c r="D5" s="16" t="s">
        <v>71</v>
      </c>
      <c r="E5" s="16" t="s">
        <v>72</v>
      </c>
      <c r="F5" s="16" t="s">
        <v>73</v>
      </c>
      <c r="G5" s="16" t="s">
        <v>74</v>
      </c>
      <c r="H5" s="16"/>
      <c r="I5" s="16"/>
      <c r="J5" s="16"/>
      <c r="K5" s="16"/>
      <c r="L5" s="16"/>
      <c r="M5" s="16"/>
      <c r="N5" s="16"/>
      <c r="O5" s="16"/>
      <c r="P5" s="16"/>
      <c r="Q5" s="16"/>
      <c r="R5" s="16"/>
      <c r="S5" s="16"/>
      <c r="T5" s="16"/>
      <c r="U5" s="16"/>
      <c r="V5" s="16"/>
      <c r="W5" s="16"/>
      <c r="X5" s="16"/>
      <c r="Y5" s="16"/>
      <c r="Z5" s="16"/>
    </row>
    <row r="6" ht="9.0" customHeight="1">
      <c r="A6" s="17">
        <f t="shared" si="1"/>
        <v>5</v>
      </c>
      <c r="B6" s="16" t="s">
        <v>75</v>
      </c>
      <c r="C6" s="16" t="s">
        <v>76</v>
      </c>
      <c r="D6" s="16" t="s">
        <v>77</v>
      </c>
      <c r="E6" s="16" t="s">
        <v>78</v>
      </c>
      <c r="F6" s="16" t="s">
        <v>79</v>
      </c>
      <c r="G6" s="16" t="s">
        <v>80</v>
      </c>
      <c r="H6" s="16"/>
      <c r="I6" s="16"/>
      <c r="J6" s="16"/>
      <c r="K6" s="16"/>
      <c r="L6" s="16"/>
      <c r="M6" s="16"/>
      <c r="N6" s="16"/>
      <c r="O6" s="16"/>
      <c r="P6" s="16"/>
      <c r="Q6" s="16"/>
      <c r="R6" s="16"/>
      <c r="S6" s="16"/>
      <c r="T6" s="16"/>
      <c r="U6" s="16"/>
      <c r="V6" s="16"/>
      <c r="W6" s="16"/>
      <c r="X6" s="16"/>
      <c r="Y6" s="16"/>
      <c r="Z6" s="16"/>
    </row>
    <row r="7" ht="9.0" customHeight="1">
      <c r="A7" s="17">
        <f t="shared" si="1"/>
        <v>6</v>
      </c>
      <c r="B7" s="16" t="s">
        <v>81</v>
      </c>
      <c r="C7" s="16" t="s">
        <v>82</v>
      </c>
      <c r="D7" s="16" t="s">
        <v>83</v>
      </c>
      <c r="E7" s="16" t="s">
        <v>84</v>
      </c>
      <c r="F7" s="16" t="s">
        <v>85</v>
      </c>
      <c r="G7" s="16" t="s">
        <v>86</v>
      </c>
      <c r="H7" s="16"/>
      <c r="I7" s="16"/>
      <c r="J7" s="16"/>
      <c r="K7" s="16"/>
      <c r="L7" s="16"/>
      <c r="M7" s="16"/>
      <c r="N7" s="16"/>
      <c r="O7" s="16"/>
      <c r="P7" s="16"/>
      <c r="Q7" s="16"/>
      <c r="R7" s="16"/>
      <c r="S7" s="16"/>
      <c r="T7" s="16"/>
      <c r="U7" s="16"/>
      <c r="V7" s="16"/>
      <c r="W7" s="16"/>
      <c r="X7" s="16"/>
      <c r="Y7" s="16"/>
      <c r="Z7" s="16"/>
    </row>
    <row r="8" ht="9.0" customHeight="1">
      <c r="A8" s="17">
        <f t="shared" si="1"/>
        <v>7</v>
      </c>
      <c r="B8" s="16" t="s">
        <v>87</v>
      </c>
      <c r="C8" s="16" t="s">
        <v>88</v>
      </c>
      <c r="D8" s="16" t="s">
        <v>89</v>
      </c>
      <c r="E8" s="16" t="s">
        <v>90</v>
      </c>
      <c r="F8" s="16" t="s">
        <v>91</v>
      </c>
      <c r="G8" s="16" t="s">
        <v>92</v>
      </c>
      <c r="H8" s="16"/>
      <c r="I8" s="16"/>
      <c r="J8" s="16"/>
      <c r="K8" s="16"/>
      <c r="L8" s="16"/>
      <c r="M8" s="16"/>
      <c r="N8" s="16"/>
      <c r="O8" s="16"/>
      <c r="P8" s="16"/>
      <c r="Q8" s="16"/>
      <c r="R8" s="16"/>
      <c r="S8" s="16"/>
      <c r="T8" s="16"/>
      <c r="U8" s="16"/>
      <c r="V8" s="16"/>
      <c r="W8" s="16"/>
      <c r="X8" s="16"/>
      <c r="Y8" s="16"/>
      <c r="Z8" s="16"/>
    </row>
    <row r="9" ht="9.0" customHeight="1">
      <c r="A9" s="17">
        <f t="shared" si="1"/>
        <v>8</v>
      </c>
      <c r="B9" s="16" t="s">
        <v>93</v>
      </c>
      <c r="C9" s="16" t="s">
        <v>94</v>
      </c>
      <c r="D9" s="16" t="s">
        <v>95</v>
      </c>
      <c r="E9" s="16" t="s">
        <v>96</v>
      </c>
      <c r="F9" s="16" t="s">
        <v>97</v>
      </c>
      <c r="G9" s="16" t="s">
        <v>98</v>
      </c>
      <c r="H9" s="16"/>
      <c r="I9" s="16"/>
      <c r="J9" s="16"/>
      <c r="K9" s="16"/>
      <c r="L9" s="16"/>
      <c r="M9" s="16"/>
      <c r="N9" s="16"/>
      <c r="O9" s="16"/>
      <c r="P9" s="16"/>
      <c r="Q9" s="16"/>
      <c r="R9" s="16"/>
      <c r="S9" s="16"/>
      <c r="T9" s="16"/>
      <c r="U9" s="16"/>
      <c r="V9" s="16"/>
      <c r="W9" s="16"/>
      <c r="X9" s="16"/>
      <c r="Y9" s="16"/>
      <c r="Z9" s="16"/>
    </row>
    <row r="10" ht="9.0" customHeight="1">
      <c r="A10" s="17">
        <f t="shared" si="1"/>
        <v>9</v>
      </c>
      <c r="B10" s="16" t="s">
        <v>99</v>
      </c>
      <c r="C10" s="16" t="s">
        <v>100</v>
      </c>
      <c r="D10" s="16"/>
      <c r="E10" s="16"/>
      <c r="F10" s="16" t="s">
        <v>101</v>
      </c>
      <c r="G10" s="16"/>
      <c r="H10" s="16"/>
      <c r="I10" s="16"/>
      <c r="J10" s="16"/>
      <c r="K10" s="16"/>
      <c r="L10" s="16"/>
      <c r="M10" s="16"/>
      <c r="N10" s="16"/>
      <c r="O10" s="16"/>
      <c r="P10" s="16"/>
      <c r="Q10" s="16"/>
      <c r="R10" s="16"/>
      <c r="S10" s="16"/>
      <c r="T10" s="16"/>
      <c r="U10" s="16"/>
      <c r="V10" s="16"/>
      <c r="W10" s="16"/>
      <c r="X10" s="16"/>
      <c r="Y10" s="16"/>
      <c r="Z10" s="16"/>
    </row>
    <row r="11" ht="9.0" customHeight="1">
      <c r="A11" s="17">
        <f t="shared" si="1"/>
        <v>10</v>
      </c>
      <c r="B11" s="16" t="s">
        <v>102</v>
      </c>
      <c r="C11" s="16" t="s">
        <v>102</v>
      </c>
      <c r="D11" s="16" t="s">
        <v>103</v>
      </c>
      <c r="E11" s="16" t="s">
        <v>104</v>
      </c>
      <c r="F11" s="16" t="s">
        <v>105</v>
      </c>
      <c r="G11" s="16" t="s">
        <v>106</v>
      </c>
      <c r="H11" s="16"/>
      <c r="I11" s="16"/>
      <c r="J11" s="16"/>
      <c r="K11" s="16"/>
      <c r="L11" s="16"/>
      <c r="M11" s="16"/>
      <c r="N11" s="16"/>
      <c r="O11" s="16"/>
      <c r="P11" s="16"/>
      <c r="Q11" s="16"/>
      <c r="R11" s="16"/>
      <c r="S11" s="16"/>
      <c r="T11" s="16"/>
      <c r="U11" s="16"/>
      <c r="V11" s="16"/>
      <c r="W11" s="16"/>
      <c r="X11" s="16"/>
      <c r="Y11" s="16"/>
      <c r="Z11" s="16"/>
    </row>
    <row r="12" ht="9.0" customHeight="1">
      <c r="A12" s="17">
        <f t="shared" si="1"/>
        <v>11</v>
      </c>
      <c r="B12" s="16" t="s">
        <v>107</v>
      </c>
      <c r="C12" s="16" t="s">
        <v>108</v>
      </c>
      <c r="D12" s="16" t="s">
        <v>109</v>
      </c>
      <c r="E12" s="16" t="s">
        <v>110</v>
      </c>
      <c r="F12" s="16" t="s">
        <v>111</v>
      </c>
      <c r="G12" s="16" t="s">
        <v>112</v>
      </c>
      <c r="H12" s="16"/>
      <c r="I12" s="16"/>
      <c r="J12" s="16"/>
      <c r="K12" s="16"/>
      <c r="L12" s="16"/>
      <c r="M12" s="16"/>
      <c r="N12" s="16"/>
      <c r="O12" s="16"/>
      <c r="P12" s="16"/>
      <c r="Q12" s="16"/>
      <c r="R12" s="16"/>
      <c r="S12" s="16"/>
      <c r="T12" s="16"/>
      <c r="U12" s="16"/>
      <c r="V12" s="16"/>
      <c r="W12" s="16"/>
      <c r="X12" s="16"/>
      <c r="Y12" s="16"/>
      <c r="Z12" s="16"/>
    </row>
    <row r="13" ht="9.0" customHeight="1">
      <c r="A13" s="17">
        <f t="shared" si="1"/>
        <v>12</v>
      </c>
      <c r="B13" s="16" t="s">
        <v>113</v>
      </c>
      <c r="C13" s="16" t="s">
        <v>113</v>
      </c>
      <c r="D13" s="16" t="s">
        <v>114</v>
      </c>
      <c r="E13" s="16" t="s">
        <v>115</v>
      </c>
      <c r="F13" s="16" t="s">
        <v>116</v>
      </c>
      <c r="G13" s="16" t="s">
        <v>117</v>
      </c>
      <c r="H13" s="16"/>
      <c r="I13" s="16"/>
      <c r="J13" s="16"/>
      <c r="K13" s="16"/>
      <c r="L13" s="16"/>
      <c r="M13" s="16"/>
      <c r="N13" s="16"/>
      <c r="O13" s="16"/>
      <c r="P13" s="16"/>
      <c r="Q13" s="16"/>
      <c r="R13" s="16"/>
      <c r="S13" s="16"/>
      <c r="T13" s="16"/>
      <c r="U13" s="16"/>
      <c r="V13" s="16"/>
      <c r="W13" s="16"/>
      <c r="X13" s="16"/>
      <c r="Y13" s="16"/>
      <c r="Z13" s="16"/>
    </row>
    <row r="14" ht="9.0" customHeight="1">
      <c r="A14" s="17">
        <f t="shared" si="1"/>
        <v>13</v>
      </c>
      <c r="B14" s="16" t="s">
        <v>118</v>
      </c>
      <c r="C14" s="16" t="s">
        <v>119</v>
      </c>
      <c r="D14" s="16" t="s">
        <v>120</v>
      </c>
      <c r="E14" s="16" t="s">
        <v>121</v>
      </c>
      <c r="F14" s="16" t="s">
        <v>122</v>
      </c>
      <c r="G14" s="16" t="s">
        <v>123</v>
      </c>
      <c r="H14" s="16"/>
      <c r="I14" s="16"/>
      <c r="J14" s="16"/>
      <c r="K14" s="16"/>
      <c r="L14" s="16"/>
      <c r="M14" s="16"/>
      <c r="N14" s="16"/>
      <c r="O14" s="16"/>
      <c r="P14" s="16"/>
      <c r="Q14" s="16"/>
      <c r="R14" s="16"/>
      <c r="S14" s="16"/>
      <c r="T14" s="16"/>
      <c r="U14" s="16"/>
      <c r="V14" s="16"/>
      <c r="W14" s="16"/>
      <c r="X14" s="16"/>
      <c r="Y14" s="16"/>
      <c r="Z14" s="16"/>
    </row>
    <row r="15" ht="9.0" customHeight="1">
      <c r="A15" s="17">
        <f t="shared" si="1"/>
        <v>14</v>
      </c>
      <c r="B15" s="16" t="s">
        <v>124</v>
      </c>
      <c r="C15" s="16" t="s">
        <v>125</v>
      </c>
      <c r="D15" s="16" t="s">
        <v>126</v>
      </c>
      <c r="E15" s="16" t="s">
        <v>127</v>
      </c>
      <c r="F15" s="16" t="s">
        <v>128</v>
      </c>
      <c r="G15" s="16" t="s">
        <v>129</v>
      </c>
      <c r="H15" s="16"/>
      <c r="I15" s="16"/>
      <c r="J15" s="16"/>
      <c r="K15" s="16"/>
      <c r="L15" s="16"/>
      <c r="M15" s="16"/>
      <c r="N15" s="16"/>
      <c r="O15" s="16"/>
      <c r="P15" s="16"/>
      <c r="Q15" s="16"/>
      <c r="R15" s="16"/>
      <c r="S15" s="16"/>
      <c r="T15" s="16"/>
      <c r="U15" s="16"/>
      <c r="V15" s="16"/>
      <c r="W15" s="16"/>
      <c r="X15" s="16"/>
      <c r="Y15" s="16"/>
      <c r="Z15" s="16"/>
    </row>
    <row r="16" ht="9.0" customHeight="1">
      <c r="A16" s="17">
        <f t="shared" si="1"/>
        <v>15</v>
      </c>
      <c r="B16" s="16" t="s">
        <v>130</v>
      </c>
      <c r="C16" s="16" t="s">
        <v>131</v>
      </c>
      <c r="D16" s="16" t="s">
        <v>132</v>
      </c>
      <c r="E16" s="16" t="s">
        <v>133</v>
      </c>
      <c r="F16" s="16" t="s">
        <v>134</v>
      </c>
      <c r="G16" s="16" t="s">
        <v>135</v>
      </c>
      <c r="H16" s="16"/>
      <c r="I16" s="16"/>
      <c r="J16" s="16"/>
      <c r="K16" s="16"/>
      <c r="L16" s="16"/>
      <c r="M16" s="16"/>
      <c r="N16" s="16"/>
      <c r="O16" s="16"/>
      <c r="P16" s="16"/>
      <c r="Q16" s="16"/>
      <c r="R16" s="16"/>
      <c r="S16" s="16"/>
      <c r="T16" s="16"/>
      <c r="U16" s="16"/>
      <c r="V16" s="16"/>
      <c r="W16" s="16"/>
      <c r="X16" s="16"/>
      <c r="Y16" s="16"/>
      <c r="Z16" s="16"/>
    </row>
    <row r="17" ht="9.0" customHeight="1">
      <c r="A17" s="17">
        <f t="shared" si="1"/>
        <v>16</v>
      </c>
      <c r="B17" s="16" t="s">
        <v>136</v>
      </c>
      <c r="C17" s="16" t="s">
        <v>136</v>
      </c>
      <c r="D17" s="16" t="s">
        <v>137</v>
      </c>
      <c r="E17" s="16" t="s">
        <v>138</v>
      </c>
      <c r="F17" s="16" t="s">
        <v>139</v>
      </c>
      <c r="G17" s="16" t="s">
        <v>140</v>
      </c>
      <c r="H17" s="16"/>
      <c r="I17" s="16"/>
      <c r="J17" s="16"/>
      <c r="K17" s="16"/>
      <c r="L17" s="16"/>
      <c r="M17" s="16"/>
      <c r="N17" s="16"/>
      <c r="O17" s="16"/>
      <c r="P17" s="16"/>
      <c r="Q17" s="16"/>
      <c r="R17" s="16"/>
      <c r="S17" s="16"/>
      <c r="T17" s="16"/>
      <c r="U17" s="16"/>
      <c r="V17" s="16"/>
      <c r="W17" s="16"/>
      <c r="X17" s="16"/>
      <c r="Y17" s="16"/>
      <c r="Z17" s="16"/>
    </row>
    <row r="18" ht="9.0" customHeight="1">
      <c r="A18" s="17">
        <f t="shared" si="1"/>
        <v>17</v>
      </c>
      <c r="B18" s="16" t="s">
        <v>141</v>
      </c>
      <c r="C18" s="16" t="s">
        <v>142</v>
      </c>
      <c r="D18" s="16"/>
      <c r="E18" s="16"/>
      <c r="F18" s="16" t="s">
        <v>143</v>
      </c>
      <c r="G18" s="16"/>
      <c r="H18" s="16"/>
      <c r="I18" s="16"/>
      <c r="J18" s="16"/>
      <c r="K18" s="16"/>
      <c r="L18" s="16"/>
      <c r="M18" s="16"/>
      <c r="N18" s="16"/>
      <c r="O18" s="16"/>
      <c r="P18" s="16"/>
      <c r="Q18" s="16"/>
      <c r="R18" s="16"/>
      <c r="S18" s="16"/>
      <c r="T18" s="16"/>
      <c r="U18" s="16"/>
      <c r="V18" s="16"/>
      <c r="W18" s="16"/>
      <c r="X18" s="16"/>
      <c r="Y18" s="16"/>
      <c r="Z18" s="16"/>
    </row>
    <row r="19" ht="9.0" customHeight="1">
      <c r="A19" s="17">
        <f t="shared" si="1"/>
        <v>18</v>
      </c>
      <c r="B19" s="16" t="s">
        <v>144</v>
      </c>
      <c r="C19" s="16" t="s">
        <v>145</v>
      </c>
      <c r="D19" s="16" t="s">
        <v>146</v>
      </c>
      <c r="E19" s="16" t="s">
        <v>147</v>
      </c>
      <c r="F19" s="16" t="s">
        <v>148</v>
      </c>
      <c r="G19" s="16" t="s">
        <v>149</v>
      </c>
      <c r="H19" s="16"/>
      <c r="I19" s="16"/>
      <c r="J19" s="16"/>
      <c r="K19" s="16"/>
      <c r="L19" s="16"/>
      <c r="M19" s="16"/>
      <c r="N19" s="16"/>
      <c r="O19" s="16"/>
      <c r="P19" s="16"/>
      <c r="Q19" s="16"/>
      <c r="R19" s="16"/>
      <c r="S19" s="16"/>
      <c r="T19" s="16"/>
      <c r="U19" s="16"/>
      <c r="V19" s="16"/>
      <c r="W19" s="16"/>
      <c r="X19" s="16"/>
      <c r="Y19" s="16"/>
      <c r="Z19" s="16"/>
    </row>
    <row r="20" ht="9.0" customHeight="1">
      <c r="A20" s="17">
        <f t="shared" si="1"/>
        <v>19</v>
      </c>
      <c r="B20" s="16" t="s">
        <v>150</v>
      </c>
      <c r="C20" s="16" t="s">
        <v>151</v>
      </c>
      <c r="D20" s="16" t="s">
        <v>152</v>
      </c>
      <c r="E20" s="16" t="s">
        <v>153</v>
      </c>
      <c r="F20" s="16" t="s">
        <v>154</v>
      </c>
      <c r="G20" s="16" t="s">
        <v>155</v>
      </c>
      <c r="H20" s="16"/>
      <c r="I20" s="16"/>
      <c r="J20" s="16"/>
      <c r="K20" s="16"/>
      <c r="L20" s="16"/>
      <c r="M20" s="16"/>
      <c r="N20" s="16"/>
      <c r="O20" s="16"/>
      <c r="P20" s="16"/>
      <c r="Q20" s="16"/>
      <c r="R20" s="16"/>
      <c r="S20" s="16"/>
      <c r="T20" s="16"/>
      <c r="U20" s="16"/>
      <c r="V20" s="16"/>
      <c r="W20" s="16"/>
      <c r="X20" s="16"/>
      <c r="Y20" s="16"/>
      <c r="Z20" s="16"/>
    </row>
    <row r="21" ht="9.0" customHeight="1">
      <c r="A21" s="17">
        <f t="shared" si="1"/>
        <v>20</v>
      </c>
      <c r="B21" s="16" t="s">
        <v>156</v>
      </c>
      <c r="C21" s="16" t="s">
        <v>156</v>
      </c>
      <c r="D21" s="16" t="s">
        <v>157</v>
      </c>
      <c r="E21" s="16" t="s">
        <v>158</v>
      </c>
      <c r="F21" s="16" t="s">
        <v>159</v>
      </c>
      <c r="G21" s="16" t="s">
        <v>160</v>
      </c>
      <c r="H21" s="16"/>
      <c r="I21" s="16"/>
      <c r="J21" s="16"/>
      <c r="K21" s="16"/>
      <c r="L21" s="16"/>
      <c r="M21" s="16"/>
      <c r="N21" s="16"/>
      <c r="O21" s="16"/>
      <c r="P21" s="16"/>
      <c r="Q21" s="16"/>
      <c r="R21" s="16"/>
      <c r="S21" s="16"/>
      <c r="T21" s="16"/>
      <c r="U21" s="16"/>
      <c r="V21" s="16"/>
      <c r="W21" s="16"/>
      <c r="X21" s="16"/>
      <c r="Y21" s="16"/>
      <c r="Z21" s="16"/>
    </row>
    <row r="22" ht="9.0" customHeight="1">
      <c r="A22" s="17">
        <f t="shared" si="1"/>
        <v>21</v>
      </c>
      <c r="B22" s="16" t="s">
        <v>161</v>
      </c>
      <c r="C22" s="16" t="s">
        <v>162</v>
      </c>
      <c r="D22" s="16" t="s">
        <v>163</v>
      </c>
      <c r="E22" s="16"/>
      <c r="F22" s="16" t="s">
        <v>163</v>
      </c>
      <c r="G22" s="16"/>
      <c r="H22" s="16"/>
      <c r="I22" s="16"/>
      <c r="J22" s="16"/>
      <c r="K22" s="16"/>
      <c r="L22" s="16"/>
      <c r="M22" s="16"/>
      <c r="N22" s="16"/>
      <c r="O22" s="16"/>
      <c r="P22" s="16"/>
      <c r="Q22" s="16"/>
      <c r="R22" s="16"/>
      <c r="S22" s="16"/>
      <c r="T22" s="16"/>
      <c r="U22" s="16"/>
      <c r="V22" s="16"/>
      <c r="W22" s="16"/>
      <c r="X22" s="16"/>
      <c r="Y22" s="16"/>
      <c r="Z22" s="16"/>
    </row>
    <row r="23" ht="9.0" customHeight="1">
      <c r="A23" s="17">
        <f t="shared" si="1"/>
        <v>22</v>
      </c>
      <c r="B23" s="16" t="s">
        <v>164</v>
      </c>
      <c r="C23" s="16" t="s">
        <v>164</v>
      </c>
      <c r="D23" s="16" t="s">
        <v>165</v>
      </c>
      <c r="E23" s="16" t="s">
        <v>166</v>
      </c>
      <c r="F23" s="16" t="s">
        <v>167</v>
      </c>
      <c r="G23" s="16" t="s">
        <v>168</v>
      </c>
      <c r="H23" s="16"/>
      <c r="I23" s="16"/>
      <c r="J23" s="16"/>
      <c r="K23" s="16"/>
      <c r="L23" s="16"/>
      <c r="M23" s="16"/>
      <c r="N23" s="16"/>
      <c r="O23" s="16"/>
      <c r="P23" s="16"/>
      <c r="Q23" s="16"/>
      <c r="R23" s="16"/>
      <c r="S23" s="16"/>
      <c r="T23" s="16"/>
      <c r="U23" s="16"/>
      <c r="V23" s="16"/>
      <c r="W23" s="16"/>
      <c r="X23" s="16"/>
      <c r="Y23" s="16"/>
      <c r="Z23" s="16"/>
    </row>
    <row r="24" ht="9.0" customHeight="1">
      <c r="A24" s="17">
        <f t="shared" si="1"/>
        <v>23</v>
      </c>
      <c r="B24" s="16" t="s">
        <v>169</v>
      </c>
      <c r="C24" s="16" t="s">
        <v>170</v>
      </c>
      <c r="D24" s="16" t="s">
        <v>171</v>
      </c>
      <c r="E24" s="16" t="s">
        <v>172</v>
      </c>
      <c r="F24" s="16" t="s">
        <v>173</v>
      </c>
      <c r="G24" s="16" t="s">
        <v>174</v>
      </c>
      <c r="H24" s="16"/>
      <c r="I24" s="16"/>
      <c r="J24" s="16"/>
      <c r="K24" s="16"/>
      <c r="L24" s="16"/>
      <c r="M24" s="16"/>
      <c r="N24" s="16"/>
      <c r="O24" s="16"/>
      <c r="P24" s="16"/>
      <c r="Q24" s="16"/>
      <c r="R24" s="16"/>
      <c r="S24" s="16"/>
      <c r="T24" s="16"/>
      <c r="U24" s="16"/>
      <c r="V24" s="16"/>
      <c r="W24" s="16"/>
      <c r="X24" s="16"/>
      <c r="Y24" s="16"/>
      <c r="Z24" s="16"/>
    </row>
    <row r="25" ht="9.0" customHeight="1">
      <c r="A25" s="17">
        <f t="shared" si="1"/>
        <v>24</v>
      </c>
      <c r="B25" s="16" t="s">
        <v>175</v>
      </c>
      <c r="C25" s="16" t="s">
        <v>176</v>
      </c>
      <c r="D25" s="16" t="s">
        <v>177</v>
      </c>
      <c r="E25" s="16"/>
      <c r="F25" s="16" t="s">
        <v>177</v>
      </c>
      <c r="G25" s="16"/>
      <c r="H25" s="16"/>
      <c r="I25" s="16"/>
      <c r="J25" s="16"/>
      <c r="K25" s="16"/>
      <c r="L25" s="16"/>
      <c r="M25" s="16"/>
      <c r="N25" s="16"/>
      <c r="O25" s="16"/>
      <c r="P25" s="16"/>
      <c r="Q25" s="16"/>
      <c r="R25" s="16"/>
      <c r="S25" s="16"/>
      <c r="T25" s="16"/>
      <c r="U25" s="16"/>
      <c r="V25" s="16"/>
      <c r="W25" s="16"/>
      <c r="X25" s="16"/>
      <c r="Y25" s="16"/>
      <c r="Z25" s="16"/>
    </row>
    <row r="26" ht="9.0" customHeight="1">
      <c r="A26" s="17">
        <f t="shared" si="1"/>
        <v>25</v>
      </c>
      <c r="B26" s="16" t="s">
        <v>178</v>
      </c>
      <c r="C26" s="16" t="s">
        <v>179</v>
      </c>
      <c r="D26" s="16" t="s">
        <v>180</v>
      </c>
      <c r="E26" s="16"/>
      <c r="F26" s="16" t="s">
        <v>180</v>
      </c>
      <c r="G26" s="16"/>
      <c r="H26" s="16"/>
      <c r="I26" s="16"/>
      <c r="J26" s="16"/>
      <c r="K26" s="16"/>
      <c r="L26" s="16"/>
      <c r="M26" s="16"/>
      <c r="N26" s="16"/>
      <c r="O26" s="16"/>
      <c r="P26" s="16"/>
      <c r="Q26" s="16"/>
      <c r="R26" s="16"/>
      <c r="S26" s="16"/>
      <c r="T26" s="16"/>
      <c r="U26" s="16"/>
      <c r="V26" s="16"/>
      <c r="W26" s="16"/>
      <c r="X26" s="16"/>
      <c r="Y26" s="16"/>
      <c r="Z26" s="16"/>
    </row>
    <row r="27" ht="9.0" customHeight="1">
      <c r="A27" s="17">
        <f t="shared" si="1"/>
        <v>26</v>
      </c>
      <c r="B27" s="16" t="s">
        <v>181</v>
      </c>
      <c r="C27" s="16" t="s">
        <v>181</v>
      </c>
      <c r="D27" s="16" t="s">
        <v>182</v>
      </c>
      <c r="E27" s="16"/>
      <c r="F27" s="16" t="s">
        <v>182</v>
      </c>
      <c r="G27" s="16"/>
      <c r="H27" s="16"/>
      <c r="I27" s="16"/>
      <c r="J27" s="16"/>
      <c r="K27" s="16"/>
      <c r="L27" s="16"/>
      <c r="M27" s="16"/>
      <c r="N27" s="16"/>
      <c r="O27" s="16"/>
      <c r="P27" s="16"/>
      <c r="Q27" s="16"/>
      <c r="R27" s="16"/>
      <c r="S27" s="16"/>
      <c r="T27" s="16"/>
      <c r="U27" s="16"/>
      <c r="V27" s="16"/>
      <c r="W27" s="16"/>
      <c r="X27" s="16"/>
      <c r="Y27" s="16"/>
      <c r="Z27" s="16"/>
    </row>
    <row r="28" ht="9.0" customHeight="1">
      <c r="A28" s="17">
        <f t="shared" si="1"/>
        <v>27</v>
      </c>
      <c r="B28" s="16" t="s">
        <v>183</v>
      </c>
      <c r="C28" s="16" t="s">
        <v>184</v>
      </c>
      <c r="D28" s="16" t="s">
        <v>185</v>
      </c>
      <c r="E28" s="16" t="s">
        <v>186</v>
      </c>
      <c r="F28" s="16" t="s">
        <v>187</v>
      </c>
      <c r="G28" s="16" t="s">
        <v>188</v>
      </c>
      <c r="H28" s="16"/>
      <c r="I28" s="16"/>
      <c r="J28" s="16"/>
      <c r="K28" s="16"/>
      <c r="L28" s="16"/>
      <c r="M28" s="16"/>
      <c r="N28" s="16"/>
      <c r="O28" s="16"/>
      <c r="P28" s="16"/>
      <c r="Q28" s="16"/>
      <c r="R28" s="16"/>
      <c r="S28" s="16"/>
      <c r="T28" s="16"/>
      <c r="U28" s="16"/>
      <c r="V28" s="16"/>
      <c r="W28" s="16"/>
      <c r="X28" s="16"/>
      <c r="Y28" s="16"/>
      <c r="Z28" s="16"/>
    </row>
    <row r="29" ht="9.0" customHeight="1">
      <c r="A29" s="17">
        <f t="shared" si="1"/>
        <v>28</v>
      </c>
      <c r="B29" s="16" t="s">
        <v>189</v>
      </c>
      <c r="C29" s="16" t="s">
        <v>190</v>
      </c>
      <c r="D29" s="16" t="s">
        <v>191</v>
      </c>
      <c r="E29" s="16" t="s">
        <v>192</v>
      </c>
      <c r="F29" s="16" t="s">
        <v>193</v>
      </c>
      <c r="G29" s="16" t="s">
        <v>194</v>
      </c>
      <c r="H29" s="16"/>
      <c r="I29" s="16"/>
      <c r="J29" s="16"/>
      <c r="K29" s="16"/>
      <c r="L29" s="16"/>
      <c r="M29" s="16"/>
      <c r="N29" s="16"/>
      <c r="O29" s="16"/>
      <c r="P29" s="16"/>
      <c r="Q29" s="16"/>
      <c r="R29" s="16"/>
      <c r="S29" s="16"/>
      <c r="T29" s="16"/>
      <c r="U29" s="16"/>
      <c r="V29" s="16"/>
      <c r="W29" s="16"/>
      <c r="X29" s="16"/>
      <c r="Y29" s="16"/>
      <c r="Z29" s="16"/>
    </row>
    <row r="30" ht="9.0" customHeight="1">
      <c r="A30" s="17">
        <f t="shared" si="1"/>
        <v>29</v>
      </c>
      <c r="B30" s="16" t="s">
        <v>195</v>
      </c>
      <c r="C30" s="16" t="s">
        <v>196</v>
      </c>
      <c r="D30" s="16" t="s">
        <v>197</v>
      </c>
      <c r="E30" s="16" t="s">
        <v>198</v>
      </c>
      <c r="F30" s="16" t="s">
        <v>199</v>
      </c>
      <c r="G30" s="16" t="s">
        <v>200</v>
      </c>
      <c r="H30" s="16"/>
      <c r="I30" s="16"/>
      <c r="J30" s="16"/>
      <c r="K30" s="16"/>
      <c r="L30" s="16"/>
      <c r="M30" s="16"/>
      <c r="N30" s="16"/>
      <c r="O30" s="16"/>
      <c r="P30" s="16"/>
      <c r="Q30" s="16"/>
      <c r="R30" s="16"/>
      <c r="S30" s="16"/>
      <c r="T30" s="16"/>
      <c r="U30" s="16"/>
      <c r="V30" s="16"/>
      <c r="W30" s="16"/>
      <c r="X30" s="16"/>
      <c r="Y30" s="16"/>
      <c r="Z30" s="16"/>
    </row>
    <row r="31" ht="9.0" customHeight="1">
      <c r="A31" s="17">
        <f t="shared" si="1"/>
        <v>30</v>
      </c>
      <c r="B31" s="16" t="s">
        <v>201</v>
      </c>
      <c r="C31" s="16" t="s">
        <v>201</v>
      </c>
      <c r="D31" s="16" t="s">
        <v>202</v>
      </c>
      <c r="E31" s="16" t="s">
        <v>203</v>
      </c>
      <c r="F31" s="16" t="s">
        <v>204</v>
      </c>
      <c r="G31" s="16" t="s">
        <v>205</v>
      </c>
      <c r="H31" s="16"/>
      <c r="I31" s="16"/>
      <c r="J31" s="16"/>
      <c r="K31" s="16"/>
      <c r="L31" s="16"/>
      <c r="M31" s="16"/>
      <c r="N31" s="16"/>
      <c r="O31" s="16"/>
      <c r="P31" s="16"/>
      <c r="Q31" s="16"/>
      <c r="R31" s="16"/>
      <c r="S31" s="16"/>
      <c r="T31" s="16"/>
      <c r="U31" s="16"/>
      <c r="V31" s="16"/>
      <c r="W31" s="16"/>
      <c r="X31" s="16"/>
      <c r="Y31" s="16"/>
      <c r="Z31" s="16"/>
    </row>
    <row r="32" ht="9.0" customHeight="1">
      <c r="A32" s="17">
        <f t="shared" si="1"/>
        <v>31</v>
      </c>
      <c r="B32" s="16" t="s">
        <v>206</v>
      </c>
      <c r="C32" s="16" t="s">
        <v>206</v>
      </c>
      <c r="D32" s="16" t="s">
        <v>207</v>
      </c>
      <c r="E32" s="16" t="s">
        <v>208</v>
      </c>
      <c r="F32" s="16" t="s">
        <v>209</v>
      </c>
      <c r="G32" s="16" t="s">
        <v>210</v>
      </c>
      <c r="H32" s="16"/>
      <c r="I32" s="16"/>
      <c r="J32" s="16"/>
      <c r="K32" s="16"/>
      <c r="L32" s="16"/>
      <c r="M32" s="16"/>
      <c r="N32" s="16"/>
      <c r="O32" s="16"/>
      <c r="P32" s="16"/>
      <c r="Q32" s="16"/>
      <c r="R32" s="16"/>
      <c r="S32" s="16"/>
      <c r="T32" s="16"/>
      <c r="U32" s="16"/>
      <c r="V32" s="16"/>
      <c r="W32" s="16"/>
      <c r="X32" s="16"/>
      <c r="Y32" s="16"/>
      <c r="Z32" s="16"/>
    </row>
    <row r="33" ht="9.0" customHeight="1">
      <c r="A33" s="17">
        <f t="shared" si="1"/>
        <v>32</v>
      </c>
      <c r="B33" s="16" t="s">
        <v>211</v>
      </c>
      <c r="C33" s="16" t="s">
        <v>211</v>
      </c>
      <c r="D33" s="16" t="s">
        <v>212</v>
      </c>
      <c r="E33" s="16" t="s">
        <v>213</v>
      </c>
      <c r="F33" s="16" t="s">
        <v>214</v>
      </c>
      <c r="G33" s="16" t="s">
        <v>215</v>
      </c>
      <c r="H33" s="16"/>
      <c r="I33" s="16"/>
      <c r="J33" s="16"/>
      <c r="K33" s="16"/>
      <c r="L33" s="16"/>
      <c r="M33" s="16"/>
      <c r="N33" s="16"/>
      <c r="O33" s="16"/>
      <c r="P33" s="16"/>
      <c r="Q33" s="16"/>
      <c r="R33" s="16"/>
      <c r="S33" s="16"/>
      <c r="T33" s="16"/>
      <c r="U33" s="16"/>
      <c r="V33" s="16"/>
      <c r="W33" s="16"/>
      <c r="X33" s="16"/>
      <c r="Y33" s="16"/>
      <c r="Z33" s="16"/>
    </row>
    <row r="34" ht="9.0" customHeight="1">
      <c r="A34" s="17">
        <f t="shared" si="1"/>
        <v>33</v>
      </c>
      <c r="B34" s="16" t="s">
        <v>216</v>
      </c>
      <c r="C34" s="16" t="s">
        <v>216</v>
      </c>
      <c r="D34" s="16" t="s">
        <v>217</v>
      </c>
      <c r="E34" s="16" t="s">
        <v>218</v>
      </c>
      <c r="F34" s="16" t="s">
        <v>219</v>
      </c>
      <c r="G34" s="16" t="s">
        <v>220</v>
      </c>
      <c r="H34" s="16"/>
      <c r="I34" s="16"/>
      <c r="J34" s="16"/>
      <c r="K34" s="16"/>
      <c r="L34" s="16"/>
      <c r="M34" s="16"/>
      <c r="N34" s="16"/>
      <c r="O34" s="16"/>
      <c r="P34" s="16"/>
      <c r="Q34" s="16"/>
      <c r="R34" s="16"/>
      <c r="S34" s="16"/>
      <c r="T34" s="16"/>
      <c r="U34" s="16"/>
      <c r="V34" s="16"/>
      <c r="W34" s="16"/>
      <c r="X34" s="16"/>
      <c r="Y34" s="16"/>
      <c r="Z34" s="16"/>
    </row>
    <row r="35" ht="9.0" customHeight="1">
      <c r="A35" s="17">
        <f t="shared" si="1"/>
        <v>34</v>
      </c>
      <c r="B35" s="16" t="s">
        <v>221</v>
      </c>
      <c r="C35" s="16" t="s">
        <v>222</v>
      </c>
      <c r="D35" s="16" t="s">
        <v>223</v>
      </c>
      <c r="E35" s="16" t="s">
        <v>224</v>
      </c>
      <c r="F35" s="16" t="s">
        <v>225</v>
      </c>
      <c r="G35" s="16" t="s">
        <v>226</v>
      </c>
      <c r="H35" s="16"/>
      <c r="I35" s="16"/>
      <c r="J35" s="16"/>
      <c r="K35" s="16"/>
      <c r="L35" s="16"/>
      <c r="M35" s="16"/>
      <c r="N35" s="16"/>
      <c r="O35" s="16"/>
      <c r="P35" s="16"/>
      <c r="Q35" s="16"/>
      <c r="R35" s="16"/>
      <c r="S35" s="16"/>
      <c r="T35" s="16"/>
      <c r="U35" s="16"/>
      <c r="V35" s="16"/>
      <c r="W35" s="16"/>
      <c r="X35" s="16"/>
      <c r="Y35" s="16"/>
      <c r="Z35" s="16"/>
    </row>
    <row r="36" ht="9.0" customHeight="1">
      <c r="A36" s="17">
        <f t="shared" si="1"/>
        <v>35</v>
      </c>
      <c r="B36" s="16" t="s">
        <v>227</v>
      </c>
      <c r="C36" s="16" t="s">
        <v>227</v>
      </c>
      <c r="D36" s="16" t="s">
        <v>228</v>
      </c>
      <c r="E36" s="16"/>
      <c r="F36" s="16"/>
      <c r="G36" s="16"/>
      <c r="H36" s="16"/>
      <c r="I36" s="16"/>
      <c r="J36" s="16"/>
      <c r="K36" s="16"/>
      <c r="L36" s="16"/>
      <c r="M36" s="16"/>
      <c r="N36" s="16"/>
      <c r="O36" s="16"/>
      <c r="P36" s="16"/>
      <c r="Q36" s="16"/>
      <c r="R36" s="16"/>
      <c r="S36" s="16"/>
      <c r="T36" s="16"/>
      <c r="U36" s="16"/>
      <c r="V36" s="16"/>
      <c r="W36" s="16"/>
      <c r="X36" s="16"/>
      <c r="Y36" s="16"/>
      <c r="Z36" s="16"/>
    </row>
    <row r="37" ht="9.0" customHeight="1">
      <c r="A37" s="17">
        <f t="shared" si="1"/>
        <v>36</v>
      </c>
      <c r="B37" s="16" t="s">
        <v>229</v>
      </c>
      <c r="C37" s="16" t="s">
        <v>230</v>
      </c>
      <c r="D37" s="16" t="s">
        <v>231</v>
      </c>
      <c r="E37" s="16"/>
      <c r="F37" s="16"/>
      <c r="G37" s="16"/>
      <c r="H37" s="16"/>
      <c r="I37" s="16"/>
      <c r="J37" s="16"/>
      <c r="K37" s="16"/>
      <c r="L37" s="16"/>
      <c r="M37" s="16"/>
      <c r="N37" s="16"/>
      <c r="O37" s="16"/>
      <c r="P37" s="16"/>
      <c r="Q37" s="16"/>
      <c r="R37" s="16"/>
      <c r="S37" s="16"/>
      <c r="T37" s="16"/>
      <c r="U37" s="16"/>
      <c r="V37" s="16"/>
      <c r="W37" s="16"/>
      <c r="X37" s="16"/>
      <c r="Y37" s="16"/>
      <c r="Z37" s="16"/>
    </row>
    <row r="38" ht="9.0" customHeight="1">
      <c r="A38" s="17">
        <f t="shared" si="1"/>
        <v>37</v>
      </c>
      <c r="B38" s="16" t="s">
        <v>232</v>
      </c>
      <c r="C38" s="16" t="s">
        <v>232</v>
      </c>
      <c r="D38" s="16" t="s">
        <v>233</v>
      </c>
      <c r="E38" s="16" t="s">
        <v>234</v>
      </c>
      <c r="F38" s="16" t="s">
        <v>235</v>
      </c>
      <c r="G38" s="16" t="s">
        <v>236</v>
      </c>
      <c r="H38" s="16"/>
      <c r="I38" s="16"/>
      <c r="J38" s="16"/>
      <c r="K38" s="16"/>
      <c r="L38" s="16"/>
      <c r="M38" s="16"/>
      <c r="N38" s="16"/>
      <c r="O38" s="16"/>
      <c r="P38" s="16"/>
      <c r="Q38" s="16"/>
      <c r="R38" s="16"/>
      <c r="S38" s="16"/>
      <c r="T38" s="16"/>
      <c r="U38" s="16"/>
      <c r="V38" s="16"/>
      <c r="W38" s="16"/>
      <c r="X38" s="16"/>
      <c r="Y38" s="16"/>
      <c r="Z38" s="16"/>
    </row>
    <row r="39" ht="9.0" customHeight="1">
      <c r="A39" s="17">
        <f t="shared" si="1"/>
        <v>38</v>
      </c>
      <c r="B39" s="16" t="s">
        <v>237</v>
      </c>
      <c r="C39" s="16" t="s">
        <v>237</v>
      </c>
      <c r="D39" s="16" t="s">
        <v>238</v>
      </c>
      <c r="E39" s="16" t="s">
        <v>239</v>
      </c>
      <c r="F39" s="16" t="s">
        <v>240</v>
      </c>
      <c r="G39" s="16" t="s">
        <v>241</v>
      </c>
      <c r="H39" s="16"/>
      <c r="I39" s="16"/>
      <c r="J39" s="16"/>
      <c r="K39" s="16"/>
      <c r="L39" s="16"/>
      <c r="M39" s="16"/>
      <c r="N39" s="16"/>
      <c r="O39" s="16"/>
      <c r="P39" s="16"/>
      <c r="Q39" s="16"/>
      <c r="R39" s="16"/>
      <c r="S39" s="16"/>
      <c r="T39" s="16"/>
      <c r="U39" s="16"/>
      <c r="V39" s="16"/>
      <c r="W39" s="16"/>
      <c r="X39" s="16"/>
      <c r="Y39" s="16"/>
      <c r="Z39" s="16"/>
    </row>
    <row r="40" ht="9.0" customHeight="1">
      <c r="A40" s="17">
        <f t="shared" si="1"/>
        <v>39</v>
      </c>
      <c r="B40" s="16" t="s">
        <v>242</v>
      </c>
      <c r="C40" s="16" t="s">
        <v>242</v>
      </c>
      <c r="D40" s="16" t="s">
        <v>243</v>
      </c>
      <c r="E40" s="16" t="s">
        <v>244</v>
      </c>
      <c r="F40" s="16" t="s">
        <v>245</v>
      </c>
      <c r="G40" s="16" t="s">
        <v>246</v>
      </c>
      <c r="H40" s="16"/>
      <c r="I40" s="16"/>
      <c r="J40" s="16"/>
      <c r="K40" s="16"/>
      <c r="L40" s="16"/>
      <c r="M40" s="16"/>
      <c r="N40" s="16"/>
      <c r="O40" s="16"/>
      <c r="P40" s="16"/>
      <c r="Q40" s="16"/>
      <c r="R40" s="16"/>
      <c r="S40" s="16"/>
      <c r="T40" s="16"/>
      <c r="U40" s="16"/>
      <c r="V40" s="16"/>
      <c r="W40" s="16"/>
      <c r="X40" s="16"/>
      <c r="Y40" s="16"/>
      <c r="Z40" s="16"/>
    </row>
    <row r="41" ht="9.0" customHeight="1">
      <c r="A41" s="17">
        <f t="shared" si="1"/>
        <v>40</v>
      </c>
      <c r="B41" s="16" t="s">
        <v>247</v>
      </c>
      <c r="C41" s="16" t="s">
        <v>247</v>
      </c>
      <c r="D41" s="16" t="s">
        <v>248</v>
      </c>
      <c r="E41" s="16"/>
      <c r="F41" s="16"/>
      <c r="G41" s="16"/>
      <c r="H41" s="16"/>
      <c r="I41" s="16"/>
      <c r="J41" s="16"/>
      <c r="K41" s="16"/>
      <c r="L41" s="16"/>
      <c r="M41" s="16"/>
      <c r="N41" s="16"/>
      <c r="O41" s="16"/>
      <c r="P41" s="16"/>
      <c r="Q41" s="16"/>
      <c r="R41" s="16"/>
      <c r="S41" s="16"/>
      <c r="T41" s="16"/>
      <c r="U41" s="16"/>
      <c r="V41" s="16"/>
      <c r="W41" s="16"/>
      <c r="X41" s="16"/>
      <c r="Y41" s="16"/>
      <c r="Z41" s="16"/>
    </row>
    <row r="42" ht="9.0" customHeight="1">
      <c r="A42" s="17">
        <f t="shared" si="1"/>
        <v>41</v>
      </c>
      <c r="B42" s="16" t="s">
        <v>249</v>
      </c>
      <c r="C42" s="16" t="s">
        <v>249</v>
      </c>
      <c r="D42" s="16" t="s">
        <v>250</v>
      </c>
      <c r="E42" s="16" t="s">
        <v>251</v>
      </c>
      <c r="F42" s="16" t="s">
        <v>252</v>
      </c>
      <c r="G42" s="16" t="s">
        <v>253</v>
      </c>
      <c r="H42" s="16"/>
      <c r="I42" s="16"/>
      <c r="J42" s="16"/>
      <c r="K42" s="16"/>
      <c r="L42" s="16"/>
      <c r="M42" s="16"/>
      <c r="N42" s="16"/>
      <c r="O42" s="16"/>
      <c r="P42" s="16"/>
      <c r="Q42" s="16"/>
      <c r="R42" s="16"/>
      <c r="S42" s="16"/>
      <c r="T42" s="16"/>
      <c r="U42" s="16"/>
      <c r="V42" s="16"/>
      <c r="W42" s="16"/>
      <c r="X42" s="16"/>
      <c r="Y42" s="16"/>
      <c r="Z42" s="16"/>
    </row>
    <row r="43" ht="9.0" customHeight="1">
      <c r="A43" s="17">
        <f t="shared" si="1"/>
        <v>42</v>
      </c>
      <c r="B43" s="16" t="s">
        <v>254</v>
      </c>
      <c r="C43" s="16" t="s">
        <v>254</v>
      </c>
      <c r="D43" s="16" t="s">
        <v>255</v>
      </c>
      <c r="E43" s="16"/>
      <c r="F43" s="16"/>
      <c r="G43" s="16"/>
      <c r="H43" s="16"/>
      <c r="I43" s="16"/>
      <c r="J43" s="16"/>
      <c r="K43" s="16"/>
      <c r="L43" s="16"/>
      <c r="M43" s="16"/>
      <c r="N43" s="16"/>
      <c r="O43" s="16"/>
      <c r="P43" s="16"/>
      <c r="Q43" s="16"/>
      <c r="R43" s="16"/>
      <c r="S43" s="16"/>
      <c r="T43" s="16"/>
      <c r="U43" s="16"/>
      <c r="V43" s="16"/>
      <c r="W43" s="16"/>
      <c r="X43" s="16"/>
      <c r="Y43" s="16"/>
      <c r="Z43" s="16"/>
    </row>
    <row r="44" ht="9.0" customHeight="1">
      <c r="A44" s="17">
        <f t="shared" si="1"/>
        <v>43</v>
      </c>
      <c r="B44" s="16" t="s">
        <v>256</v>
      </c>
      <c r="C44" s="16" t="s">
        <v>257</v>
      </c>
      <c r="D44" s="16" t="s">
        <v>258</v>
      </c>
      <c r="E44" s="16"/>
      <c r="F44" s="16"/>
      <c r="G44" s="16"/>
      <c r="H44" s="16"/>
      <c r="I44" s="16"/>
      <c r="J44" s="16"/>
      <c r="K44" s="16"/>
      <c r="L44" s="16"/>
      <c r="M44" s="16"/>
      <c r="N44" s="16"/>
      <c r="O44" s="16"/>
      <c r="P44" s="16"/>
      <c r="Q44" s="16"/>
      <c r="R44" s="16"/>
      <c r="S44" s="16"/>
      <c r="T44" s="16"/>
      <c r="U44" s="16"/>
      <c r="V44" s="16"/>
      <c r="W44" s="16"/>
      <c r="X44" s="16"/>
      <c r="Y44" s="16"/>
      <c r="Z44" s="16"/>
    </row>
    <row r="45" ht="9.0" customHeight="1">
      <c r="A45" s="17">
        <f t="shared" si="1"/>
        <v>44</v>
      </c>
      <c r="B45" s="16" t="s">
        <v>259</v>
      </c>
      <c r="C45" s="16" t="s">
        <v>259</v>
      </c>
      <c r="D45" s="16" t="s">
        <v>260</v>
      </c>
      <c r="E45" s="16" t="s">
        <v>261</v>
      </c>
      <c r="F45" s="16" t="s">
        <v>262</v>
      </c>
      <c r="G45" s="16" t="s">
        <v>263</v>
      </c>
      <c r="H45" s="16"/>
      <c r="I45" s="16"/>
      <c r="J45" s="16"/>
      <c r="K45" s="16"/>
      <c r="L45" s="16"/>
      <c r="M45" s="16"/>
      <c r="N45" s="16"/>
      <c r="O45" s="16"/>
      <c r="P45" s="16"/>
      <c r="Q45" s="16"/>
      <c r="R45" s="16"/>
      <c r="S45" s="16"/>
      <c r="T45" s="16"/>
      <c r="U45" s="16"/>
      <c r="V45" s="16"/>
      <c r="W45" s="16"/>
      <c r="X45" s="16"/>
      <c r="Y45" s="16"/>
      <c r="Z45" s="16"/>
    </row>
    <row r="46" ht="9.0" customHeight="1">
      <c r="A46" s="17">
        <f t="shared" si="1"/>
        <v>45</v>
      </c>
      <c r="B46" s="16" t="s">
        <v>264</v>
      </c>
      <c r="C46" s="16" t="s">
        <v>265</v>
      </c>
      <c r="D46" s="16" t="s">
        <v>266</v>
      </c>
      <c r="E46" s="16" t="s">
        <v>267</v>
      </c>
      <c r="F46" s="16" t="s">
        <v>268</v>
      </c>
      <c r="G46" s="16" t="s">
        <v>269</v>
      </c>
      <c r="H46" s="16"/>
      <c r="I46" s="16"/>
      <c r="J46" s="16"/>
      <c r="K46" s="16"/>
      <c r="L46" s="16"/>
      <c r="M46" s="16"/>
      <c r="N46" s="16"/>
      <c r="O46" s="16"/>
      <c r="P46" s="16"/>
      <c r="Q46" s="16"/>
      <c r="R46" s="16"/>
      <c r="S46" s="16"/>
      <c r="T46" s="16"/>
      <c r="U46" s="16"/>
      <c r="V46" s="16"/>
      <c r="W46" s="16"/>
      <c r="X46" s="16"/>
      <c r="Y46" s="16"/>
      <c r="Z46" s="16"/>
    </row>
    <row r="47" ht="9.0" customHeight="1">
      <c r="A47" s="17">
        <f t="shared" si="1"/>
        <v>46</v>
      </c>
      <c r="B47" s="16" t="s">
        <v>270</v>
      </c>
      <c r="C47" s="16" t="s">
        <v>270</v>
      </c>
      <c r="D47" s="16" t="s">
        <v>271</v>
      </c>
      <c r="E47" s="16" t="s">
        <v>272</v>
      </c>
      <c r="F47" s="16" t="s">
        <v>273</v>
      </c>
      <c r="G47" s="16" t="s">
        <v>274</v>
      </c>
      <c r="H47" s="16"/>
      <c r="I47" s="16"/>
      <c r="J47" s="16"/>
      <c r="K47" s="16"/>
      <c r="L47" s="16"/>
      <c r="M47" s="16"/>
      <c r="N47" s="16"/>
      <c r="O47" s="16"/>
      <c r="P47" s="16"/>
      <c r="Q47" s="16"/>
      <c r="R47" s="16"/>
      <c r="S47" s="16"/>
      <c r="T47" s="16"/>
      <c r="U47" s="16"/>
      <c r="V47" s="16"/>
      <c r="W47" s="16"/>
      <c r="X47" s="16"/>
      <c r="Y47" s="16"/>
      <c r="Z47" s="16"/>
    </row>
    <row r="48" ht="9.0" customHeight="1">
      <c r="A48" s="17">
        <f t="shared" si="1"/>
        <v>47</v>
      </c>
      <c r="B48" s="16" t="s">
        <v>275</v>
      </c>
      <c r="C48" s="16" t="s">
        <v>276</v>
      </c>
      <c r="D48" s="16" t="s">
        <v>277</v>
      </c>
      <c r="E48" s="16" t="s">
        <v>278</v>
      </c>
      <c r="F48" s="16" t="s">
        <v>279</v>
      </c>
      <c r="G48" s="16" t="s">
        <v>280</v>
      </c>
      <c r="H48" s="16"/>
      <c r="I48" s="16"/>
      <c r="J48" s="16"/>
      <c r="K48" s="16"/>
      <c r="L48" s="16"/>
      <c r="M48" s="16"/>
      <c r="N48" s="16"/>
      <c r="O48" s="16"/>
      <c r="P48" s="16"/>
      <c r="Q48" s="16"/>
      <c r="R48" s="16"/>
      <c r="S48" s="16"/>
      <c r="T48" s="16"/>
      <c r="U48" s="16"/>
      <c r="V48" s="16"/>
      <c r="W48" s="16"/>
      <c r="X48" s="16"/>
      <c r="Y48" s="16"/>
      <c r="Z48" s="16"/>
    </row>
    <row r="49" ht="9.0" customHeight="1">
      <c r="A49" s="17">
        <f t="shared" si="1"/>
        <v>48</v>
      </c>
      <c r="B49" s="16" t="s">
        <v>281</v>
      </c>
      <c r="C49" s="16" t="s">
        <v>282</v>
      </c>
      <c r="D49" s="16" t="s">
        <v>283</v>
      </c>
      <c r="E49" s="16" t="s">
        <v>284</v>
      </c>
      <c r="F49" s="16" t="s">
        <v>285</v>
      </c>
      <c r="G49" s="16" t="s">
        <v>286</v>
      </c>
      <c r="H49" s="16"/>
      <c r="I49" s="16"/>
      <c r="J49" s="16"/>
      <c r="K49" s="16"/>
      <c r="L49" s="16"/>
      <c r="M49" s="16"/>
      <c r="N49" s="16"/>
      <c r="O49" s="16"/>
      <c r="P49" s="16"/>
      <c r="Q49" s="16"/>
      <c r="R49" s="16"/>
      <c r="S49" s="16"/>
      <c r="T49" s="16"/>
      <c r="U49" s="16"/>
      <c r="V49" s="16"/>
      <c r="W49" s="16"/>
      <c r="X49" s="16"/>
      <c r="Y49" s="16"/>
      <c r="Z49" s="16"/>
    </row>
    <row r="50" ht="9.0" customHeight="1">
      <c r="A50" s="17">
        <f t="shared" si="1"/>
        <v>49</v>
      </c>
      <c r="B50" s="16" t="s">
        <v>287</v>
      </c>
      <c r="C50" s="16" t="s">
        <v>288</v>
      </c>
      <c r="D50" s="16" t="s">
        <v>289</v>
      </c>
      <c r="E50" s="16" t="s">
        <v>290</v>
      </c>
      <c r="F50" s="16" t="s">
        <v>291</v>
      </c>
      <c r="G50" s="16" t="s">
        <v>292</v>
      </c>
      <c r="H50" s="16"/>
      <c r="I50" s="16"/>
      <c r="J50" s="16"/>
      <c r="K50" s="16"/>
      <c r="L50" s="16"/>
      <c r="M50" s="16"/>
      <c r="N50" s="16"/>
      <c r="O50" s="16"/>
      <c r="P50" s="16"/>
      <c r="Q50" s="16"/>
      <c r="R50" s="16"/>
      <c r="S50" s="16"/>
      <c r="T50" s="16"/>
      <c r="U50" s="16"/>
      <c r="V50" s="16"/>
      <c r="W50" s="16"/>
      <c r="X50" s="16"/>
      <c r="Y50" s="16"/>
      <c r="Z50" s="16"/>
    </row>
    <row r="51" ht="9.0" customHeight="1">
      <c r="A51" s="17">
        <f t="shared" si="1"/>
        <v>50</v>
      </c>
      <c r="B51" s="16" t="s">
        <v>293</v>
      </c>
      <c r="C51" s="16" t="s">
        <v>294</v>
      </c>
      <c r="D51" s="16" t="s">
        <v>295</v>
      </c>
      <c r="E51" s="16" t="s">
        <v>296</v>
      </c>
      <c r="F51" s="16" t="s">
        <v>297</v>
      </c>
      <c r="G51" s="16" t="s">
        <v>298</v>
      </c>
      <c r="H51" s="16"/>
      <c r="I51" s="16"/>
      <c r="J51" s="16"/>
      <c r="K51" s="16"/>
      <c r="L51" s="16"/>
      <c r="M51" s="16"/>
      <c r="N51" s="16"/>
      <c r="O51" s="16"/>
      <c r="P51" s="16"/>
      <c r="Q51" s="16"/>
      <c r="R51" s="16"/>
      <c r="S51" s="16"/>
      <c r="T51" s="16"/>
      <c r="U51" s="16"/>
      <c r="V51" s="16"/>
      <c r="W51" s="16"/>
      <c r="X51" s="16"/>
      <c r="Y51" s="16"/>
      <c r="Z51" s="16"/>
    </row>
    <row r="52" ht="9.0" customHeight="1">
      <c r="A52" s="17">
        <f t="shared" si="1"/>
        <v>51</v>
      </c>
      <c r="B52" s="16" t="s">
        <v>299</v>
      </c>
      <c r="C52" s="16" t="s">
        <v>299</v>
      </c>
      <c r="D52" s="16" t="s">
        <v>300</v>
      </c>
      <c r="E52" s="16" t="s">
        <v>301</v>
      </c>
      <c r="F52" s="16" t="s">
        <v>302</v>
      </c>
      <c r="G52" s="16" t="s">
        <v>303</v>
      </c>
      <c r="H52" s="16"/>
      <c r="I52" s="16"/>
      <c r="J52" s="16"/>
      <c r="K52" s="16"/>
      <c r="L52" s="16"/>
      <c r="M52" s="16"/>
      <c r="N52" s="16"/>
      <c r="O52" s="16"/>
      <c r="P52" s="16"/>
      <c r="Q52" s="16"/>
      <c r="R52" s="16"/>
      <c r="S52" s="16"/>
      <c r="T52" s="16"/>
      <c r="U52" s="16"/>
      <c r="V52" s="16"/>
      <c r="W52" s="16"/>
      <c r="X52" s="16"/>
      <c r="Y52" s="16"/>
      <c r="Z52" s="16"/>
    </row>
    <row r="53" ht="9.0" customHeight="1">
      <c r="A53" s="17">
        <f t="shared" si="1"/>
        <v>52</v>
      </c>
      <c r="B53" s="16" t="s">
        <v>304</v>
      </c>
      <c r="C53" s="16" t="s">
        <v>305</v>
      </c>
      <c r="D53" s="16" t="s">
        <v>306</v>
      </c>
      <c r="E53" s="16" t="s">
        <v>307</v>
      </c>
      <c r="F53" s="16" t="s">
        <v>308</v>
      </c>
      <c r="G53" s="16" t="s">
        <v>309</v>
      </c>
      <c r="H53" s="16"/>
      <c r="I53" s="16"/>
      <c r="J53" s="16"/>
      <c r="K53" s="16"/>
      <c r="L53" s="16"/>
      <c r="M53" s="16"/>
      <c r="N53" s="16"/>
      <c r="O53" s="16"/>
      <c r="P53" s="16"/>
      <c r="Q53" s="16"/>
      <c r="R53" s="16"/>
      <c r="S53" s="16"/>
      <c r="T53" s="16"/>
      <c r="U53" s="16"/>
      <c r="V53" s="16"/>
      <c r="W53" s="16"/>
      <c r="X53" s="16"/>
      <c r="Y53" s="16"/>
      <c r="Z53" s="16"/>
    </row>
    <row r="54" ht="9.0" customHeight="1">
      <c r="A54" s="17">
        <f t="shared" si="1"/>
        <v>53</v>
      </c>
      <c r="B54" s="16" t="s">
        <v>310</v>
      </c>
      <c r="C54" s="16" t="s">
        <v>311</v>
      </c>
      <c r="D54" s="16" t="s">
        <v>312</v>
      </c>
      <c r="E54" s="16" t="s">
        <v>313</v>
      </c>
      <c r="F54" s="16" t="s">
        <v>314</v>
      </c>
      <c r="G54" s="16" t="s">
        <v>315</v>
      </c>
      <c r="H54" s="16"/>
      <c r="I54" s="16"/>
      <c r="J54" s="16"/>
      <c r="K54" s="16"/>
      <c r="L54" s="16"/>
      <c r="M54" s="16"/>
      <c r="N54" s="16"/>
      <c r="O54" s="16"/>
      <c r="P54" s="16"/>
      <c r="Q54" s="16"/>
      <c r="R54" s="16"/>
      <c r="S54" s="16"/>
      <c r="T54" s="16"/>
      <c r="U54" s="16"/>
      <c r="V54" s="16"/>
      <c r="W54" s="16"/>
      <c r="X54" s="16"/>
      <c r="Y54" s="16"/>
      <c r="Z54" s="16"/>
    </row>
    <row r="55" ht="9.0" customHeight="1">
      <c r="A55" s="17">
        <f t="shared" si="1"/>
        <v>54</v>
      </c>
      <c r="B55" s="16" t="s">
        <v>316</v>
      </c>
      <c r="C55" s="16" t="s">
        <v>317</v>
      </c>
      <c r="D55" s="16" t="s">
        <v>318</v>
      </c>
      <c r="E55" s="16" t="s">
        <v>319</v>
      </c>
      <c r="F55" s="16" t="s">
        <v>320</v>
      </c>
      <c r="G55" s="16" t="s">
        <v>321</v>
      </c>
      <c r="H55" s="16"/>
      <c r="I55" s="16"/>
      <c r="J55" s="16"/>
      <c r="K55" s="16"/>
      <c r="L55" s="16"/>
      <c r="M55" s="16"/>
      <c r="N55" s="16"/>
      <c r="O55" s="16"/>
      <c r="P55" s="16"/>
      <c r="Q55" s="16"/>
      <c r="R55" s="16"/>
      <c r="S55" s="16"/>
      <c r="T55" s="16"/>
      <c r="U55" s="16"/>
      <c r="V55" s="16"/>
      <c r="W55" s="16"/>
      <c r="X55" s="16"/>
      <c r="Y55" s="16"/>
      <c r="Z55" s="16"/>
    </row>
    <row r="56" ht="9.0" customHeight="1">
      <c r="A56" s="17">
        <f t="shared" si="1"/>
        <v>55</v>
      </c>
      <c r="B56" s="16" t="s">
        <v>322</v>
      </c>
      <c r="C56" s="16" t="s">
        <v>323</v>
      </c>
      <c r="D56" s="16" t="s">
        <v>324</v>
      </c>
      <c r="E56" s="16" t="s">
        <v>325</v>
      </c>
      <c r="F56" s="16" t="s">
        <v>326</v>
      </c>
      <c r="G56" s="16" t="s">
        <v>327</v>
      </c>
      <c r="H56" s="16"/>
      <c r="I56" s="16"/>
      <c r="J56" s="16"/>
      <c r="K56" s="16"/>
      <c r="L56" s="16"/>
      <c r="M56" s="16"/>
      <c r="N56" s="16"/>
      <c r="O56" s="16"/>
      <c r="P56" s="16"/>
      <c r="Q56" s="16"/>
      <c r="R56" s="16"/>
      <c r="S56" s="16"/>
      <c r="T56" s="16"/>
      <c r="U56" s="16"/>
      <c r="V56" s="16"/>
      <c r="W56" s="16"/>
      <c r="X56" s="16"/>
      <c r="Y56" s="16"/>
      <c r="Z56" s="16"/>
    </row>
    <row r="57" ht="9.0" customHeight="1">
      <c r="A57" s="17">
        <f t="shared" si="1"/>
        <v>56</v>
      </c>
      <c r="B57" s="16" t="s">
        <v>328</v>
      </c>
      <c r="C57" s="16" t="s">
        <v>329</v>
      </c>
      <c r="D57" s="16" t="s">
        <v>330</v>
      </c>
      <c r="E57" s="16" t="s">
        <v>331</v>
      </c>
      <c r="F57" s="16" t="s">
        <v>332</v>
      </c>
      <c r="G57" s="16" t="s">
        <v>333</v>
      </c>
      <c r="H57" s="16"/>
      <c r="I57" s="16"/>
      <c r="J57" s="16"/>
      <c r="K57" s="16"/>
      <c r="L57" s="16"/>
      <c r="M57" s="16"/>
      <c r="N57" s="16"/>
      <c r="O57" s="16"/>
      <c r="P57" s="16"/>
      <c r="Q57" s="16"/>
      <c r="R57" s="16"/>
      <c r="S57" s="16"/>
      <c r="T57" s="16"/>
      <c r="U57" s="16"/>
      <c r="V57" s="16"/>
      <c r="W57" s="16"/>
      <c r="X57" s="16"/>
      <c r="Y57" s="16"/>
      <c r="Z57" s="16"/>
    </row>
    <row r="58" ht="9.0" customHeight="1">
      <c r="A58" s="17">
        <f t="shared" si="1"/>
        <v>57</v>
      </c>
      <c r="B58" s="16" t="s">
        <v>334</v>
      </c>
      <c r="C58" s="16" t="s">
        <v>335</v>
      </c>
      <c r="D58" s="16"/>
      <c r="E58" s="16"/>
      <c r="F58" s="16"/>
      <c r="G58" s="16"/>
      <c r="H58" s="16"/>
      <c r="I58" s="16"/>
      <c r="J58" s="16"/>
      <c r="K58" s="16"/>
      <c r="L58" s="16"/>
      <c r="M58" s="16"/>
      <c r="N58" s="16"/>
      <c r="O58" s="16"/>
      <c r="P58" s="16"/>
      <c r="Q58" s="16"/>
      <c r="R58" s="16"/>
      <c r="S58" s="16"/>
      <c r="T58" s="16"/>
      <c r="U58" s="16"/>
      <c r="V58" s="16"/>
      <c r="W58" s="16"/>
      <c r="X58" s="16"/>
      <c r="Y58" s="16"/>
      <c r="Z58" s="16"/>
    </row>
    <row r="59" ht="9.0" customHeight="1">
      <c r="A59" s="17">
        <f t="shared" si="1"/>
        <v>58</v>
      </c>
      <c r="B59" s="16" t="s">
        <v>336</v>
      </c>
      <c r="C59" s="16" t="s">
        <v>337</v>
      </c>
      <c r="D59" s="16" t="s">
        <v>338</v>
      </c>
      <c r="E59" s="16" t="s">
        <v>339</v>
      </c>
      <c r="F59" s="16" t="s">
        <v>340</v>
      </c>
      <c r="G59" s="16" t="s">
        <v>341</v>
      </c>
      <c r="H59" s="16"/>
      <c r="I59" s="16"/>
      <c r="J59" s="16"/>
      <c r="K59" s="16"/>
      <c r="L59" s="16"/>
      <c r="M59" s="16"/>
      <c r="N59" s="16"/>
      <c r="O59" s="16"/>
      <c r="P59" s="16"/>
      <c r="Q59" s="16"/>
      <c r="R59" s="16"/>
      <c r="S59" s="16"/>
      <c r="T59" s="16"/>
      <c r="U59" s="16"/>
      <c r="V59" s="16"/>
      <c r="W59" s="16"/>
      <c r="X59" s="16"/>
      <c r="Y59" s="16"/>
      <c r="Z59" s="16"/>
    </row>
    <row r="60" ht="9.0" customHeight="1">
      <c r="A60" s="17">
        <f t="shared" si="1"/>
        <v>59</v>
      </c>
      <c r="B60" s="16" t="s">
        <v>342</v>
      </c>
      <c r="C60" s="16" t="s">
        <v>343</v>
      </c>
      <c r="D60" s="16" t="s">
        <v>344</v>
      </c>
      <c r="E60" s="16" t="s">
        <v>345</v>
      </c>
      <c r="F60" s="16" t="s">
        <v>346</v>
      </c>
      <c r="G60" s="16" t="s">
        <v>347</v>
      </c>
      <c r="H60" s="16"/>
      <c r="I60" s="16"/>
      <c r="J60" s="16"/>
      <c r="K60" s="16"/>
      <c r="L60" s="16"/>
      <c r="M60" s="16"/>
      <c r="N60" s="16"/>
      <c r="O60" s="16"/>
      <c r="P60" s="16"/>
      <c r="Q60" s="16"/>
      <c r="R60" s="16"/>
      <c r="S60" s="16"/>
      <c r="T60" s="16"/>
      <c r="U60" s="16"/>
      <c r="V60" s="16"/>
      <c r="W60" s="16"/>
      <c r="X60" s="16"/>
      <c r="Y60" s="16"/>
      <c r="Z60" s="16"/>
    </row>
    <row r="61" ht="9.0" customHeight="1">
      <c r="A61" s="17">
        <f t="shared" si="1"/>
        <v>60</v>
      </c>
      <c r="B61" s="16" t="s">
        <v>348</v>
      </c>
      <c r="C61" s="16" t="s">
        <v>349</v>
      </c>
      <c r="D61" s="16" t="s">
        <v>350</v>
      </c>
      <c r="E61" s="16" t="s">
        <v>351</v>
      </c>
      <c r="F61" s="16" t="s">
        <v>352</v>
      </c>
      <c r="G61" s="16" t="s">
        <v>353</v>
      </c>
      <c r="H61" s="16"/>
      <c r="I61" s="16"/>
      <c r="J61" s="16"/>
      <c r="K61" s="16"/>
      <c r="L61" s="16"/>
      <c r="M61" s="16"/>
      <c r="N61" s="16"/>
      <c r="O61" s="16"/>
      <c r="P61" s="16"/>
      <c r="Q61" s="16"/>
      <c r="R61" s="16"/>
      <c r="S61" s="16"/>
      <c r="T61" s="16"/>
      <c r="U61" s="16"/>
      <c r="V61" s="16"/>
      <c r="W61" s="16"/>
      <c r="X61" s="16"/>
      <c r="Y61" s="16"/>
      <c r="Z61" s="16"/>
    </row>
    <row r="62" ht="9.0" customHeight="1">
      <c r="A62" s="17">
        <f t="shared" si="1"/>
        <v>61</v>
      </c>
      <c r="B62" s="16" t="s">
        <v>354</v>
      </c>
      <c r="C62" s="16" t="s">
        <v>355</v>
      </c>
      <c r="D62" s="16" t="s">
        <v>356</v>
      </c>
      <c r="E62" s="16" t="s">
        <v>357</v>
      </c>
      <c r="F62" s="16" t="s">
        <v>358</v>
      </c>
      <c r="G62" s="16" t="s">
        <v>359</v>
      </c>
      <c r="H62" s="16"/>
      <c r="I62" s="16"/>
      <c r="J62" s="16"/>
      <c r="K62" s="16"/>
      <c r="L62" s="16"/>
      <c r="M62" s="16"/>
      <c r="N62" s="16"/>
      <c r="O62" s="16"/>
      <c r="P62" s="16"/>
      <c r="Q62" s="16"/>
      <c r="R62" s="16"/>
      <c r="S62" s="16"/>
      <c r="T62" s="16"/>
      <c r="U62" s="16"/>
      <c r="V62" s="16"/>
      <c r="W62" s="16"/>
      <c r="X62" s="16"/>
      <c r="Y62" s="16"/>
      <c r="Z62" s="16"/>
    </row>
    <row r="63" ht="9.0" customHeight="1">
      <c r="A63" s="17">
        <f t="shared" si="1"/>
        <v>62</v>
      </c>
      <c r="B63" s="16" t="s">
        <v>360</v>
      </c>
      <c r="C63" s="16" t="s">
        <v>361</v>
      </c>
      <c r="D63" s="16" t="s">
        <v>362</v>
      </c>
      <c r="E63" s="16" t="s">
        <v>363</v>
      </c>
      <c r="F63" s="16" t="s">
        <v>364</v>
      </c>
      <c r="G63" s="16" t="s">
        <v>365</v>
      </c>
      <c r="H63" s="16"/>
      <c r="I63" s="16"/>
      <c r="J63" s="16"/>
      <c r="K63" s="16"/>
      <c r="L63" s="16"/>
      <c r="M63" s="16"/>
      <c r="N63" s="16"/>
      <c r="O63" s="16"/>
      <c r="P63" s="16"/>
      <c r="Q63" s="16"/>
      <c r="R63" s="16"/>
      <c r="S63" s="16"/>
      <c r="T63" s="16"/>
      <c r="U63" s="16"/>
      <c r="V63" s="16"/>
      <c r="W63" s="16"/>
      <c r="X63" s="16"/>
      <c r="Y63" s="16"/>
      <c r="Z63" s="16"/>
    </row>
    <row r="64" ht="9.0" customHeight="1">
      <c r="A64" s="17">
        <f t="shared" si="1"/>
        <v>63</v>
      </c>
      <c r="B64" s="16" t="s">
        <v>366</v>
      </c>
      <c r="C64" s="16" t="s">
        <v>366</v>
      </c>
      <c r="D64" s="16" t="s">
        <v>367</v>
      </c>
      <c r="E64" s="16" t="s">
        <v>368</v>
      </c>
      <c r="F64" s="16" t="s">
        <v>369</v>
      </c>
      <c r="G64" s="16" t="s">
        <v>370</v>
      </c>
      <c r="H64" s="16"/>
      <c r="I64" s="16"/>
      <c r="J64" s="16"/>
      <c r="K64" s="16"/>
      <c r="L64" s="16"/>
      <c r="M64" s="16"/>
      <c r="N64" s="16"/>
      <c r="O64" s="16"/>
      <c r="P64" s="16"/>
      <c r="Q64" s="16"/>
      <c r="R64" s="16"/>
      <c r="S64" s="16"/>
      <c r="T64" s="16"/>
      <c r="U64" s="16"/>
      <c r="V64" s="16"/>
      <c r="W64" s="16"/>
      <c r="X64" s="16"/>
      <c r="Y64" s="16"/>
      <c r="Z64" s="16"/>
    </row>
    <row r="65" ht="9.0" customHeight="1">
      <c r="A65" s="17">
        <f t="shared" si="1"/>
        <v>64</v>
      </c>
      <c r="B65" s="16" t="s">
        <v>371</v>
      </c>
      <c r="C65" s="16" t="s">
        <v>372</v>
      </c>
      <c r="D65" s="16" t="s">
        <v>373</v>
      </c>
      <c r="E65" s="16" t="s">
        <v>374</v>
      </c>
      <c r="F65" s="16" t="s">
        <v>375</v>
      </c>
      <c r="G65" s="16" t="s">
        <v>376</v>
      </c>
      <c r="H65" s="16"/>
      <c r="I65" s="16"/>
      <c r="J65" s="16"/>
      <c r="K65" s="16"/>
      <c r="L65" s="16"/>
      <c r="M65" s="16"/>
      <c r="N65" s="16"/>
      <c r="O65" s="16"/>
      <c r="P65" s="16"/>
      <c r="Q65" s="16"/>
      <c r="R65" s="16"/>
      <c r="S65" s="16"/>
      <c r="T65" s="16"/>
      <c r="U65" s="16"/>
      <c r="V65" s="16"/>
      <c r="W65" s="16"/>
      <c r="X65" s="16"/>
      <c r="Y65" s="16"/>
      <c r="Z65" s="16"/>
    </row>
    <row r="66" ht="9.0" customHeight="1">
      <c r="A66" s="17">
        <f t="shared" si="1"/>
        <v>65</v>
      </c>
      <c r="B66" s="16" t="s">
        <v>377</v>
      </c>
      <c r="C66" s="16" t="s">
        <v>378</v>
      </c>
      <c r="D66" s="16" t="s">
        <v>379</v>
      </c>
      <c r="E66" s="16" t="s">
        <v>380</v>
      </c>
      <c r="F66" s="16" t="s">
        <v>381</v>
      </c>
      <c r="G66" s="16" t="s">
        <v>382</v>
      </c>
      <c r="H66" s="16"/>
      <c r="I66" s="16"/>
      <c r="J66" s="16"/>
      <c r="K66" s="16"/>
      <c r="L66" s="16"/>
      <c r="M66" s="16"/>
      <c r="N66" s="16"/>
      <c r="O66" s="16"/>
      <c r="P66" s="16"/>
      <c r="Q66" s="16"/>
      <c r="R66" s="16"/>
      <c r="S66" s="16"/>
      <c r="T66" s="16"/>
      <c r="U66" s="16"/>
      <c r="V66" s="16"/>
      <c r="W66" s="16"/>
      <c r="X66" s="16"/>
      <c r="Y66" s="16"/>
      <c r="Z66" s="16"/>
    </row>
    <row r="67" ht="9.0" customHeight="1">
      <c r="A67" s="17">
        <f t="shared" si="1"/>
        <v>66</v>
      </c>
      <c r="B67" s="16" t="s">
        <v>383</v>
      </c>
      <c r="C67" s="16" t="s">
        <v>384</v>
      </c>
      <c r="D67" s="16" t="s">
        <v>385</v>
      </c>
      <c r="E67" s="16" t="s">
        <v>386</v>
      </c>
      <c r="F67" s="16" t="s">
        <v>387</v>
      </c>
      <c r="G67" s="16" t="s">
        <v>388</v>
      </c>
      <c r="H67" s="16"/>
      <c r="I67" s="16"/>
      <c r="J67" s="16"/>
      <c r="K67" s="16"/>
      <c r="L67" s="16"/>
      <c r="M67" s="16"/>
      <c r="N67" s="16"/>
      <c r="O67" s="16"/>
      <c r="P67" s="16"/>
      <c r="Q67" s="16"/>
      <c r="R67" s="16"/>
      <c r="S67" s="16"/>
      <c r="T67" s="16"/>
      <c r="U67" s="16"/>
      <c r="V67" s="16"/>
      <c r="W67" s="16"/>
      <c r="X67" s="16"/>
      <c r="Y67" s="16"/>
      <c r="Z67" s="16"/>
    </row>
    <row r="68" ht="9.0" customHeight="1">
      <c r="A68" s="17">
        <f t="shared" si="1"/>
        <v>67</v>
      </c>
      <c r="B68" s="16" t="s">
        <v>389</v>
      </c>
      <c r="C68" s="16" t="s">
        <v>390</v>
      </c>
      <c r="D68" s="16" t="s">
        <v>391</v>
      </c>
      <c r="E68" s="16" t="s">
        <v>392</v>
      </c>
      <c r="F68" s="16" t="s">
        <v>393</v>
      </c>
      <c r="G68" s="16" t="s">
        <v>394</v>
      </c>
      <c r="H68" s="16"/>
      <c r="I68" s="16"/>
      <c r="J68" s="16"/>
      <c r="K68" s="16"/>
      <c r="L68" s="16"/>
      <c r="M68" s="16"/>
      <c r="N68" s="16"/>
      <c r="O68" s="16"/>
      <c r="P68" s="16"/>
      <c r="Q68" s="16"/>
      <c r="R68" s="16"/>
      <c r="S68" s="16"/>
      <c r="T68" s="16"/>
      <c r="U68" s="16"/>
      <c r="V68" s="16"/>
      <c r="W68" s="16"/>
      <c r="X68" s="16"/>
      <c r="Y68" s="16"/>
      <c r="Z68" s="16"/>
    </row>
    <row r="69" ht="9.0" customHeight="1">
      <c r="A69" s="17">
        <f t="shared" si="1"/>
        <v>68</v>
      </c>
      <c r="B69" s="16" t="s">
        <v>395</v>
      </c>
      <c r="C69" s="16" t="s">
        <v>395</v>
      </c>
      <c r="D69" s="16" t="s">
        <v>396</v>
      </c>
      <c r="E69" s="16" t="s">
        <v>397</v>
      </c>
      <c r="F69" s="16" t="s">
        <v>398</v>
      </c>
      <c r="G69" s="16" t="s">
        <v>399</v>
      </c>
      <c r="H69" s="16"/>
      <c r="I69" s="16"/>
      <c r="J69" s="16"/>
      <c r="K69" s="16"/>
      <c r="L69" s="16"/>
      <c r="M69" s="16"/>
      <c r="N69" s="16"/>
      <c r="O69" s="16"/>
      <c r="P69" s="16"/>
      <c r="Q69" s="16"/>
      <c r="R69" s="16"/>
      <c r="S69" s="16"/>
      <c r="T69" s="16"/>
      <c r="U69" s="16"/>
      <c r="V69" s="16"/>
      <c r="W69" s="16"/>
      <c r="X69" s="16"/>
      <c r="Y69" s="16"/>
      <c r="Z69" s="16"/>
    </row>
    <row r="70" ht="9.0" customHeight="1">
      <c r="A70" s="17">
        <f t="shared" si="1"/>
        <v>69</v>
      </c>
      <c r="B70" s="16" t="s">
        <v>400</v>
      </c>
      <c r="C70" s="16" t="s">
        <v>401</v>
      </c>
      <c r="D70" s="16"/>
      <c r="E70" s="16"/>
      <c r="F70" s="16"/>
      <c r="G70" s="16"/>
      <c r="H70" s="16"/>
      <c r="I70" s="16"/>
      <c r="J70" s="16"/>
      <c r="K70" s="16"/>
      <c r="L70" s="16"/>
      <c r="M70" s="16"/>
      <c r="N70" s="16"/>
      <c r="O70" s="16"/>
      <c r="P70" s="16"/>
      <c r="Q70" s="16"/>
      <c r="R70" s="16"/>
      <c r="S70" s="16"/>
      <c r="T70" s="16"/>
      <c r="U70" s="16"/>
      <c r="V70" s="16"/>
      <c r="W70" s="16"/>
      <c r="X70" s="16"/>
      <c r="Y70" s="16"/>
      <c r="Z70" s="16"/>
    </row>
    <row r="71" ht="9.0" customHeight="1">
      <c r="A71" s="17">
        <f t="shared" si="1"/>
        <v>70</v>
      </c>
      <c r="B71" s="16" t="s">
        <v>402</v>
      </c>
      <c r="C71" s="16" t="s">
        <v>403</v>
      </c>
      <c r="D71" s="16"/>
      <c r="E71" s="16"/>
      <c r="F71" s="16"/>
      <c r="G71" s="16"/>
      <c r="H71" s="16"/>
      <c r="I71" s="16"/>
      <c r="J71" s="16"/>
      <c r="K71" s="16"/>
      <c r="L71" s="16"/>
      <c r="M71" s="16"/>
      <c r="N71" s="16"/>
      <c r="O71" s="16"/>
      <c r="P71" s="16"/>
      <c r="Q71" s="16"/>
      <c r="R71" s="16"/>
      <c r="S71" s="16"/>
      <c r="T71" s="16"/>
      <c r="U71" s="16"/>
      <c r="V71" s="16"/>
      <c r="W71" s="16"/>
      <c r="X71" s="16"/>
      <c r="Y71" s="16"/>
      <c r="Z71" s="16"/>
    </row>
    <row r="72" ht="9.0" customHeight="1">
      <c r="A72" s="17">
        <f t="shared" si="1"/>
        <v>71</v>
      </c>
      <c r="B72" s="16" t="s">
        <v>404</v>
      </c>
      <c r="C72" s="16" t="s">
        <v>405</v>
      </c>
      <c r="D72" s="16" t="s">
        <v>406</v>
      </c>
      <c r="E72" s="16" t="s">
        <v>407</v>
      </c>
      <c r="F72" s="16" t="s">
        <v>408</v>
      </c>
      <c r="G72" s="16" t="s">
        <v>409</v>
      </c>
      <c r="H72" s="16"/>
      <c r="I72" s="16"/>
      <c r="J72" s="16"/>
      <c r="K72" s="16"/>
      <c r="L72" s="16"/>
      <c r="M72" s="16"/>
      <c r="N72" s="16"/>
      <c r="O72" s="16"/>
      <c r="P72" s="16"/>
      <c r="Q72" s="16"/>
      <c r="R72" s="16"/>
      <c r="S72" s="16"/>
      <c r="T72" s="16"/>
      <c r="U72" s="16"/>
      <c r="V72" s="16"/>
      <c r="W72" s="16"/>
      <c r="X72" s="16"/>
      <c r="Y72" s="16"/>
      <c r="Z72" s="16"/>
    </row>
    <row r="73" ht="9.0" customHeight="1">
      <c r="A73" s="17">
        <f t="shared" si="1"/>
        <v>72</v>
      </c>
      <c r="B73" s="16" t="s">
        <v>410</v>
      </c>
      <c r="C73" s="16" t="s">
        <v>410</v>
      </c>
      <c r="D73" s="16" t="s">
        <v>411</v>
      </c>
      <c r="E73" s="16" t="s">
        <v>412</v>
      </c>
      <c r="F73" s="16" t="s">
        <v>413</v>
      </c>
      <c r="G73" s="16" t="s">
        <v>414</v>
      </c>
      <c r="H73" s="16"/>
      <c r="I73" s="16"/>
      <c r="J73" s="16"/>
      <c r="K73" s="16"/>
      <c r="L73" s="16"/>
      <c r="M73" s="16"/>
      <c r="N73" s="16"/>
      <c r="O73" s="16"/>
      <c r="P73" s="16"/>
      <c r="Q73" s="16"/>
      <c r="R73" s="16"/>
      <c r="S73" s="16"/>
      <c r="T73" s="16"/>
      <c r="U73" s="16"/>
      <c r="V73" s="16"/>
      <c r="W73" s="16"/>
      <c r="X73" s="16"/>
      <c r="Y73" s="16"/>
      <c r="Z73" s="16"/>
    </row>
    <row r="74" ht="9.0" customHeight="1">
      <c r="A74" s="17">
        <f t="shared" si="1"/>
        <v>73</v>
      </c>
      <c r="B74" s="16" t="s">
        <v>415</v>
      </c>
      <c r="C74" s="16" t="s">
        <v>415</v>
      </c>
      <c r="D74" s="16" t="s">
        <v>416</v>
      </c>
      <c r="E74" s="16" t="s">
        <v>417</v>
      </c>
      <c r="F74" s="16" t="s">
        <v>418</v>
      </c>
      <c r="G74" s="16" t="s">
        <v>419</v>
      </c>
      <c r="H74" s="16"/>
      <c r="I74" s="16"/>
      <c r="J74" s="16"/>
      <c r="K74" s="16"/>
      <c r="L74" s="16"/>
      <c r="M74" s="16"/>
      <c r="N74" s="16"/>
      <c r="O74" s="16"/>
      <c r="P74" s="16"/>
      <c r="Q74" s="16"/>
      <c r="R74" s="16"/>
      <c r="S74" s="16"/>
      <c r="T74" s="16"/>
      <c r="U74" s="16"/>
      <c r="V74" s="16"/>
      <c r="W74" s="16"/>
      <c r="X74" s="16"/>
      <c r="Y74" s="16"/>
      <c r="Z74" s="16"/>
    </row>
    <row r="75" ht="9.0" customHeight="1">
      <c r="A75" s="17">
        <f t="shared" si="1"/>
        <v>74</v>
      </c>
      <c r="B75" s="16" t="s">
        <v>420</v>
      </c>
      <c r="C75" s="16" t="s">
        <v>420</v>
      </c>
      <c r="D75" s="16" t="s">
        <v>421</v>
      </c>
      <c r="E75" s="16" t="s">
        <v>422</v>
      </c>
      <c r="F75" s="16" t="s">
        <v>423</v>
      </c>
      <c r="G75" s="16" t="s">
        <v>424</v>
      </c>
      <c r="H75" s="16"/>
      <c r="I75" s="16"/>
      <c r="J75" s="16"/>
      <c r="K75" s="16"/>
      <c r="L75" s="16"/>
      <c r="M75" s="16"/>
      <c r="N75" s="16"/>
      <c r="O75" s="16"/>
      <c r="P75" s="16"/>
      <c r="Q75" s="16"/>
      <c r="R75" s="16"/>
      <c r="S75" s="16"/>
      <c r="T75" s="16"/>
      <c r="U75" s="16"/>
      <c r="V75" s="16"/>
      <c r="W75" s="16"/>
      <c r="X75" s="16"/>
      <c r="Y75" s="16"/>
      <c r="Z75" s="16"/>
    </row>
    <row r="76" ht="9.0" customHeight="1">
      <c r="A76" s="17">
        <f t="shared" si="1"/>
        <v>75</v>
      </c>
      <c r="B76" s="16" t="s">
        <v>425</v>
      </c>
      <c r="C76" s="16" t="s">
        <v>425</v>
      </c>
      <c r="D76" s="16" t="s">
        <v>426</v>
      </c>
      <c r="E76" s="16" t="s">
        <v>427</v>
      </c>
      <c r="F76" s="16" t="s">
        <v>428</v>
      </c>
      <c r="G76" s="16" t="s">
        <v>429</v>
      </c>
      <c r="H76" s="16"/>
      <c r="I76" s="16"/>
      <c r="J76" s="16"/>
      <c r="K76" s="16"/>
      <c r="L76" s="16"/>
      <c r="M76" s="16"/>
      <c r="N76" s="16"/>
      <c r="O76" s="16"/>
      <c r="P76" s="16"/>
      <c r="Q76" s="16"/>
      <c r="R76" s="16"/>
      <c r="S76" s="16"/>
      <c r="T76" s="16"/>
      <c r="U76" s="16"/>
      <c r="V76" s="16"/>
      <c r="W76" s="16"/>
      <c r="X76" s="16"/>
      <c r="Y76" s="16"/>
      <c r="Z76" s="16"/>
    </row>
    <row r="77" ht="9.0" customHeight="1">
      <c r="A77" s="17">
        <f t="shared" si="1"/>
        <v>76</v>
      </c>
      <c r="B77" s="16" t="s">
        <v>430</v>
      </c>
      <c r="C77" s="16" t="s">
        <v>431</v>
      </c>
      <c r="D77" s="16" t="s">
        <v>432</v>
      </c>
      <c r="E77" s="16" t="s">
        <v>433</v>
      </c>
      <c r="F77" s="16" t="s">
        <v>434</v>
      </c>
      <c r="G77" s="16" t="s">
        <v>435</v>
      </c>
      <c r="H77" s="16"/>
      <c r="I77" s="16"/>
      <c r="J77" s="16"/>
      <c r="K77" s="16"/>
      <c r="L77" s="16"/>
      <c r="M77" s="16"/>
      <c r="N77" s="16"/>
      <c r="O77" s="16"/>
      <c r="P77" s="16"/>
      <c r="Q77" s="16"/>
      <c r="R77" s="16"/>
      <c r="S77" s="16"/>
      <c r="T77" s="16"/>
      <c r="U77" s="16"/>
      <c r="V77" s="16"/>
      <c r="W77" s="16"/>
      <c r="X77" s="16"/>
      <c r="Y77" s="16"/>
      <c r="Z77" s="16"/>
    </row>
    <row r="78" ht="9.0" customHeight="1">
      <c r="A78" s="17">
        <f t="shared" si="1"/>
        <v>77</v>
      </c>
      <c r="B78" s="16" t="s">
        <v>436</v>
      </c>
      <c r="C78" s="16" t="s">
        <v>437</v>
      </c>
      <c r="D78" s="16" t="s">
        <v>438</v>
      </c>
      <c r="E78" s="16" t="s">
        <v>439</v>
      </c>
      <c r="F78" s="16" t="s">
        <v>440</v>
      </c>
      <c r="G78" s="16" t="s">
        <v>441</v>
      </c>
      <c r="H78" s="16"/>
      <c r="I78" s="16"/>
      <c r="J78" s="16"/>
      <c r="K78" s="16"/>
      <c r="L78" s="16"/>
      <c r="M78" s="16"/>
      <c r="N78" s="16"/>
      <c r="O78" s="16"/>
      <c r="P78" s="16"/>
      <c r="Q78" s="16"/>
      <c r="R78" s="16"/>
      <c r="S78" s="16"/>
      <c r="T78" s="16"/>
      <c r="U78" s="16"/>
      <c r="V78" s="16"/>
      <c r="W78" s="16"/>
      <c r="X78" s="16"/>
      <c r="Y78" s="16"/>
      <c r="Z78" s="16"/>
    </row>
    <row r="79" ht="9.0" customHeight="1">
      <c r="A79" s="17">
        <f t="shared" si="1"/>
        <v>78</v>
      </c>
      <c r="B79" s="16" t="s">
        <v>442</v>
      </c>
      <c r="C79" s="16" t="s">
        <v>443</v>
      </c>
      <c r="D79" s="16" t="s">
        <v>444</v>
      </c>
      <c r="E79" s="16" t="s">
        <v>445</v>
      </c>
      <c r="F79" s="16" t="s">
        <v>446</v>
      </c>
      <c r="G79" s="16" t="s">
        <v>447</v>
      </c>
      <c r="H79" s="16"/>
      <c r="I79" s="16"/>
      <c r="J79" s="16"/>
      <c r="K79" s="16"/>
      <c r="L79" s="16"/>
      <c r="M79" s="16"/>
      <c r="N79" s="16"/>
      <c r="O79" s="16"/>
      <c r="P79" s="16"/>
      <c r="Q79" s="16"/>
      <c r="R79" s="16"/>
      <c r="S79" s="16"/>
      <c r="T79" s="16"/>
      <c r="U79" s="16"/>
      <c r="V79" s="16"/>
      <c r="W79" s="16"/>
      <c r="X79" s="16"/>
      <c r="Y79" s="16"/>
      <c r="Z79" s="16"/>
    </row>
    <row r="80" ht="9.0" customHeight="1">
      <c r="A80" s="17">
        <f t="shared" si="1"/>
        <v>79</v>
      </c>
      <c r="B80" s="16" t="s">
        <v>448</v>
      </c>
      <c r="C80" s="16" t="s">
        <v>449</v>
      </c>
      <c r="D80" s="16" t="s">
        <v>450</v>
      </c>
      <c r="E80" s="16" t="s">
        <v>451</v>
      </c>
      <c r="F80" s="16" t="s">
        <v>452</v>
      </c>
      <c r="G80" s="16" t="s">
        <v>453</v>
      </c>
      <c r="H80" s="16"/>
      <c r="I80" s="16"/>
      <c r="J80" s="16"/>
      <c r="K80" s="16"/>
      <c r="L80" s="16"/>
      <c r="M80" s="16"/>
      <c r="N80" s="16"/>
      <c r="O80" s="16"/>
      <c r="P80" s="16"/>
      <c r="Q80" s="16"/>
      <c r="R80" s="16"/>
      <c r="S80" s="16"/>
      <c r="T80" s="16"/>
      <c r="U80" s="16"/>
      <c r="V80" s="16"/>
      <c r="W80" s="16"/>
      <c r="X80" s="16"/>
      <c r="Y80" s="16"/>
      <c r="Z80" s="16"/>
    </row>
    <row r="81" ht="9.0" customHeight="1">
      <c r="A81" s="17">
        <f t="shared" si="1"/>
        <v>80</v>
      </c>
      <c r="B81" s="16" t="s">
        <v>454</v>
      </c>
      <c r="C81" s="16" t="s">
        <v>455</v>
      </c>
      <c r="D81" s="16" t="s">
        <v>456</v>
      </c>
      <c r="E81" s="16" t="s">
        <v>457</v>
      </c>
      <c r="F81" s="16" t="s">
        <v>458</v>
      </c>
      <c r="G81" s="16" t="s">
        <v>459</v>
      </c>
      <c r="H81" s="16"/>
      <c r="I81" s="16"/>
      <c r="J81" s="16"/>
      <c r="K81" s="16"/>
      <c r="L81" s="16"/>
      <c r="M81" s="16"/>
      <c r="N81" s="16"/>
      <c r="O81" s="16"/>
      <c r="P81" s="16"/>
      <c r="Q81" s="16"/>
      <c r="R81" s="16"/>
      <c r="S81" s="16"/>
      <c r="T81" s="16"/>
      <c r="U81" s="16"/>
      <c r="V81" s="16"/>
      <c r="W81" s="16"/>
      <c r="X81" s="16"/>
      <c r="Y81" s="16"/>
      <c r="Z81" s="16"/>
    </row>
    <row r="82" ht="9.0" customHeight="1">
      <c r="A82" s="17">
        <f t="shared" si="1"/>
        <v>81</v>
      </c>
      <c r="B82" s="16" t="s">
        <v>460</v>
      </c>
      <c r="C82" s="16" t="s">
        <v>461</v>
      </c>
      <c r="D82" s="16"/>
      <c r="E82" s="16"/>
      <c r="F82" s="16"/>
      <c r="G82" s="16"/>
      <c r="H82" s="16"/>
      <c r="I82" s="16"/>
      <c r="J82" s="16"/>
      <c r="K82" s="16"/>
      <c r="L82" s="16"/>
      <c r="M82" s="16"/>
      <c r="N82" s="16"/>
      <c r="O82" s="16"/>
      <c r="P82" s="16"/>
      <c r="Q82" s="16"/>
      <c r="R82" s="16"/>
      <c r="S82" s="16"/>
      <c r="T82" s="16"/>
      <c r="U82" s="16"/>
      <c r="V82" s="16"/>
      <c r="W82" s="16"/>
      <c r="X82" s="16"/>
      <c r="Y82" s="16"/>
      <c r="Z82" s="16"/>
    </row>
    <row r="83" ht="9.0" customHeight="1">
      <c r="A83" s="17">
        <f t="shared" si="1"/>
        <v>82</v>
      </c>
      <c r="B83" s="16" t="s">
        <v>462</v>
      </c>
      <c r="C83" s="16" t="s">
        <v>462</v>
      </c>
      <c r="D83" s="16" t="s">
        <v>463</v>
      </c>
      <c r="E83" s="16" t="s">
        <v>464</v>
      </c>
      <c r="F83" s="16" t="s">
        <v>465</v>
      </c>
      <c r="G83" s="16" t="s">
        <v>466</v>
      </c>
      <c r="H83" s="16"/>
      <c r="I83" s="16"/>
      <c r="J83" s="16"/>
      <c r="K83" s="16"/>
      <c r="L83" s="16"/>
      <c r="M83" s="16"/>
      <c r="N83" s="16"/>
      <c r="O83" s="16"/>
      <c r="P83" s="16"/>
      <c r="Q83" s="16"/>
      <c r="R83" s="16"/>
      <c r="S83" s="16"/>
      <c r="T83" s="16"/>
      <c r="U83" s="16"/>
      <c r="V83" s="16"/>
      <c r="W83" s="16"/>
      <c r="X83" s="16"/>
      <c r="Y83" s="16"/>
      <c r="Z83" s="16"/>
    </row>
    <row r="84" ht="9.0" customHeight="1">
      <c r="A84" s="17">
        <f t="shared" si="1"/>
        <v>83</v>
      </c>
      <c r="B84" s="16" t="s">
        <v>467</v>
      </c>
      <c r="C84" s="16" t="s">
        <v>468</v>
      </c>
      <c r="D84" s="16"/>
      <c r="E84" s="16"/>
      <c r="F84" s="16"/>
      <c r="G84" s="16"/>
      <c r="H84" s="16"/>
      <c r="I84" s="16"/>
      <c r="J84" s="16"/>
      <c r="K84" s="16"/>
      <c r="L84" s="16"/>
      <c r="M84" s="16"/>
      <c r="N84" s="16"/>
      <c r="O84" s="16"/>
      <c r="P84" s="16"/>
      <c r="Q84" s="16"/>
      <c r="R84" s="16"/>
      <c r="S84" s="16"/>
      <c r="T84" s="16"/>
      <c r="U84" s="16"/>
      <c r="V84" s="16"/>
      <c r="W84" s="16"/>
      <c r="X84" s="16"/>
      <c r="Y84" s="16"/>
      <c r="Z84" s="16"/>
    </row>
    <row r="85" ht="9.0" customHeight="1">
      <c r="A85" s="17">
        <f t="shared" si="1"/>
        <v>84</v>
      </c>
      <c r="B85" s="16" t="s">
        <v>469</v>
      </c>
      <c r="C85" s="16" t="s">
        <v>470</v>
      </c>
      <c r="D85" s="16" t="s">
        <v>471</v>
      </c>
      <c r="E85" s="16" t="s">
        <v>472</v>
      </c>
      <c r="F85" s="16" t="s">
        <v>473</v>
      </c>
      <c r="G85" s="16" t="s">
        <v>474</v>
      </c>
      <c r="H85" s="16"/>
      <c r="I85" s="16"/>
      <c r="J85" s="16"/>
      <c r="K85" s="16"/>
      <c r="L85" s="16"/>
      <c r="M85" s="16"/>
      <c r="N85" s="16"/>
      <c r="O85" s="16"/>
      <c r="P85" s="16"/>
      <c r="Q85" s="16"/>
      <c r="R85" s="16"/>
      <c r="S85" s="16"/>
      <c r="T85" s="16"/>
      <c r="U85" s="16"/>
      <c r="V85" s="16"/>
      <c r="W85" s="16"/>
      <c r="X85" s="16"/>
      <c r="Y85" s="16"/>
      <c r="Z85" s="16"/>
    </row>
    <row r="86" ht="9.0" customHeight="1">
      <c r="A86" s="17">
        <f t="shared" si="1"/>
        <v>85</v>
      </c>
      <c r="B86" s="16" t="s">
        <v>475</v>
      </c>
      <c r="C86" s="16" t="s">
        <v>475</v>
      </c>
      <c r="D86" s="16" t="s">
        <v>476</v>
      </c>
      <c r="E86" s="16" t="s">
        <v>477</v>
      </c>
      <c r="F86" s="16" t="s">
        <v>478</v>
      </c>
      <c r="G86" s="16" t="s">
        <v>479</v>
      </c>
      <c r="H86" s="16"/>
      <c r="I86" s="16"/>
      <c r="J86" s="16"/>
      <c r="K86" s="16"/>
      <c r="L86" s="16"/>
      <c r="M86" s="16"/>
      <c r="N86" s="16"/>
      <c r="O86" s="16"/>
      <c r="P86" s="16"/>
      <c r="Q86" s="16"/>
      <c r="R86" s="16"/>
      <c r="S86" s="16"/>
      <c r="T86" s="16"/>
      <c r="U86" s="16"/>
      <c r="V86" s="16"/>
      <c r="W86" s="16"/>
      <c r="X86" s="16"/>
      <c r="Y86" s="16"/>
      <c r="Z86" s="16"/>
    </row>
    <row r="87" ht="9.0" customHeight="1">
      <c r="A87" s="17">
        <f t="shared" si="1"/>
        <v>86</v>
      </c>
      <c r="B87" s="16" t="s">
        <v>480</v>
      </c>
      <c r="C87" s="16" t="s">
        <v>481</v>
      </c>
      <c r="D87" s="16" t="s">
        <v>482</v>
      </c>
      <c r="E87" s="16" t="s">
        <v>483</v>
      </c>
      <c r="F87" s="16" t="s">
        <v>484</v>
      </c>
      <c r="G87" s="16" t="s">
        <v>485</v>
      </c>
      <c r="H87" s="16"/>
      <c r="I87" s="16"/>
      <c r="J87" s="16"/>
      <c r="K87" s="16"/>
      <c r="L87" s="16"/>
      <c r="M87" s="16"/>
      <c r="N87" s="16"/>
      <c r="O87" s="16"/>
      <c r="P87" s="16"/>
      <c r="Q87" s="16"/>
      <c r="R87" s="16"/>
      <c r="S87" s="16"/>
      <c r="T87" s="16"/>
      <c r="U87" s="16"/>
      <c r="V87" s="16"/>
      <c r="W87" s="16"/>
      <c r="X87" s="16"/>
      <c r="Y87" s="16"/>
      <c r="Z87" s="16"/>
    </row>
    <row r="88" ht="9.0" customHeight="1">
      <c r="A88" s="17">
        <f t="shared" si="1"/>
        <v>87</v>
      </c>
      <c r="B88" s="16" t="s">
        <v>486</v>
      </c>
      <c r="C88" s="16" t="s">
        <v>487</v>
      </c>
      <c r="D88" s="16" t="s">
        <v>488</v>
      </c>
      <c r="E88" s="16" t="s">
        <v>489</v>
      </c>
      <c r="F88" s="16" t="s">
        <v>490</v>
      </c>
      <c r="G88" s="16" t="s">
        <v>491</v>
      </c>
      <c r="H88" s="16"/>
      <c r="I88" s="16"/>
      <c r="J88" s="16"/>
      <c r="K88" s="16"/>
      <c r="L88" s="16"/>
      <c r="M88" s="16"/>
      <c r="N88" s="16"/>
      <c r="O88" s="16"/>
      <c r="P88" s="16"/>
      <c r="Q88" s="16"/>
      <c r="R88" s="16"/>
      <c r="S88" s="16"/>
      <c r="T88" s="16"/>
      <c r="U88" s="16"/>
      <c r="V88" s="16"/>
      <c r="W88" s="16"/>
      <c r="X88" s="16"/>
      <c r="Y88" s="16"/>
      <c r="Z88" s="16"/>
    </row>
    <row r="89" ht="9.0" customHeight="1">
      <c r="A89" s="17">
        <f t="shared" si="1"/>
        <v>88</v>
      </c>
      <c r="B89" s="16" t="s">
        <v>492</v>
      </c>
      <c r="C89" s="16" t="s">
        <v>492</v>
      </c>
      <c r="D89" s="16" t="s">
        <v>493</v>
      </c>
      <c r="E89" s="16" t="s">
        <v>494</v>
      </c>
      <c r="F89" s="16" t="s">
        <v>495</v>
      </c>
      <c r="G89" s="16" t="s">
        <v>496</v>
      </c>
      <c r="H89" s="16"/>
      <c r="I89" s="16"/>
      <c r="J89" s="16"/>
      <c r="K89" s="16"/>
      <c r="L89" s="16"/>
      <c r="M89" s="16"/>
      <c r="N89" s="16"/>
      <c r="O89" s="16"/>
      <c r="P89" s="16"/>
      <c r="Q89" s="16"/>
      <c r="R89" s="16"/>
      <c r="S89" s="16"/>
      <c r="T89" s="16"/>
      <c r="U89" s="16"/>
      <c r="V89" s="16"/>
      <c r="W89" s="16"/>
      <c r="X89" s="16"/>
      <c r="Y89" s="16"/>
      <c r="Z89" s="16"/>
    </row>
    <row r="90" ht="9.0" customHeight="1">
      <c r="A90" s="17">
        <f t="shared" si="1"/>
        <v>89</v>
      </c>
      <c r="B90" s="16" t="s">
        <v>497</v>
      </c>
      <c r="C90" s="16" t="s">
        <v>498</v>
      </c>
      <c r="D90" s="16" t="s">
        <v>499</v>
      </c>
      <c r="E90" s="16" t="s">
        <v>500</v>
      </c>
      <c r="F90" s="16" t="s">
        <v>501</v>
      </c>
      <c r="G90" s="16" t="s">
        <v>502</v>
      </c>
      <c r="H90" s="16"/>
      <c r="I90" s="16"/>
      <c r="J90" s="16"/>
      <c r="K90" s="16"/>
      <c r="L90" s="16"/>
      <c r="M90" s="16"/>
      <c r="N90" s="16"/>
      <c r="O90" s="16"/>
      <c r="P90" s="16"/>
      <c r="Q90" s="16"/>
      <c r="R90" s="16"/>
      <c r="S90" s="16"/>
      <c r="T90" s="16"/>
      <c r="U90" s="16"/>
      <c r="V90" s="16"/>
      <c r="W90" s="16"/>
      <c r="X90" s="16"/>
      <c r="Y90" s="16"/>
      <c r="Z90" s="16"/>
    </row>
    <row r="91" ht="9.0" customHeight="1">
      <c r="A91" s="17">
        <f t="shared" si="1"/>
        <v>90</v>
      </c>
      <c r="B91" s="16" t="s">
        <v>503</v>
      </c>
      <c r="C91" s="16" t="s">
        <v>504</v>
      </c>
      <c r="D91" s="16" t="s">
        <v>505</v>
      </c>
      <c r="E91" s="16" t="s">
        <v>506</v>
      </c>
      <c r="F91" s="16" t="s">
        <v>507</v>
      </c>
      <c r="G91" s="16" t="s">
        <v>508</v>
      </c>
      <c r="H91" s="16"/>
      <c r="I91" s="16"/>
      <c r="J91" s="16"/>
      <c r="K91" s="16"/>
      <c r="L91" s="16"/>
      <c r="M91" s="16"/>
      <c r="N91" s="16"/>
      <c r="O91" s="16"/>
      <c r="P91" s="16"/>
      <c r="Q91" s="16"/>
      <c r="R91" s="16"/>
      <c r="S91" s="16"/>
      <c r="T91" s="16"/>
      <c r="U91" s="16"/>
      <c r="V91" s="16"/>
      <c r="W91" s="16"/>
      <c r="X91" s="16"/>
      <c r="Y91" s="16"/>
      <c r="Z91" s="16"/>
    </row>
    <row r="92" ht="9.0" customHeight="1">
      <c r="A92" s="17">
        <f t="shared" si="1"/>
        <v>91</v>
      </c>
      <c r="B92" s="16" t="s">
        <v>509</v>
      </c>
      <c r="C92" s="16" t="s">
        <v>510</v>
      </c>
      <c r="D92" s="16"/>
      <c r="E92" s="16"/>
      <c r="F92" s="16"/>
      <c r="G92" s="16"/>
      <c r="H92" s="16"/>
      <c r="I92" s="16"/>
      <c r="J92" s="16"/>
      <c r="K92" s="16"/>
      <c r="L92" s="16"/>
      <c r="M92" s="16"/>
      <c r="N92" s="16"/>
      <c r="O92" s="16"/>
      <c r="P92" s="16"/>
      <c r="Q92" s="16"/>
      <c r="R92" s="16"/>
      <c r="S92" s="16"/>
      <c r="T92" s="16"/>
      <c r="U92" s="16"/>
      <c r="V92" s="16"/>
      <c r="W92" s="16"/>
      <c r="X92" s="16"/>
      <c r="Y92" s="16"/>
      <c r="Z92" s="16"/>
    </row>
    <row r="93" ht="9.0" customHeight="1">
      <c r="A93" s="17">
        <f t="shared" si="1"/>
        <v>92</v>
      </c>
      <c r="B93" s="16" t="s">
        <v>511</v>
      </c>
      <c r="C93" s="16" t="s">
        <v>512</v>
      </c>
      <c r="D93" s="16" t="s">
        <v>513</v>
      </c>
      <c r="E93" s="16" t="s">
        <v>514</v>
      </c>
      <c r="F93" s="16" t="s">
        <v>515</v>
      </c>
      <c r="G93" s="16" t="s">
        <v>516</v>
      </c>
      <c r="H93" s="16"/>
      <c r="I93" s="16"/>
      <c r="J93" s="16"/>
      <c r="K93" s="16"/>
      <c r="L93" s="16"/>
      <c r="M93" s="16"/>
      <c r="N93" s="16"/>
      <c r="O93" s="16"/>
      <c r="P93" s="16"/>
      <c r="Q93" s="16"/>
      <c r="R93" s="16"/>
      <c r="S93" s="16"/>
      <c r="T93" s="16"/>
      <c r="U93" s="16"/>
      <c r="V93" s="16"/>
      <c r="W93" s="16"/>
      <c r="X93" s="16"/>
      <c r="Y93" s="16"/>
      <c r="Z93" s="16"/>
    </row>
    <row r="94" ht="9.0" customHeight="1">
      <c r="A94" s="17">
        <f t="shared" si="1"/>
        <v>93</v>
      </c>
      <c r="B94" s="16" t="s">
        <v>517</v>
      </c>
      <c r="C94" s="16" t="s">
        <v>517</v>
      </c>
      <c r="D94" s="16" t="s">
        <v>518</v>
      </c>
      <c r="E94" s="16" t="s">
        <v>519</v>
      </c>
      <c r="F94" s="16" t="s">
        <v>520</v>
      </c>
      <c r="G94" s="16" t="s">
        <v>521</v>
      </c>
      <c r="H94" s="16"/>
      <c r="I94" s="16"/>
      <c r="J94" s="16"/>
      <c r="K94" s="16"/>
      <c r="L94" s="16"/>
      <c r="M94" s="16"/>
      <c r="N94" s="16"/>
      <c r="O94" s="16"/>
      <c r="P94" s="16"/>
      <c r="Q94" s="16"/>
      <c r="R94" s="16"/>
      <c r="S94" s="16"/>
      <c r="T94" s="16"/>
      <c r="U94" s="16"/>
      <c r="V94" s="16"/>
      <c r="W94" s="16"/>
      <c r="X94" s="16"/>
      <c r="Y94" s="16"/>
      <c r="Z94" s="16"/>
    </row>
    <row r="95" ht="9.0" customHeight="1">
      <c r="A95" s="17">
        <f t="shared" si="1"/>
        <v>94</v>
      </c>
      <c r="B95" s="16" t="s">
        <v>522</v>
      </c>
      <c r="C95" s="16" t="s">
        <v>523</v>
      </c>
      <c r="D95" s="16" t="s">
        <v>524</v>
      </c>
      <c r="E95" s="16" t="s">
        <v>525</v>
      </c>
      <c r="F95" s="16" t="s">
        <v>526</v>
      </c>
      <c r="G95" s="16" t="s">
        <v>527</v>
      </c>
      <c r="H95" s="16"/>
      <c r="I95" s="16"/>
      <c r="J95" s="16"/>
      <c r="K95" s="16"/>
      <c r="L95" s="16"/>
      <c r="M95" s="16"/>
      <c r="N95" s="16"/>
      <c r="O95" s="16"/>
      <c r="P95" s="16"/>
      <c r="Q95" s="16"/>
      <c r="R95" s="16"/>
      <c r="S95" s="16"/>
      <c r="T95" s="16"/>
      <c r="U95" s="16"/>
      <c r="V95" s="16"/>
      <c r="W95" s="16"/>
      <c r="X95" s="16"/>
      <c r="Y95" s="16"/>
      <c r="Z95" s="16"/>
    </row>
    <row r="96" ht="9.0" customHeight="1">
      <c r="A96" s="17">
        <f t="shared" si="1"/>
        <v>95</v>
      </c>
      <c r="B96" s="16" t="s">
        <v>528</v>
      </c>
      <c r="C96" s="16" t="s">
        <v>528</v>
      </c>
      <c r="D96" s="16" t="s">
        <v>529</v>
      </c>
      <c r="E96" s="16" t="s">
        <v>530</v>
      </c>
      <c r="F96" s="16" t="s">
        <v>531</v>
      </c>
      <c r="G96" s="16" t="s">
        <v>532</v>
      </c>
      <c r="H96" s="16"/>
      <c r="I96" s="16"/>
      <c r="J96" s="16"/>
      <c r="K96" s="16"/>
      <c r="L96" s="16"/>
      <c r="M96" s="16"/>
      <c r="N96" s="16"/>
      <c r="O96" s="16"/>
      <c r="P96" s="16"/>
      <c r="Q96" s="16"/>
      <c r="R96" s="16"/>
      <c r="S96" s="16"/>
      <c r="T96" s="16"/>
      <c r="U96" s="16"/>
      <c r="V96" s="16"/>
      <c r="W96" s="16"/>
      <c r="X96" s="16"/>
      <c r="Y96" s="16"/>
      <c r="Z96" s="16"/>
    </row>
    <row r="97" ht="9.0" customHeight="1">
      <c r="A97" s="17">
        <f t="shared" si="1"/>
        <v>96</v>
      </c>
      <c r="B97" s="16" t="s">
        <v>533</v>
      </c>
      <c r="C97" s="16" t="s">
        <v>534</v>
      </c>
      <c r="D97" s="16" t="s">
        <v>535</v>
      </c>
      <c r="E97" s="16" t="s">
        <v>536</v>
      </c>
      <c r="F97" s="16" t="s">
        <v>537</v>
      </c>
      <c r="G97" s="16" t="s">
        <v>538</v>
      </c>
      <c r="H97" s="16"/>
      <c r="I97" s="16"/>
      <c r="J97" s="16"/>
      <c r="K97" s="16"/>
      <c r="L97" s="16"/>
      <c r="M97" s="16"/>
      <c r="N97" s="16"/>
      <c r="O97" s="16"/>
      <c r="P97" s="16"/>
      <c r="Q97" s="16"/>
      <c r="R97" s="16"/>
      <c r="S97" s="16"/>
      <c r="T97" s="16"/>
      <c r="U97" s="16"/>
      <c r="V97" s="16"/>
      <c r="W97" s="16"/>
      <c r="X97" s="16"/>
      <c r="Y97" s="16"/>
      <c r="Z97" s="16"/>
    </row>
    <row r="98" ht="9.0" customHeight="1">
      <c r="A98" s="17">
        <f t="shared" si="1"/>
        <v>97</v>
      </c>
      <c r="B98" s="16" t="s">
        <v>539</v>
      </c>
      <c r="C98" s="16" t="s">
        <v>540</v>
      </c>
      <c r="D98" s="16" t="s">
        <v>541</v>
      </c>
      <c r="E98" s="16" t="s">
        <v>542</v>
      </c>
      <c r="F98" s="16" t="s">
        <v>543</v>
      </c>
      <c r="G98" s="16" t="s">
        <v>544</v>
      </c>
      <c r="H98" s="16"/>
      <c r="I98" s="16"/>
      <c r="J98" s="16"/>
      <c r="K98" s="16"/>
      <c r="L98" s="16"/>
      <c r="M98" s="16"/>
      <c r="N98" s="16"/>
      <c r="O98" s="16"/>
      <c r="P98" s="16"/>
      <c r="Q98" s="16"/>
      <c r="R98" s="16"/>
      <c r="S98" s="16"/>
      <c r="T98" s="16"/>
      <c r="U98" s="16"/>
      <c r="V98" s="16"/>
      <c r="W98" s="16"/>
      <c r="X98" s="16"/>
      <c r="Y98" s="16"/>
      <c r="Z98" s="16"/>
    </row>
    <row r="99" ht="9.0" customHeight="1">
      <c r="A99" s="17">
        <f t="shared" si="1"/>
        <v>98</v>
      </c>
      <c r="B99" s="16" t="s">
        <v>545</v>
      </c>
      <c r="C99" s="16" t="s">
        <v>546</v>
      </c>
      <c r="D99" s="16" t="s">
        <v>547</v>
      </c>
      <c r="E99" s="16" t="s">
        <v>548</v>
      </c>
      <c r="F99" s="16" t="s">
        <v>549</v>
      </c>
      <c r="G99" s="16" t="s">
        <v>550</v>
      </c>
      <c r="H99" s="16"/>
      <c r="I99" s="16"/>
      <c r="J99" s="16"/>
      <c r="K99" s="16"/>
      <c r="L99" s="16"/>
      <c r="M99" s="16"/>
      <c r="N99" s="16"/>
      <c r="O99" s="16"/>
      <c r="P99" s="16"/>
      <c r="Q99" s="16"/>
      <c r="R99" s="16"/>
      <c r="S99" s="16"/>
      <c r="T99" s="16"/>
      <c r="U99" s="16"/>
      <c r="V99" s="16"/>
      <c r="W99" s="16"/>
      <c r="X99" s="16"/>
      <c r="Y99" s="16"/>
      <c r="Z99" s="16"/>
    </row>
    <row r="100" ht="9.0" customHeight="1">
      <c r="A100" s="17">
        <f t="shared" si="1"/>
        <v>99</v>
      </c>
      <c r="B100" s="16" t="s">
        <v>551</v>
      </c>
      <c r="C100" s="16" t="s">
        <v>551</v>
      </c>
      <c r="D100" s="16" t="s">
        <v>552</v>
      </c>
      <c r="E100" s="16" t="s">
        <v>553</v>
      </c>
      <c r="F100" s="16" t="s">
        <v>554</v>
      </c>
      <c r="G100" s="16" t="s">
        <v>555</v>
      </c>
      <c r="H100" s="16"/>
      <c r="I100" s="16"/>
      <c r="J100" s="16"/>
      <c r="K100" s="16"/>
      <c r="L100" s="16"/>
      <c r="M100" s="16"/>
      <c r="N100" s="16"/>
      <c r="O100" s="16"/>
      <c r="P100" s="16"/>
      <c r="Q100" s="16"/>
      <c r="R100" s="16"/>
      <c r="S100" s="16"/>
      <c r="T100" s="16"/>
      <c r="U100" s="16"/>
      <c r="V100" s="16"/>
      <c r="W100" s="16"/>
      <c r="X100" s="16"/>
      <c r="Y100" s="16"/>
      <c r="Z100" s="16"/>
    </row>
    <row r="101" ht="9.0" customHeight="1">
      <c r="A101" s="17">
        <f t="shared" si="1"/>
        <v>100</v>
      </c>
      <c r="B101" s="16" t="s">
        <v>556</v>
      </c>
      <c r="C101" s="16" t="s">
        <v>556</v>
      </c>
      <c r="D101" s="16" t="s">
        <v>557</v>
      </c>
      <c r="E101" s="16" t="s">
        <v>558</v>
      </c>
      <c r="F101" s="16" t="s">
        <v>559</v>
      </c>
      <c r="G101" s="16" t="s">
        <v>560</v>
      </c>
      <c r="H101" s="16"/>
      <c r="I101" s="16"/>
      <c r="J101" s="16"/>
      <c r="K101" s="16"/>
      <c r="L101" s="16"/>
      <c r="M101" s="16"/>
      <c r="N101" s="16"/>
      <c r="O101" s="16"/>
      <c r="P101" s="16"/>
      <c r="Q101" s="16"/>
      <c r="R101" s="16"/>
      <c r="S101" s="16"/>
      <c r="T101" s="16"/>
      <c r="U101" s="16"/>
      <c r="V101" s="16"/>
      <c r="W101" s="16"/>
      <c r="X101" s="16"/>
      <c r="Y101" s="16"/>
      <c r="Z101" s="16"/>
    </row>
    <row r="102" ht="9.0" customHeight="1">
      <c r="A102" s="17"/>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9.0" customHeight="1">
      <c r="A103" s="17"/>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9.0" customHeight="1">
      <c r="A104" s="17"/>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9.0" customHeight="1">
      <c r="A105" s="17"/>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9.0" customHeight="1">
      <c r="A106" s="17"/>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9.0" customHeight="1">
      <c r="A107" s="17"/>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9.0" customHeight="1">
      <c r="A108" s="17"/>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9.0" customHeight="1">
      <c r="A109" s="17"/>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9.0" customHeight="1">
      <c r="A110" s="17"/>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9.0" customHeight="1">
      <c r="A111" s="17"/>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9.0" customHeight="1">
      <c r="A112" s="17"/>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9.0" customHeight="1">
      <c r="A113" s="17"/>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9.0" customHeight="1">
      <c r="A114" s="17"/>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9.0" customHeight="1">
      <c r="A115" s="17"/>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9.0" customHeight="1">
      <c r="A116" s="17"/>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9.0"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9.0"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9.0"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9.0"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9.0"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9.0"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9.0"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9.0"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9.0"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9.0"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9.0"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9.0"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9.0"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9.0"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9.0"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9.0"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9.0"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9.0"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9.0"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9.0"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9.0"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9.0"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9.0"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9.0"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9.0"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9.0"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9.0"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9.0"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9.0"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9.0"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9.0"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9.0"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9.0"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9.0"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9.0"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9.0"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9.0"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9.0"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9.0"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9.0"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9.0"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9.0"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9.0"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9.0"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9.0"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9.0"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9.0"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9.0"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9.0"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9.0"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9.0"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9.0"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9.0"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9.0"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9.0"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9.0"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9.0"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9.0"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9.0"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9.0"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9.0"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9.0"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9.0"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9.0"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9.0"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9.0"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9.0"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9.0"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9.0"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9.0"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9.0"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9.0"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9.0"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9.0"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9.0"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9.0"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9.0"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9.0"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9.0"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9.0"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9.0"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9.0"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9.0"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9.0"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9.0"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9.0"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9.0"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9.0"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9.0"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9.0"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9.0"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9.0"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9.0"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9.0"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9.0"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9.0"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9.0"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9.0"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9.0"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9.0"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9.0"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9.0"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9.0"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9.0"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9.0"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9.0"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9.0"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9.0"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9.0"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9.0"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9.0"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9.0"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9.0"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9.0"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9.0"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9.0"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9.0"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9.0"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9.0"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9.0"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9.0"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9.0"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9.0"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9.0"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9.0"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9.0"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9.0"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9.0"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9.0"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9.0"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9.0"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9.0"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9.0"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9.0"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9.0"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9.0"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9.0"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9.0"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9.0"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9.0"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9.0"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9.0"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9.0"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9.0"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9.0"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9.0"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9.0"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9.0"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9.0"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9.0"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9.0"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9.0"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9.0"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9.0"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9.0"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9.0"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9.0"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9.0"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9.0"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9.0"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9.0"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9.0"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9.0"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9.0"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9.0"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9.0"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9.0"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9.0"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9.0"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9.0"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9.0"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9.0"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9.0"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9.0"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9.0"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9.0"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9.0"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9.0"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9.0"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9.0"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9.0"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9.0"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9.0"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9.0"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9.0"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9.0"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9.0"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9.0"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9.0"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9.0"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9.0"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9.0"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9.0"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9.0"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9.0"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9.0"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9.0"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9.0"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9.0"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9.0"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9.0"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9.0"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9.0"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9.0"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9.0"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9.0"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9.0"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9.0"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9.0"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9.0"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9.0"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9.0"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9.0"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9.0"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9.0"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9.0"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9.0"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9.0"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9.0"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9.0"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9.0"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9.0"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9.0"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9.0"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9.0"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9.0"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9.0"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9.0"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9.0"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9.0"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9.0"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9.0"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9.0"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9.0"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9.0"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9.0"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9.0"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9.0"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9.0"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9.0"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9.0"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9.0"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9.0"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9.0"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9.0"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9.0"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9.0"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9.0"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9.0"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9.0"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9.0"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9.0"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9.0"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9.0"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9.0"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9.0"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9.0"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9.0"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9.0"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9.0"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9.0"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9.0"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9.0"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9.0"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9.0"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9.0"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9.0"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9.0"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9.0"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9.0"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9.0"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9.0"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9.0"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9.0"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9.0"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9.0"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9.0"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9.0"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9.0"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9.0"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9.0"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9.0"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9.0"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9.0"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9.0"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9.0"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9.0"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9.0"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9.0"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9.0"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9.0"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9.0"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9.0"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9.0"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9.0"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9.0"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9.0"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9.0"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9.0"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9.0"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9.0"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9.0"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9.0"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9.0"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9.0"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9.0"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9.0"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9.0"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9.0"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9.0"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9.0"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9.0"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9.0"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9.0"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9.0"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9.0"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9.0"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9.0"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9.0"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9.0"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9.0"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9.0"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9.0"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9.0"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9.0"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9.0"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9.0"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9.0"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9.0"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9.0"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9.0"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9.0"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9.0"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9.0"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9.0"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9.0"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9.0"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9.0"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9.0"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9.0"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9.0"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9.0"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9.0"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9.0"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9.0"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9.0"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9.0"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9.0"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9.0"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9.0"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9.0"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9.0"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9.0"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9.0"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9.0"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9.0"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9.0"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9.0"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9.0"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9.0"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9.0"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9.0"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9.0"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9.0"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9.0"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9.0"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9.0"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9.0"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9.0"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9.0"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9.0"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9.0"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9.0"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9.0"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9.0"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9.0"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9.0"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9.0"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9.0"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9.0"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9.0"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9.0"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9.0"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9.0"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9.0"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9.0"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9.0"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9.0"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9.0"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9.0"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9.0"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9.0"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9.0"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9.0"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9.0"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9.0"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9.0"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9.0"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9.0"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9.0"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9.0"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9.0"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9.0"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9.0"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9.0"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9.0"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9.0"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9.0"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9.0"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9.0"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9.0"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9.0"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9.0"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9.0"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9.0"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9.0"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9.0"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9.0"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9.0"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9.0"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9.0"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9.0"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9.0"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9.0"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9.0"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9.0"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9.0"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9.0"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9.0"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9.0"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9.0"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9.0"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9.0"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9.0"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9.0"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9.0"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9.0"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9.0"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9.0"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9.0"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9.0"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9.0"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9.0"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9.0"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9.0"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9.0"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9.0"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9.0"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9.0"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9.0"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9.0"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9.0"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9.0"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9.0"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9.0"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9.0"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9.0"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9.0"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9.0"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9.0"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9.0"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9.0"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9.0"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9.0"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9.0"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9.0"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9.0"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9.0"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9.0"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9.0"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9.0"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9.0"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9.0"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9.0"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9.0"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9.0"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9.0"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9.0"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9.0"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9.0"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9.0"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9.0"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9.0"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9.0"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9.0"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9.0"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9.0"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9.0"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9.0"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9.0"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9.0"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9.0"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9.0"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9.0"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9.0"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9.0"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9.0"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9.0"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9.0"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9.0"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9.0"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9.0"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9.0"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9.0"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9.0"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9.0"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9.0"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9.0"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9.0"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9.0"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9.0"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9.0"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9.0"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9.0"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9.0"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9.0"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9.0"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9.0"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9.0"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9.0"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9.0"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9.0"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9.0"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9.0"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9.0"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9.0"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9.0"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9.0"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9.0"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9.0"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9.0"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9.0"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9.0"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9.0"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9.0"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9.0"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9.0"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9.0"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9.0"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9.0"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9.0"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9.0"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9.0"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9.0"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9.0"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9.0"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9.0"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9.0"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9.0"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9.0"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9.0"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9.0"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9.0"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9.0"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9.0"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9.0"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9.0"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9.0"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9.0"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9.0"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9.0"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9.0"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9.0"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9.0"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9.0"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9.0"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9.0"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9.0"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9.0"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9.0"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9.0"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9.0"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9.0"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9.0"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9.0"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9.0"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9.0"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9.0"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9.0"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9.0"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9.0"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9.0"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9.0"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9.0"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9.0"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9.0"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9.0"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9.0"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9.0"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9.0"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9.0"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9.0"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9.0"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9.0"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9.0"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9.0"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9.0"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9.0"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9.0"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9.0"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9.0"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9.0"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9.0"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9.0"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9.0"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9.0"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9.0"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9.0"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9.0"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9.0"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9.0"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9.0"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9.0"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9.0"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9.0"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9.0"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9.0"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9.0"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9.0"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9.0"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9.0"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9.0"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9.0"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9.0"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9.0"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9.0"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9.0"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9.0"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9.0"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9.0"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9.0"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9.0"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9.0"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9.0"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9.0"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9.0"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9.0"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9.0"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9.0"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9.0"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9.0"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9.0"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9.0"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9.0"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9.0"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9.0"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9.0"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9.0"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9.0"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9.0"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9.0"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9.0"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9.0"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9.0"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9.0"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9.0"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9.0"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9.0"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9.0"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9.0"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9.0"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9.0"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9.0"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9.0"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9.0"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9.0"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9.0"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9.0"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9.0"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9.0"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9.0"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9.0"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9.0"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9.0"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9.0"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9.0"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9.0"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9.0"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9.0"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9.0"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9.0"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9.0"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9.0"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9.0"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9.0"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9.0"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9.0"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9.0"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9.0"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9.0"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9.0"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9.0"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9.0"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9.0"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9.0"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9.0"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9.0"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9.0"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9.0"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9.0"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9.0"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9.0"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9.0"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9.0"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9.0"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9.0"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9.0"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9.0"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9.0"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9.0"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9.0"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9.0"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9.0"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9.0"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9.0"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9.0"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9.0"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9.0"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9.0"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9.0"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9.0"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9.0"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9.0"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9.0"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9.0"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9.0"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9.0"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9.0"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9.0"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9.0"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9.0"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9.0"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9.0"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9.0"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9.0"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9.0"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9.0"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9.0"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9.0"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9.0"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9.0"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9.0"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9.0"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9.0"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9.0"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9.0"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9.0"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9.0"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9.0"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9.0"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9.0"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9.0"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9.0"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9.0"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9.0"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9.0"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9.0"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9.0"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9.0"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9.0"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9.0"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9.0"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9.0"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9.0"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9.0"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9.0"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9.0"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9.0"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9.0"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9.0"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9.0"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9.0"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9.0"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9.0"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9.0"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9.0"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9.0"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9.0"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9.0"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9.0"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9.0"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9.0"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9.0"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9.0"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9.0"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9.0"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9.0"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9.0"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9.0"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9.0"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9.0"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9.0"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9.0"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9.0"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9.0"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9.0"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9.0"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9.0"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9.0"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9.0"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9.0"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9.0"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9.0"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9.0"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9.0"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9.0"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9.0"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9.0"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9.0"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9.0"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9.0"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9.0"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9.0"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9.0"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9.0"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9.0"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9.0"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9.0"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9.0"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9.0"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9.0"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9.0"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9.0"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9.0"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9.0"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9.0"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9.0"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9.0"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9.0"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9.0"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9.0"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9.0"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9.0"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9.0"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9.0"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9.0"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9.0"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9.0"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9.0"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9.0"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9.0"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9.0"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9.0"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9.0"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9.0"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9.0"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9.0"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9.0"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9.0"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9.0"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9.0"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9.0"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9.0"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9.0"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9.0"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9.0"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9.0"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9.0"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9.0"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9.0"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9.0"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9.0"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9.0"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9.0"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9.0"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9.0"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9.0"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9.0"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9.0"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9.0"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9.0"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9.0"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9.0"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9.0"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9.0"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9.0"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9.0"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9.0"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9.0"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9.0"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9.0"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9.0"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9.0"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9.0"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41" width="8.71"/>
  </cols>
  <sheetData>
    <row r="1" ht="12.75" customHeight="1">
      <c r="A1" s="18" t="s">
        <v>2</v>
      </c>
      <c r="B1" s="18" t="s">
        <v>3</v>
      </c>
      <c r="C1" s="18" t="s">
        <v>6</v>
      </c>
      <c r="D1" s="18" t="s">
        <v>561</v>
      </c>
      <c r="E1" s="15" t="s">
        <v>5</v>
      </c>
      <c r="F1" s="18" t="s">
        <v>562</v>
      </c>
      <c r="G1" s="15" t="s">
        <v>563</v>
      </c>
      <c r="H1" s="15" t="s">
        <v>13</v>
      </c>
      <c r="I1" s="15" t="s">
        <v>564</v>
      </c>
      <c r="J1" s="15" t="s">
        <v>565</v>
      </c>
      <c r="K1" s="15" t="s">
        <v>566</v>
      </c>
      <c r="L1" s="18" t="s">
        <v>567</v>
      </c>
      <c r="M1" s="18" t="s">
        <v>568</v>
      </c>
      <c r="N1" s="18" t="s">
        <v>569</v>
      </c>
      <c r="O1" s="18" t="s">
        <v>570</v>
      </c>
      <c r="P1" s="18" t="s">
        <v>571</v>
      </c>
      <c r="Q1" s="18" t="s">
        <v>572</v>
      </c>
      <c r="R1" s="18" t="s">
        <v>573</v>
      </c>
      <c r="S1" s="18" t="s">
        <v>574</v>
      </c>
      <c r="T1" s="18" t="s">
        <v>575</v>
      </c>
      <c r="U1" s="18" t="s">
        <v>576</v>
      </c>
      <c r="V1" s="16"/>
      <c r="W1" s="16"/>
      <c r="X1" s="16"/>
      <c r="Y1" s="16"/>
      <c r="Z1" s="16"/>
      <c r="AA1" s="16"/>
      <c r="AB1" s="16"/>
      <c r="AC1" s="16"/>
      <c r="AD1" s="16"/>
      <c r="AE1" s="16"/>
      <c r="AF1" s="16"/>
      <c r="AG1" s="16"/>
      <c r="AH1" s="16"/>
      <c r="AI1" s="16"/>
      <c r="AJ1" s="16"/>
      <c r="AK1" s="16"/>
      <c r="AL1" s="16"/>
      <c r="AM1" s="16"/>
      <c r="AN1" s="16"/>
      <c r="AO1" s="16"/>
    </row>
    <row r="2" ht="12.75" customHeight="1">
      <c r="A2" s="19">
        <v>1.0</v>
      </c>
      <c r="B2" s="19" t="s">
        <v>24</v>
      </c>
      <c r="C2" s="19" t="s">
        <v>26</v>
      </c>
      <c r="D2" s="19" t="s">
        <v>577</v>
      </c>
      <c r="E2" s="16" t="s">
        <v>25</v>
      </c>
      <c r="F2" s="19">
        <v>2015.0</v>
      </c>
      <c r="G2" s="16" t="s">
        <v>578</v>
      </c>
      <c r="H2" s="20">
        <v>2002.0</v>
      </c>
      <c r="I2" s="20" t="s">
        <v>25</v>
      </c>
      <c r="J2" s="19">
        <v>1.83E7</v>
      </c>
      <c r="K2" s="19">
        <v>100.0</v>
      </c>
      <c r="L2" s="19">
        <v>2025.0</v>
      </c>
      <c r="M2" s="19">
        <v>50.0</v>
      </c>
      <c r="N2" s="20" t="s">
        <v>25</v>
      </c>
      <c r="O2" s="19">
        <v>9150000.0</v>
      </c>
      <c r="P2" s="19">
        <v>5830000.0</v>
      </c>
      <c r="Q2" s="20" t="s">
        <v>25</v>
      </c>
      <c r="R2" s="16">
        <v>136.28415300546447</v>
      </c>
      <c r="S2" s="16" t="s">
        <v>579</v>
      </c>
      <c r="T2" s="16" t="s">
        <v>580</v>
      </c>
      <c r="U2" s="16" t="s">
        <v>581</v>
      </c>
      <c r="V2" s="16"/>
      <c r="W2" s="16"/>
      <c r="X2" s="16"/>
      <c r="Y2" s="16"/>
      <c r="Z2" s="16"/>
      <c r="AA2" s="16"/>
      <c r="AB2" s="16"/>
      <c r="AC2" s="16"/>
      <c r="AD2" s="16"/>
      <c r="AE2" s="16"/>
      <c r="AF2" s="16"/>
      <c r="AG2" s="16"/>
      <c r="AH2" s="16"/>
      <c r="AI2" s="16"/>
      <c r="AJ2" s="16"/>
      <c r="AK2" s="16"/>
      <c r="AL2" s="16"/>
      <c r="AM2" s="16"/>
      <c r="AN2" s="16"/>
      <c r="AO2" s="16"/>
    </row>
    <row r="3" ht="12.75" customHeight="1">
      <c r="A3" s="19">
        <v>3.0</v>
      </c>
      <c r="B3" s="19" t="s">
        <v>24</v>
      </c>
      <c r="C3" s="19" t="s">
        <v>26</v>
      </c>
      <c r="D3" s="19" t="s">
        <v>582</v>
      </c>
      <c r="E3" s="16" t="s">
        <v>25</v>
      </c>
      <c r="F3" s="19">
        <v>2016.0</v>
      </c>
      <c r="G3" s="16" t="s">
        <v>578</v>
      </c>
      <c r="H3" s="20">
        <v>2015.0</v>
      </c>
      <c r="I3" s="20" t="s">
        <v>25</v>
      </c>
      <c r="J3" s="19">
        <v>665467.0</v>
      </c>
      <c r="K3" s="19">
        <v>100.0</v>
      </c>
      <c r="L3" s="19">
        <v>2025.0</v>
      </c>
      <c r="M3" s="19">
        <v>25.0</v>
      </c>
      <c r="N3" s="20" t="s">
        <v>25</v>
      </c>
      <c r="O3" s="19">
        <v>499100.25</v>
      </c>
      <c r="P3" s="19">
        <v>558105.0</v>
      </c>
      <c r="Q3" s="20" t="s">
        <v>25</v>
      </c>
      <c r="R3" s="16">
        <v>64.53332772323796</v>
      </c>
      <c r="S3" s="16" t="s">
        <v>579</v>
      </c>
      <c r="T3" s="16" t="s">
        <v>580</v>
      </c>
      <c r="U3" s="16" t="s">
        <v>583</v>
      </c>
      <c r="V3" s="16"/>
      <c r="W3" s="16"/>
      <c r="X3" s="16"/>
      <c r="Y3" s="16"/>
      <c r="Z3" s="16"/>
      <c r="AA3" s="16"/>
      <c r="AB3" s="16"/>
      <c r="AC3" s="16"/>
      <c r="AD3" s="16"/>
      <c r="AE3" s="16"/>
      <c r="AF3" s="16"/>
      <c r="AG3" s="16"/>
      <c r="AH3" s="16"/>
      <c r="AI3" s="16"/>
      <c r="AJ3" s="16"/>
      <c r="AK3" s="16"/>
      <c r="AL3" s="16"/>
      <c r="AM3" s="16"/>
      <c r="AN3" s="16"/>
      <c r="AO3" s="16"/>
    </row>
    <row r="4" ht="12.75" customHeight="1">
      <c r="A4" s="19">
        <v>3.0</v>
      </c>
      <c r="B4" s="19" t="s">
        <v>24</v>
      </c>
      <c r="C4" s="19" t="s">
        <v>26</v>
      </c>
      <c r="D4" s="19" t="s">
        <v>582</v>
      </c>
      <c r="E4" s="16" t="s">
        <v>25</v>
      </c>
      <c r="F4" s="19">
        <v>2016.0</v>
      </c>
      <c r="G4" s="16" t="s">
        <v>578</v>
      </c>
      <c r="H4" s="20">
        <v>2015.0</v>
      </c>
      <c r="I4" s="20" t="s">
        <v>25</v>
      </c>
      <c r="J4" s="19">
        <v>665467.0</v>
      </c>
      <c r="K4" s="19">
        <v>100.0</v>
      </c>
      <c r="L4" s="19">
        <v>2035.0</v>
      </c>
      <c r="M4" s="19">
        <v>50.0</v>
      </c>
      <c r="N4" s="20" t="s">
        <v>25</v>
      </c>
      <c r="O4" s="19">
        <v>332733.5</v>
      </c>
      <c r="P4" s="19">
        <v>558105.0</v>
      </c>
      <c r="Q4" s="20" t="s">
        <v>25</v>
      </c>
      <c r="R4" s="16">
        <v>32.26666386161898</v>
      </c>
      <c r="S4" s="16" t="s">
        <v>579</v>
      </c>
      <c r="T4" s="16" t="s">
        <v>580</v>
      </c>
      <c r="U4" s="16" t="s">
        <v>584</v>
      </c>
      <c r="V4" s="16"/>
      <c r="W4" s="16"/>
      <c r="X4" s="16"/>
      <c r="Y4" s="16"/>
      <c r="Z4" s="16"/>
      <c r="AA4" s="16"/>
      <c r="AB4" s="16"/>
      <c r="AC4" s="16"/>
      <c r="AD4" s="16"/>
      <c r="AE4" s="16"/>
      <c r="AF4" s="16"/>
      <c r="AG4" s="16"/>
      <c r="AH4" s="16"/>
      <c r="AI4" s="16"/>
      <c r="AJ4" s="16"/>
      <c r="AK4" s="16"/>
      <c r="AL4" s="16"/>
      <c r="AM4" s="16"/>
      <c r="AN4" s="16"/>
      <c r="AO4" s="16"/>
    </row>
    <row r="5" ht="12.75" customHeight="1">
      <c r="A5" s="19">
        <v>4.0</v>
      </c>
      <c r="B5" s="19" t="s">
        <v>24</v>
      </c>
      <c r="C5" s="19" t="s">
        <v>26</v>
      </c>
      <c r="D5" s="19" t="s">
        <v>585</v>
      </c>
      <c r="E5" s="16" t="s">
        <v>25</v>
      </c>
      <c r="F5" s="19">
        <v>2016.0</v>
      </c>
      <c r="G5" s="16" t="s">
        <v>578</v>
      </c>
      <c r="H5" s="20">
        <v>2016.0</v>
      </c>
      <c r="I5" s="20" t="s">
        <v>25</v>
      </c>
      <c r="J5" s="19">
        <v>1257636.0</v>
      </c>
      <c r="K5" s="19">
        <v>100.0</v>
      </c>
      <c r="L5" s="19">
        <v>2025.0</v>
      </c>
      <c r="M5" s="19">
        <v>11.0</v>
      </c>
      <c r="N5" s="20" t="s">
        <v>25</v>
      </c>
      <c r="O5" s="19">
        <v>1119296.04</v>
      </c>
      <c r="P5" s="19">
        <v>1166256.0</v>
      </c>
      <c r="Q5" s="20" t="s">
        <v>25</v>
      </c>
      <c r="R5" s="16">
        <v>66.05466706799686</v>
      </c>
      <c r="S5" s="16" t="s">
        <v>579</v>
      </c>
      <c r="T5" s="16" t="s">
        <v>586</v>
      </c>
      <c r="U5" s="16" t="s">
        <v>587</v>
      </c>
      <c r="V5" s="16"/>
      <c r="W5" s="16"/>
      <c r="X5" s="16"/>
      <c r="Y5" s="16"/>
      <c r="Z5" s="16"/>
      <c r="AA5" s="16"/>
      <c r="AB5" s="16"/>
      <c r="AC5" s="16"/>
      <c r="AD5" s="16"/>
      <c r="AE5" s="16"/>
      <c r="AF5" s="16"/>
      <c r="AG5" s="16"/>
      <c r="AH5" s="16"/>
      <c r="AI5" s="16"/>
      <c r="AJ5" s="16"/>
      <c r="AK5" s="16"/>
      <c r="AL5" s="16"/>
      <c r="AM5" s="16"/>
      <c r="AN5" s="16"/>
      <c r="AO5" s="16"/>
    </row>
    <row r="6" ht="12.75" customHeight="1">
      <c r="A6" s="19">
        <v>5.0</v>
      </c>
      <c r="B6" s="19" t="s">
        <v>24</v>
      </c>
      <c r="C6" s="19" t="s">
        <v>26</v>
      </c>
      <c r="D6" s="19" t="s">
        <v>582</v>
      </c>
      <c r="E6" s="16" t="s">
        <v>25</v>
      </c>
      <c r="F6" s="19">
        <v>2016.0</v>
      </c>
      <c r="G6" s="16" t="s">
        <v>578</v>
      </c>
      <c r="H6" s="20">
        <v>2015.0</v>
      </c>
      <c r="I6" s="20" t="s">
        <v>25</v>
      </c>
      <c r="J6" s="19">
        <v>64736.0</v>
      </c>
      <c r="K6" s="19">
        <v>100.0</v>
      </c>
      <c r="L6" s="19">
        <v>2025.0</v>
      </c>
      <c r="M6" s="19">
        <v>25.0</v>
      </c>
      <c r="N6" s="20" t="s">
        <v>25</v>
      </c>
      <c r="O6" s="19">
        <v>48552.0</v>
      </c>
      <c r="P6" s="19">
        <v>55710.0</v>
      </c>
      <c r="Q6" s="20" t="s">
        <v>25</v>
      </c>
      <c r="R6" s="16">
        <v>55.77113198220465</v>
      </c>
      <c r="S6" s="16" t="s">
        <v>579</v>
      </c>
      <c r="T6" s="16" t="s">
        <v>586</v>
      </c>
      <c r="U6" s="16" t="s">
        <v>588</v>
      </c>
      <c r="V6" s="16"/>
      <c r="W6" s="16"/>
      <c r="X6" s="16"/>
      <c r="Y6" s="16"/>
      <c r="Z6" s="16"/>
      <c r="AA6" s="16"/>
      <c r="AB6" s="16"/>
      <c r="AC6" s="16"/>
      <c r="AD6" s="16"/>
      <c r="AE6" s="16"/>
      <c r="AF6" s="16"/>
      <c r="AG6" s="16"/>
      <c r="AH6" s="16"/>
      <c r="AI6" s="16"/>
      <c r="AJ6" s="16"/>
      <c r="AK6" s="16"/>
      <c r="AL6" s="16"/>
      <c r="AM6" s="16"/>
      <c r="AN6" s="16"/>
      <c r="AO6" s="16"/>
    </row>
    <row r="7" ht="12.75" customHeight="1">
      <c r="A7" s="19">
        <v>5.0</v>
      </c>
      <c r="B7" s="19" t="s">
        <v>24</v>
      </c>
      <c r="C7" s="19" t="s">
        <v>26</v>
      </c>
      <c r="D7" s="19" t="s">
        <v>582</v>
      </c>
      <c r="E7" s="16" t="s">
        <v>25</v>
      </c>
      <c r="F7" s="19">
        <v>2016.0</v>
      </c>
      <c r="G7" s="16" t="s">
        <v>578</v>
      </c>
      <c r="H7" s="20">
        <v>2015.0</v>
      </c>
      <c r="I7" s="20" t="s">
        <v>25</v>
      </c>
      <c r="J7" s="19">
        <v>64736.0</v>
      </c>
      <c r="K7" s="19">
        <v>100.0</v>
      </c>
      <c r="L7" s="19">
        <v>2035.0</v>
      </c>
      <c r="M7" s="19">
        <v>80.0</v>
      </c>
      <c r="N7" s="20" t="s">
        <v>25</v>
      </c>
      <c r="O7" s="19">
        <v>12947.2</v>
      </c>
      <c r="P7" s="19">
        <v>55710.0</v>
      </c>
      <c r="Q7" s="20" t="s">
        <v>25</v>
      </c>
      <c r="R7" s="16">
        <v>17.42847874443895</v>
      </c>
      <c r="S7" s="16" t="s">
        <v>579</v>
      </c>
      <c r="T7" s="16" t="s">
        <v>586</v>
      </c>
      <c r="U7" s="16" t="s">
        <v>589</v>
      </c>
      <c r="V7" s="16"/>
      <c r="W7" s="16"/>
      <c r="X7" s="16"/>
      <c r="Y7" s="16"/>
      <c r="Z7" s="16"/>
      <c r="AA7" s="16"/>
      <c r="AB7" s="16"/>
      <c r="AC7" s="16"/>
      <c r="AD7" s="16"/>
      <c r="AE7" s="16"/>
      <c r="AF7" s="16"/>
      <c r="AG7" s="16"/>
      <c r="AH7" s="16"/>
      <c r="AI7" s="16"/>
      <c r="AJ7" s="16"/>
      <c r="AK7" s="16"/>
      <c r="AL7" s="16"/>
      <c r="AM7" s="16"/>
      <c r="AN7" s="16"/>
      <c r="AO7" s="16"/>
    </row>
    <row r="8" ht="12.75" customHeight="1">
      <c r="A8" s="19">
        <v>5.0</v>
      </c>
      <c r="B8" s="19" t="s">
        <v>24</v>
      </c>
      <c r="C8" s="19" t="s">
        <v>590</v>
      </c>
      <c r="D8" s="19" t="s">
        <v>591</v>
      </c>
      <c r="E8" s="16" t="s">
        <v>25</v>
      </c>
      <c r="F8" s="19">
        <v>2014.0</v>
      </c>
      <c r="G8" s="16" t="s">
        <v>578</v>
      </c>
      <c r="H8" s="20">
        <v>2013.0</v>
      </c>
      <c r="I8" s="20" t="s">
        <v>25</v>
      </c>
      <c r="J8" s="19">
        <v>10444.0</v>
      </c>
      <c r="K8" s="19">
        <v>100.0</v>
      </c>
      <c r="L8" s="19">
        <v>2020.0</v>
      </c>
      <c r="M8" s="19">
        <v>100.0</v>
      </c>
      <c r="N8" s="20" t="s">
        <v>25</v>
      </c>
      <c r="O8" s="19">
        <v>0.0</v>
      </c>
      <c r="P8" s="19">
        <v>0.0</v>
      </c>
      <c r="Q8" s="20" t="s">
        <v>25</v>
      </c>
      <c r="R8" s="16">
        <v>100.0</v>
      </c>
      <c r="S8" s="16" t="s">
        <v>592</v>
      </c>
      <c r="T8" s="16" t="s">
        <v>593</v>
      </c>
      <c r="U8" s="16" t="s">
        <v>594</v>
      </c>
      <c r="V8" s="16"/>
      <c r="W8" s="16"/>
      <c r="X8" s="16"/>
      <c r="Y8" s="16"/>
      <c r="Z8" s="16"/>
      <c r="AA8" s="16"/>
      <c r="AB8" s="16"/>
      <c r="AC8" s="16"/>
      <c r="AD8" s="16"/>
      <c r="AE8" s="16"/>
      <c r="AF8" s="16"/>
      <c r="AG8" s="16"/>
      <c r="AH8" s="16"/>
      <c r="AI8" s="16"/>
      <c r="AJ8" s="16"/>
      <c r="AK8" s="16"/>
      <c r="AL8" s="16"/>
      <c r="AM8" s="16"/>
      <c r="AN8" s="16"/>
      <c r="AO8" s="16"/>
    </row>
    <row r="9" ht="12.75" customHeight="1">
      <c r="A9" s="19">
        <v>7.0</v>
      </c>
      <c r="B9" s="19" t="s">
        <v>24</v>
      </c>
      <c r="C9" s="19" t="s">
        <v>26</v>
      </c>
      <c r="D9" s="19" t="s">
        <v>585</v>
      </c>
      <c r="E9" s="16" t="s">
        <v>25</v>
      </c>
      <c r="F9" s="19">
        <v>2019.0</v>
      </c>
      <c r="G9" s="16" t="s">
        <v>578</v>
      </c>
      <c r="H9" s="20">
        <v>2019.0</v>
      </c>
      <c r="I9" s="20" t="s">
        <v>25</v>
      </c>
      <c r="J9" s="19">
        <v>1402953.0</v>
      </c>
      <c r="K9" s="19">
        <v>100.0</v>
      </c>
      <c r="L9" s="19">
        <v>2019.0</v>
      </c>
      <c r="M9" s="19">
        <v>100.0</v>
      </c>
      <c r="N9" s="20" t="s">
        <v>25</v>
      </c>
      <c r="O9" s="19">
        <v>0.0</v>
      </c>
      <c r="P9" s="19">
        <v>0.0</v>
      </c>
      <c r="Q9" s="20" t="s">
        <v>25</v>
      </c>
      <c r="R9" s="16">
        <v>100.0</v>
      </c>
      <c r="S9" s="16" t="s">
        <v>592</v>
      </c>
      <c r="T9" s="16" t="s">
        <v>595</v>
      </c>
      <c r="U9" s="16" t="s">
        <v>596</v>
      </c>
      <c r="V9" s="16"/>
      <c r="W9" s="16"/>
      <c r="X9" s="16"/>
      <c r="Y9" s="16"/>
      <c r="Z9" s="16"/>
      <c r="AA9" s="16"/>
      <c r="AB9" s="16"/>
      <c r="AC9" s="16"/>
      <c r="AD9" s="16"/>
      <c r="AE9" s="16"/>
      <c r="AF9" s="16"/>
      <c r="AG9" s="16"/>
      <c r="AH9" s="16"/>
      <c r="AI9" s="16"/>
      <c r="AJ9" s="16"/>
      <c r="AK9" s="16"/>
      <c r="AL9" s="16"/>
      <c r="AM9" s="16"/>
      <c r="AN9" s="16"/>
      <c r="AO9" s="16"/>
    </row>
    <row r="10" ht="12.75" customHeight="1">
      <c r="A10" s="19">
        <v>7.0</v>
      </c>
      <c r="B10" s="19" t="s">
        <v>24</v>
      </c>
      <c r="C10" s="19" t="s">
        <v>26</v>
      </c>
      <c r="D10" s="19" t="s">
        <v>582</v>
      </c>
      <c r="E10" s="16" t="s">
        <v>25</v>
      </c>
      <c r="F10" s="19">
        <v>2015.0</v>
      </c>
      <c r="G10" s="16" t="s">
        <v>578</v>
      </c>
      <c r="H10" s="20">
        <v>2015.0</v>
      </c>
      <c r="I10" s="20" t="s">
        <v>25</v>
      </c>
      <c r="J10" s="19">
        <v>1451418.0</v>
      </c>
      <c r="K10" s="19">
        <v>100.0</v>
      </c>
      <c r="L10" s="19">
        <v>2025.0</v>
      </c>
      <c r="M10" s="19">
        <v>100.0</v>
      </c>
      <c r="N10" s="20" t="s">
        <v>25</v>
      </c>
      <c r="O10" s="19">
        <v>0.0</v>
      </c>
      <c r="P10" s="19">
        <v>0.0</v>
      </c>
      <c r="Q10" s="20" t="s">
        <v>25</v>
      </c>
      <c r="R10" s="16">
        <v>100.0</v>
      </c>
      <c r="S10" s="16" t="s">
        <v>592</v>
      </c>
      <c r="T10" s="16" t="s">
        <v>595</v>
      </c>
      <c r="U10" s="16" t="s">
        <v>597</v>
      </c>
      <c r="V10" s="16"/>
      <c r="W10" s="16"/>
      <c r="X10" s="16"/>
      <c r="Y10" s="16"/>
      <c r="Z10" s="16"/>
      <c r="AA10" s="16"/>
      <c r="AB10" s="16"/>
      <c r="AC10" s="16"/>
      <c r="AD10" s="16"/>
      <c r="AE10" s="16"/>
      <c r="AF10" s="16"/>
      <c r="AG10" s="16"/>
      <c r="AH10" s="16"/>
      <c r="AI10" s="16"/>
      <c r="AJ10" s="16"/>
      <c r="AK10" s="16"/>
      <c r="AL10" s="16"/>
      <c r="AM10" s="16"/>
      <c r="AN10" s="16"/>
      <c r="AO10" s="16"/>
    </row>
    <row r="11" ht="12.75" customHeight="1">
      <c r="A11" s="19">
        <v>7.0</v>
      </c>
      <c r="B11" s="19" t="s">
        <v>24</v>
      </c>
      <c r="C11" s="19" t="s">
        <v>26</v>
      </c>
      <c r="D11" s="19" t="s">
        <v>582</v>
      </c>
      <c r="E11" s="16" t="s">
        <v>25</v>
      </c>
      <c r="F11" s="19">
        <v>2015.0</v>
      </c>
      <c r="G11" s="16" t="s">
        <v>578</v>
      </c>
      <c r="H11" s="20">
        <v>2015.0</v>
      </c>
      <c r="I11" s="20" t="s">
        <v>25</v>
      </c>
      <c r="J11" s="19">
        <v>1451418.0</v>
      </c>
      <c r="K11" s="19">
        <v>100.0</v>
      </c>
      <c r="L11" s="19">
        <v>2040.0</v>
      </c>
      <c r="M11" s="19">
        <v>100.0</v>
      </c>
      <c r="N11" s="20" t="s">
        <v>25</v>
      </c>
      <c r="O11" s="19">
        <v>0.0</v>
      </c>
      <c r="P11" s="19">
        <v>0.0</v>
      </c>
      <c r="Q11" s="20" t="s">
        <v>25</v>
      </c>
      <c r="R11" s="16">
        <v>100.0</v>
      </c>
      <c r="S11" s="16" t="s">
        <v>592</v>
      </c>
      <c r="T11" s="16" t="s">
        <v>595</v>
      </c>
      <c r="U11" s="16" t="s">
        <v>598</v>
      </c>
      <c r="V11" s="16"/>
      <c r="W11" s="16"/>
      <c r="X11" s="16"/>
      <c r="Y11" s="16"/>
      <c r="Z11" s="16"/>
      <c r="AA11" s="16"/>
      <c r="AB11" s="16"/>
      <c r="AC11" s="16"/>
      <c r="AD11" s="16"/>
      <c r="AE11" s="16"/>
      <c r="AF11" s="16"/>
      <c r="AG11" s="16"/>
      <c r="AH11" s="16"/>
      <c r="AI11" s="16"/>
      <c r="AJ11" s="16"/>
      <c r="AK11" s="16"/>
      <c r="AL11" s="16"/>
      <c r="AM11" s="16"/>
      <c r="AN11" s="16"/>
      <c r="AO11" s="16"/>
    </row>
    <row r="12" ht="12.75" customHeight="1">
      <c r="A12" s="19">
        <v>8.0</v>
      </c>
      <c r="B12" s="19" t="s">
        <v>24</v>
      </c>
      <c r="C12" s="19" t="s">
        <v>26</v>
      </c>
      <c r="D12" s="19" t="s">
        <v>577</v>
      </c>
      <c r="E12" s="16" t="s">
        <v>25</v>
      </c>
      <c r="F12" s="19">
        <v>2016.0</v>
      </c>
      <c r="G12" s="16" t="s">
        <v>578</v>
      </c>
      <c r="H12" s="20">
        <v>2015.0</v>
      </c>
      <c r="I12" s="20" t="s">
        <v>25</v>
      </c>
      <c r="J12" s="19">
        <v>392172.0</v>
      </c>
      <c r="K12" s="19">
        <v>100.0</v>
      </c>
      <c r="L12" s="19">
        <v>2025.0</v>
      </c>
      <c r="M12" s="19">
        <v>20.0</v>
      </c>
      <c r="N12" s="20" t="s">
        <v>25</v>
      </c>
      <c r="O12" s="19">
        <v>313737.6</v>
      </c>
      <c r="P12" s="19">
        <v>305766.0</v>
      </c>
      <c r="Q12" s="20" t="s">
        <v>25</v>
      </c>
      <c r="R12" s="16">
        <v>110.16339769284902</v>
      </c>
      <c r="S12" s="16" t="s">
        <v>592</v>
      </c>
      <c r="T12" s="16" t="s">
        <v>593</v>
      </c>
      <c r="U12" s="16" t="s">
        <v>599</v>
      </c>
      <c r="V12" s="16"/>
      <c r="W12" s="16"/>
      <c r="X12" s="16"/>
      <c r="Y12" s="16"/>
      <c r="Z12" s="16"/>
      <c r="AA12" s="16"/>
      <c r="AB12" s="16"/>
      <c r="AC12" s="16"/>
      <c r="AD12" s="16"/>
      <c r="AE12" s="16"/>
      <c r="AF12" s="16"/>
      <c r="AG12" s="16"/>
      <c r="AH12" s="16"/>
      <c r="AI12" s="16"/>
      <c r="AJ12" s="16"/>
      <c r="AK12" s="16"/>
      <c r="AL12" s="16"/>
      <c r="AM12" s="16"/>
      <c r="AN12" s="16"/>
      <c r="AO12" s="16"/>
    </row>
    <row r="13" ht="12.75" customHeight="1">
      <c r="A13" s="19">
        <v>8.0</v>
      </c>
      <c r="B13" s="19" t="s">
        <v>24</v>
      </c>
      <c r="C13" s="19" t="s">
        <v>590</v>
      </c>
      <c r="D13" s="19" t="s">
        <v>600</v>
      </c>
      <c r="E13" s="16" t="s">
        <v>25</v>
      </c>
      <c r="F13" s="19">
        <v>2018.0</v>
      </c>
      <c r="G13" s="16" t="s">
        <v>578</v>
      </c>
      <c r="H13" s="20">
        <v>2017.0</v>
      </c>
      <c r="I13" s="20" t="s">
        <v>25</v>
      </c>
      <c r="J13" s="19">
        <v>5264365.0</v>
      </c>
      <c r="K13" s="19">
        <v>100.0</v>
      </c>
      <c r="L13" s="19">
        <v>2030.0</v>
      </c>
      <c r="M13" s="19">
        <v>15.0</v>
      </c>
      <c r="N13" s="20" t="s">
        <v>25</v>
      </c>
      <c r="O13" s="19">
        <v>4474710.25</v>
      </c>
      <c r="P13" s="19">
        <v>5227733.0</v>
      </c>
      <c r="Q13" s="20" t="s">
        <v>25</v>
      </c>
      <c r="R13" s="16">
        <v>4.6389893811187735</v>
      </c>
      <c r="S13" s="16" t="s">
        <v>601</v>
      </c>
      <c r="T13" s="16" t="s">
        <v>593</v>
      </c>
      <c r="U13" s="16" t="s">
        <v>602</v>
      </c>
      <c r="V13" s="16"/>
      <c r="W13" s="16"/>
      <c r="X13" s="16"/>
      <c r="Y13" s="16"/>
      <c r="Z13" s="16"/>
      <c r="AA13" s="16"/>
      <c r="AB13" s="16"/>
      <c r="AC13" s="16"/>
      <c r="AD13" s="16"/>
      <c r="AE13" s="16"/>
      <c r="AF13" s="16"/>
      <c r="AG13" s="16"/>
      <c r="AH13" s="16"/>
      <c r="AI13" s="16"/>
      <c r="AJ13" s="16"/>
      <c r="AK13" s="16"/>
      <c r="AL13" s="16"/>
      <c r="AM13" s="16"/>
      <c r="AN13" s="16"/>
      <c r="AO13" s="16"/>
    </row>
    <row r="14" ht="12.75" customHeight="1">
      <c r="A14" s="19">
        <v>8.0</v>
      </c>
      <c r="B14" s="19" t="s">
        <v>24</v>
      </c>
      <c r="C14" s="19" t="s">
        <v>26</v>
      </c>
      <c r="D14" s="19" t="s">
        <v>582</v>
      </c>
      <c r="E14" s="16" t="s">
        <v>25</v>
      </c>
      <c r="F14" s="19">
        <v>2019.0</v>
      </c>
      <c r="G14" s="16" t="s">
        <v>578</v>
      </c>
      <c r="H14" s="20">
        <v>2017.0</v>
      </c>
      <c r="I14" s="20" t="s">
        <v>25</v>
      </c>
      <c r="J14" s="19">
        <v>337007.0</v>
      </c>
      <c r="K14" s="19">
        <v>100.0</v>
      </c>
      <c r="L14" s="19">
        <v>2030.0</v>
      </c>
      <c r="M14" s="19">
        <v>55.0</v>
      </c>
      <c r="N14" s="20" t="s">
        <v>25</v>
      </c>
      <c r="O14" s="19">
        <v>151653.15</v>
      </c>
      <c r="P14" s="19">
        <v>302416.0</v>
      </c>
      <c r="Q14" s="20" t="s">
        <v>25</v>
      </c>
      <c r="R14" s="16">
        <v>18.662142707043852</v>
      </c>
      <c r="S14" s="16" t="s">
        <v>603</v>
      </c>
      <c r="T14" s="16" t="s">
        <v>586</v>
      </c>
      <c r="U14" s="16" t="s">
        <v>604</v>
      </c>
      <c r="V14" s="16"/>
      <c r="W14" s="16"/>
      <c r="X14" s="16"/>
      <c r="Y14" s="16"/>
      <c r="Z14" s="16"/>
      <c r="AA14" s="16"/>
      <c r="AB14" s="16"/>
      <c r="AC14" s="16"/>
      <c r="AD14" s="16"/>
      <c r="AE14" s="16"/>
      <c r="AF14" s="16"/>
      <c r="AG14" s="16"/>
      <c r="AH14" s="16"/>
      <c r="AI14" s="16"/>
      <c r="AJ14" s="16"/>
      <c r="AK14" s="16"/>
      <c r="AL14" s="16"/>
      <c r="AM14" s="16"/>
      <c r="AN14" s="16"/>
      <c r="AO14" s="16"/>
    </row>
    <row r="15" ht="12.75" customHeight="1">
      <c r="A15" s="19">
        <v>8.0</v>
      </c>
      <c r="B15" s="19" t="s">
        <v>24</v>
      </c>
      <c r="C15" s="19" t="s">
        <v>590</v>
      </c>
      <c r="D15" s="19" t="s">
        <v>600</v>
      </c>
      <c r="E15" s="16" t="s">
        <v>25</v>
      </c>
      <c r="F15" s="19">
        <v>2019.0</v>
      </c>
      <c r="G15" s="16" t="s">
        <v>578</v>
      </c>
      <c r="H15" s="20">
        <v>2017.0</v>
      </c>
      <c r="I15" s="20" t="s">
        <v>25</v>
      </c>
      <c r="J15" s="19">
        <v>5264365.0</v>
      </c>
      <c r="K15" s="19">
        <v>100.0</v>
      </c>
      <c r="L15" s="19">
        <v>2030.0</v>
      </c>
      <c r="M15" s="19">
        <v>18.0</v>
      </c>
      <c r="N15" s="20" t="s">
        <v>25</v>
      </c>
      <c r="O15" s="19">
        <v>4316779.3</v>
      </c>
      <c r="P15" s="19">
        <v>5227733.0</v>
      </c>
      <c r="Q15" s="20" t="s">
        <v>25</v>
      </c>
      <c r="R15" s="16">
        <v>3.865824484265644</v>
      </c>
      <c r="S15" s="16" t="s">
        <v>603</v>
      </c>
      <c r="T15" s="16" t="s">
        <v>586</v>
      </c>
      <c r="U15" s="16" t="s">
        <v>605</v>
      </c>
      <c r="V15" s="16"/>
      <c r="W15" s="16"/>
      <c r="X15" s="16"/>
      <c r="Y15" s="16"/>
      <c r="Z15" s="16"/>
      <c r="AA15" s="16"/>
      <c r="AB15" s="16"/>
      <c r="AC15" s="16"/>
      <c r="AD15" s="16"/>
      <c r="AE15" s="16"/>
      <c r="AF15" s="16"/>
      <c r="AG15" s="16"/>
      <c r="AH15" s="16"/>
      <c r="AI15" s="16"/>
      <c r="AJ15" s="16"/>
      <c r="AK15" s="16"/>
      <c r="AL15" s="16"/>
      <c r="AM15" s="16"/>
      <c r="AN15" s="16"/>
      <c r="AO15" s="16"/>
    </row>
    <row r="16" ht="12.75" customHeight="1">
      <c r="A16" s="19">
        <v>10.0</v>
      </c>
      <c r="B16" s="19" t="s">
        <v>24</v>
      </c>
      <c r="C16" s="19" t="s">
        <v>606</v>
      </c>
      <c r="D16" s="19" t="s">
        <v>607</v>
      </c>
      <c r="E16" s="16" t="s">
        <v>25</v>
      </c>
      <c r="F16" s="19">
        <v>2018.0</v>
      </c>
      <c r="G16" s="16" t="s">
        <v>578</v>
      </c>
      <c r="H16" s="20">
        <v>2011.0</v>
      </c>
      <c r="I16" s="20" t="s">
        <v>25</v>
      </c>
      <c r="J16" s="19">
        <v>188349.0</v>
      </c>
      <c r="K16" s="19">
        <v>100.0</v>
      </c>
      <c r="L16" s="19">
        <v>2025.0</v>
      </c>
      <c r="M16" s="19">
        <v>100.0</v>
      </c>
      <c r="N16" s="20" t="s">
        <v>25</v>
      </c>
      <c r="O16" s="19">
        <v>0.0</v>
      </c>
      <c r="P16" s="19">
        <v>0.0</v>
      </c>
      <c r="Q16" s="20" t="s">
        <v>25</v>
      </c>
      <c r="R16" s="16">
        <v>100.0</v>
      </c>
      <c r="S16" s="16" t="s">
        <v>579</v>
      </c>
      <c r="T16" s="16" t="s">
        <v>608</v>
      </c>
      <c r="U16" s="16" t="s">
        <v>609</v>
      </c>
      <c r="V16" s="16"/>
      <c r="W16" s="16"/>
      <c r="X16" s="16"/>
      <c r="Y16" s="16"/>
      <c r="Z16" s="16"/>
      <c r="AA16" s="16"/>
      <c r="AB16" s="16"/>
      <c r="AC16" s="16"/>
      <c r="AD16" s="16"/>
      <c r="AE16" s="16"/>
      <c r="AF16" s="16"/>
      <c r="AG16" s="16"/>
      <c r="AH16" s="16"/>
      <c r="AI16" s="16"/>
      <c r="AJ16" s="16"/>
      <c r="AK16" s="16"/>
      <c r="AL16" s="16"/>
      <c r="AM16" s="16"/>
      <c r="AN16" s="16"/>
      <c r="AO16" s="16"/>
    </row>
    <row r="17" ht="12.75" customHeight="1">
      <c r="A17" s="19">
        <v>10.0</v>
      </c>
      <c r="B17" s="19" t="s">
        <v>24</v>
      </c>
      <c r="C17" s="19" t="s">
        <v>606</v>
      </c>
      <c r="D17" s="19" t="s">
        <v>607</v>
      </c>
      <c r="E17" s="16" t="s">
        <v>25</v>
      </c>
      <c r="F17" s="19">
        <v>2018.0</v>
      </c>
      <c r="G17" s="16" t="s">
        <v>578</v>
      </c>
      <c r="H17" s="20">
        <v>2011.0</v>
      </c>
      <c r="I17" s="20" t="s">
        <v>25</v>
      </c>
      <c r="J17" s="19">
        <v>188349.0</v>
      </c>
      <c r="K17" s="19">
        <v>100.0</v>
      </c>
      <c r="L17" s="19">
        <v>2040.0</v>
      </c>
      <c r="M17" s="19">
        <v>100.0</v>
      </c>
      <c r="N17" s="20" t="s">
        <v>25</v>
      </c>
      <c r="O17" s="19">
        <v>0.0</v>
      </c>
      <c r="P17" s="19">
        <v>0.0</v>
      </c>
      <c r="Q17" s="20" t="s">
        <v>25</v>
      </c>
      <c r="R17" s="16">
        <v>100.0</v>
      </c>
      <c r="S17" s="16" t="s">
        <v>579</v>
      </c>
      <c r="T17" s="16" t="s">
        <v>608</v>
      </c>
      <c r="U17" s="16" t="s">
        <v>610</v>
      </c>
      <c r="V17" s="16"/>
      <c r="W17" s="16"/>
      <c r="X17" s="16"/>
      <c r="Y17" s="16"/>
      <c r="Z17" s="16"/>
      <c r="AA17" s="16"/>
      <c r="AB17" s="16"/>
      <c r="AC17" s="16"/>
      <c r="AD17" s="16"/>
      <c r="AE17" s="16"/>
      <c r="AF17" s="16"/>
      <c r="AG17" s="16"/>
      <c r="AH17" s="16"/>
      <c r="AI17" s="16"/>
      <c r="AJ17" s="16"/>
      <c r="AK17" s="16"/>
      <c r="AL17" s="16"/>
      <c r="AM17" s="16"/>
      <c r="AN17" s="16"/>
      <c r="AO17" s="16"/>
    </row>
    <row r="18" ht="12.75" customHeight="1">
      <c r="A18" s="19">
        <v>11.0</v>
      </c>
      <c r="B18" s="19" t="s">
        <v>24</v>
      </c>
      <c r="C18" s="19" t="s">
        <v>26</v>
      </c>
      <c r="D18" s="19" t="s">
        <v>577</v>
      </c>
      <c r="E18" s="16" t="s">
        <v>25</v>
      </c>
      <c r="F18" s="19">
        <v>2010.0</v>
      </c>
      <c r="G18" s="16" t="s">
        <v>611</v>
      </c>
      <c r="H18" s="20">
        <v>2010.0</v>
      </c>
      <c r="I18" s="20" t="s">
        <v>25</v>
      </c>
      <c r="J18" s="19">
        <v>3964.0</v>
      </c>
      <c r="K18" s="19">
        <v>23.0</v>
      </c>
      <c r="L18" s="19">
        <v>2020.0</v>
      </c>
      <c r="M18" s="19">
        <v>20.0</v>
      </c>
      <c r="N18" s="20" t="s">
        <v>25</v>
      </c>
      <c r="O18" s="19">
        <v>3171.2</v>
      </c>
      <c r="P18" s="19">
        <v>1232.0</v>
      </c>
      <c r="Q18" s="20" t="s">
        <v>25</v>
      </c>
      <c r="R18" s="16">
        <v>344.6014127144298</v>
      </c>
      <c r="S18" s="16" t="s">
        <v>592</v>
      </c>
      <c r="T18" s="16" t="s">
        <v>580</v>
      </c>
      <c r="U18" s="16" t="s">
        <v>612</v>
      </c>
      <c r="V18" s="16"/>
      <c r="W18" s="16"/>
      <c r="X18" s="16"/>
      <c r="Y18" s="16"/>
      <c r="Z18" s="16"/>
      <c r="AA18" s="16"/>
      <c r="AB18" s="16"/>
      <c r="AC18" s="16"/>
      <c r="AD18" s="16"/>
      <c r="AE18" s="16"/>
      <c r="AF18" s="16"/>
      <c r="AG18" s="16"/>
      <c r="AH18" s="16"/>
      <c r="AI18" s="16"/>
      <c r="AJ18" s="16"/>
      <c r="AK18" s="16"/>
      <c r="AL18" s="16"/>
      <c r="AM18" s="16"/>
      <c r="AN18" s="16"/>
      <c r="AO18" s="16"/>
    </row>
    <row r="19" ht="12.75" customHeight="1">
      <c r="A19" s="19">
        <v>12.0</v>
      </c>
      <c r="B19" s="19" t="s">
        <v>24</v>
      </c>
      <c r="C19" s="19" t="s">
        <v>613</v>
      </c>
      <c r="D19" s="19" t="s">
        <v>614</v>
      </c>
      <c r="E19" s="16" t="s">
        <v>25</v>
      </c>
      <c r="F19" s="19">
        <v>2018.0</v>
      </c>
      <c r="G19" s="16"/>
      <c r="H19" s="20">
        <v>2017.0</v>
      </c>
      <c r="I19" s="20" t="s">
        <v>25</v>
      </c>
      <c r="J19" s="19">
        <v>651065.0</v>
      </c>
      <c r="K19" s="19">
        <v>26.0</v>
      </c>
      <c r="L19" s="19">
        <v>2027.0</v>
      </c>
      <c r="M19" s="19">
        <v>60.0</v>
      </c>
      <c r="N19" s="20" t="s">
        <v>25</v>
      </c>
      <c r="O19" s="19">
        <v>260426.0</v>
      </c>
      <c r="P19" s="19">
        <v>556281.0</v>
      </c>
      <c r="Q19" s="20" t="s">
        <v>25</v>
      </c>
      <c r="R19" s="16">
        <v>24.26383438417567</v>
      </c>
      <c r="S19" s="16" t="s">
        <v>579</v>
      </c>
      <c r="T19" s="16" t="s">
        <v>580</v>
      </c>
      <c r="U19" s="16" t="s">
        <v>615</v>
      </c>
      <c r="V19" s="16"/>
      <c r="W19" s="16"/>
      <c r="X19" s="16"/>
      <c r="Y19" s="16"/>
      <c r="Z19" s="16"/>
      <c r="AA19" s="16"/>
      <c r="AB19" s="16"/>
      <c r="AC19" s="16"/>
      <c r="AD19" s="16"/>
      <c r="AE19" s="16"/>
      <c r="AF19" s="16"/>
      <c r="AG19" s="16"/>
      <c r="AH19" s="16"/>
      <c r="AI19" s="16"/>
      <c r="AJ19" s="16"/>
      <c r="AK19" s="16"/>
      <c r="AL19" s="16"/>
      <c r="AM19" s="16"/>
      <c r="AN19" s="16"/>
      <c r="AO19" s="16"/>
    </row>
    <row r="20" ht="12.75" customHeight="1">
      <c r="A20" s="19">
        <v>13.0</v>
      </c>
      <c r="B20" s="19" t="s">
        <v>24</v>
      </c>
      <c r="C20" s="19" t="s">
        <v>26</v>
      </c>
      <c r="D20" s="19" t="s">
        <v>577</v>
      </c>
      <c r="E20" s="16" t="s">
        <v>25</v>
      </c>
      <c r="F20" s="19">
        <v>2013.0</v>
      </c>
      <c r="G20" s="16" t="s">
        <v>578</v>
      </c>
      <c r="H20" s="20">
        <v>2012.0</v>
      </c>
      <c r="I20" s="20" t="s">
        <v>25</v>
      </c>
      <c r="J20" s="19">
        <v>385000.0</v>
      </c>
      <c r="K20" s="19">
        <v>94.0</v>
      </c>
      <c r="L20" s="19">
        <v>2020.0</v>
      </c>
      <c r="M20" s="19">
        <v>10.0</v>
      </c>
      <c r="N20" s="20" t="s">
        <v>25</v>
      </c>
      <c r="O20" s="19">
        <v>346500.0</v>
      </c>
      <c r="P20" s="19">
        <v>265588.0</v>
      </c>
      <c r="Q20" s="20" t="s">
        <v>25</v>
      </c>
      <c r="R20" s="16">
        <v>310.16103896103897</v>
      </c>
      <c r="S20" s="16" t="s">
        <v>592</v>
      </c>
      <c r="T20" s="16" t="s">
        <v>608</v>
      </c>
      <c r="U20" s="16" t="s">
        <v>616</v>
      </c>
      <c r="V20" s="16"/>
      <c r="W20" s="16"/>
      <c r="X20" s="16"/>
      <c r="Y20" s="16"/>
      <c r="Z20" s="16"/>
      <c r="AA20" s="16"/>
      <c r="AB20" s="16"/>
      <c r="AC20" s="16"/>
      <c r="AD20" s="16"/>
      <c r="AE20" s="16"/>
      <c r="AF20" s="16"/>
      <c r="AG20" s="16"/>
      <c r="AH20" s="16"/>
      <c r="AI20" s="16"/>
      <c r="AJ20" s="16"/>
      <c r="AK20" s="16"/>
      <c r="AL20" s="16"/>
      <c r="AM20" s="16"/>
      <c r="AN20" s="16"/>
      <c r="AO20" s="16"/>
    </row>
    <row r="21" ht="12.75" customHeight="1">
      <c r="A21" s="19">
        <v>14.0</v>
      </c>
      <c r="B21" s="19" t="s">
        <v>24</v>
      </c>
      <c r="C21" s="19" t="s">
        <v>26</v>
      </c>
      <c r="D21" s="19" t="s">
        <v>582</v>
      </c>
      <c r="E21" s="16" t="s">
        <v>25</v>
      </c>
      <c r="F21" s="19">
        <v>2012.0</v>
      </c>
      <c r="G21" s="16" t="s">
        <v>578</v>
      </c>
      <c r="H21" s="20">
        <v>2012.0</v>
      </c>
      <c r="I21" s="20" t="s">
        <v>25</v>
      </c>
      <c r="J21" s="19">
        <v>160400.0</v>
      </c>
      <c r="K21" s="19">
        <v>100.0</v>
      </c>
      <c r="L21" s="19">
        <v>2020.0</v>
      </c>
      <c r="M21" s="19">
        <v>7.0</v>
      </c>
      <c r="N21" s="20" t="s">
        <v>25</v>
      </c>
      <c r="O21" s="19">
        <v>149172.0</v>
      </c>
      <c r="P21" s="19">
        <v>50550.0</v>
      </c>
      <c r="Q21" s="20" t="s">
        <v>25</v>
      </c>
      <c r="R21" s="16">
        <v>978.3576772354827</v>
      </c>
      <c r="S21" s="16" t="s">
        <v>579</v>
      </c>
      <c r="T21" s="16" t="s">
        <v>608</v>
      </c>
      <c r="U21" s="16" t="s">
        <v>617</v>
      </c>
      <c r="V21" s="16"/>
      <c r="W21" s="16"/>
      <c r="X21" s="16"/>
      <c r="Y21" s="16"/>
      <c r="Z21" s="16"/>
      <c r="AA21" s="16"/>
      <c r="AB21" s="16"/>
      <c r="AC21" s="16"/>
      <c r="AD21" s="16"/>
      <c r="AE21" s="16"/>
      <c r="AF21" s="16"/>
      <c r="AG21" s="16"/>
      <c r="AH21" s="16"/>
      <c r="AI21" s="16"/>
      <c r="AJ21" s="16"/>
      <c r="AK21" s="16"/>
      <c r="AL21" s="16"/>
      <c r="AM21" s="16"/>
      <c r="AN21" s="16"/>
      <c r="AO21" s="16"/>
    </row>
    <row r="22" ht="12.75" customHeight="1">
      <c r="A22" s="19">
        <v>14.0</v>
      </c>
      <c r="B22" s="19" t="s">
        <v>24</v>
      </c>
      <c r="C22" s="19" t="s">
        <v>26</v>
      </c>
      <c r="D22" s="19" t="s">
        <v>582</v>
      </c>
      <c r="E22" s="16" t="s">
        <v>25</v>
      </c>
      <c r="F22" s="19">
        <v>2012.0</v>
      </c>
      <c r="G22" s="16" t="s">
        <v>578</v>
      </c>
      <c r="H22" s="20">
        <v>2012.0</v>
      </c>
      <c r="I22" s="20" t="s">
        <v>25</v>
      </c>
      <c r="J22" s="19">
        <v>160400.0</v>
      </c>
      <c r="K22" s="19">
        <v>100.0</v>
      </c>
      <c r="L22" s="19">
        <v>2036.0</v>
      </c>
      <c r="M22" s="19">
        <v>52.0</v>
      </c>
      <c r="N22" s="20" t="s">
        <v>25</v>
      </c>
      <c r="O22" s="19">
        <v>76992.0</v>
      </c>
      <c r="P22" s="19">
        <v>50550.0</v>
      </c>
      <c r="Q22" s="20" t="s">
        <v>25</v>
      </c>
      <c r="R22" s="16">
        <v>131.7019950124688</v>
      </c>
      <c r="S22" s="16" t="s">
        <v>579</v>
      </c>
      <c r="T22" s="16" t="s">
        <v>608</v>
      </c>
      <c r="U22" s="16" t="s">
        <v>618</v>
      </c>
      <c r="V22" s="16"/>
      <c r="W22" s="16"/>
      <c r="X22" s="16"/>
      <c r="Y22" s="16"/>
      <c r="Z22" s="16"/>
      <c r="AA22" s="16"/>
      <c r="AB22" s="16"/>
      <c r="AC22" s="16"/>
      <c r="AD22" s="16"/>
      <c r="AE22" s="16"/>
      <c r="AF22" s="16"/>
      <c r="AG22" s="16"/>
      <c r="AH22" s="16"/>
      <c r="AI22" s="16"/>
      <c r="AJ22" s="16"/>
      <c r="AK22" s="16"/>
      <c r="AL22" s="16"/>
      <c r="AM22" s="16"/>
      <c r="AN22" s="16"/>
      <c r="AO22" s="16"/>
    </row>
    <row r="23" ht="12.75" customHeight="1">
      <c r="A23" s="19">
        <v>14.0</v>
      </c>
      <c r="B23" s="19" t="s">
        <v>24</v>
      </c>
      <c r="C23" s="19" t="s">
        <v>619</v>
      </c>
      <c r="D23" s="19" t="s">
        <v>620</v>
      </c>
      <c r="E23" s="16" t="s">
        <v>25</v>
      </c>
      <c r="F23" s="19">
        <v>2011.0</v>
      </c>
      <c r="G23" s="16" t="s">
        <v>578</v>
      </c>
      <c r="H23" s="20">
        <v>2011.0</v>
      </c>
      <c r="I23" s="20" t="s">
        <v>25</v>
      </c>
      <c r="J23" s="19">
        <v>154270.0</v>
      </c>
      <c r="K23" s="19">
        <v>100.0</v>
      </c>
      <c r="L23" s="19">
        <v>2019.0</v>
      </c>
      <c r="M23" s="19">
        <v>100.0</v>
      </c>
      <c r="N23" s="20" t="s">
        <v>25</v>
      </c>
      <c r="O23" s="19">
        <v>0.0</v>
      </c>
      <c r="P23" s="19">
        <v>0.0</v>
      </c>
      <c r="Q23" s="20" t="s">
        <v>25</v>
      </c>
      <c r="R23" s="16">
        <v>100.0</v>
      </c>
      <c r="S23" s="16" t="s">
        <v>592</v>
      </c>
      <c r="T23" s="16" t="s">
        <v>593</v>
      </c>
      <c r="U23" s="16" t="s">
        <v>621</v>
      </c>
      <c r="V23" s="16"/>
      <c r="W23" s="16"/>
      <c r="X23" s="16"/>
      <c r="Y23" s="16"/>
      <c r="Z23" s="16"/>
      <c r="AA23" s="16"/>
      <c r="AB23" s="16"/>
      <c r="AC23" s="16"/>
      <c r="AD23" s="16"/>
      <c r="AE23" s="16"/>
      <c r="AF23" s="16"/>
      <c r="AG23" s="16"/>
      <c r="AH23" s="16"/>
      <c r="AI23" s="16"/>
      <c r="AJ23" s="16"/>
      <c r="AK23" s="16"/>
      <c r="AL23" s="16"/>
      <c r="AM23" s="16"/>
      <c r="AN23" s="16"/>
      <c r="AO23" s="16"/>
    </row>
    <row r="24" ht="12.75" customHeight="1">
      <c r="A24" s="19">
        <v>14.0</v>
      </c>
      <c r="B24" s="19" t="s">
        <v>24</v>
      </c>
      <c r="C24" s="19" t="s">
        <v>26</v>
      </c>
      <c r="D24" s="19" t="s">
        <v>622</v>
      </c>
      <c r="E24" s="16" t="s">
        <v>25</v>
      </c>
      <c r="F24" s="19">
        <v>2020.0</v>
      </c>
      <c r="G24" s="16" t="s">
        <v>578</v>
      </c>
      <c r="H24" s="20">
        <v>2015.0</v>
      </c>
      <c r="I24" s="20" t="s">
        <v>25</v>
      </c>
      <c r="J24" s="19">
        <v>3.84E7</v>
      </c>
      <c r="K24" s="19">
        <v>100.0</v>
      </c>
      <c r="L24" s="19">
        <v>2030.0</v>
      </c>
      <c r="M24" s="19">
        <v>75.0</v>
      </c>
      <c r="N24" s="20" t="s">
        <v>25</v>
      </c>
      <c r="O24" s="19">
        <v>9600000.0</v>
      </c>
      <c r="P24" s="19">
        <v>2.51E7</v>
      </c>
      <c r="Q24" s="20" t="s">
        <v>25</v>
      </c>
      <c r="R24" s="16">
        <v>46.18055555555556</v>
      </c>
      <c r="S24" s="16" t="s">
        <v>603</v>
      </c>
      <c r="T24" s="16" t="s">
        <v>608</v>
      </c>
      <c r="U24" s="16" t="s">
        <v>623</v>
      </c>
      <c r="V24" s="16"/>
      <c r="W24" s="16"/>
      <c r="X24" s="16"/>
      <c r="Y24" s="16"/>
      <c r="Z24" s="16"/>
      <c r="AA24" s="16"/>
      <c r="AB24" s="16"/>
      <c r="AC24" s="16"/>
      <c r="AD24" s="16"/>
      <c r="AE24" s="16"/>
      <c r="AF24" s="16"/>
      <c r="AG24" s="16"/>
      <c r="AH24" s="16"/>
      <c r="AI24" s="16"/>
      <c r="AJ24" s="16"/>
      <c r="AK24" s="16"/>
      <c r="AL24" s="16"/>
      <c r="AM24" s="16"/>
      <c r="AN24" s="16"/>
      <c r="AO24" s="16"/>
    </row>
    <row r="25" ht="12.75" customHeight="1">
      <c r="A25" s="19">
        <v>15.0</v>
      </c>
      <c r="B25" s="19" t="s">
        <v>24</v>
      </c>
      <c r="C25" s="19" t="s">
        <v>613</v>
      </c>
      <c r="D25" s="19" t="s">
        <v>614</v>
      </c>
      <c r="E25" s="16" t="s">
        <v>25</v>
      </c>
      <c r="F25" s="19">
        <v>2011.0</v>
      </c>
      <c r="G25" s="16" t="s">
        <v>578</v>
      </c>
      <c r="H25" s="20">
        <v>2008.0</v>
      </c>
      <c r="I25" s="20" t="s">
        <v>25</v>
      </c>
      <c r="J25" s="19">
        <v>1354054.0</v>
      </c>
      <c r="K25" s="19">
        <v>100.0</v>
      </c>
      <c r="L25" s="19">
        <v>2020.0</v>
      </c>
      <c r="M25" s="19">
        <v>20.0</v>
      </c>
      <c r="N25" s="20" t="s">
        <v>25</v>
      </c>
      <c r="O25" s="19">
        <v>1083243.2</v>
      </c>
      <c r="P25" s="19">
        <v>990955.0</v>
      </c>
      <c r="Q25" s="20" t="s">
        <v>25</v>
      </c>
      <c r="R25" s="16">
        <v>134.07847840632644</v>
      </c>
      <c r="S25" s="16" t="s">
        <v>592</v>
      </c>
      <c r="T25" s="16" t="s">
        <v>593</v>
      </c>
      <c r="U25" s="16" t="s">
        <v>624</v>
      </c>
      <c r="V25" s="16"/>
      <c r="W25" s="16"/>
      <c r="X25" s="16"/>
      <c r="Y25" s="16"/>
      <c r="Z25" s="16"/>
      <c r="AA25" s="16"/>
      <c r="AB25" s="16"/>
      <c r="AC25" s="16"/>
      <c r="AD25" s="16"/>
      <c r="AE25" s="16"/>
      <c r="AF25" s="16"/>
      <c r="AG25" s="16"/>
      <c r="AH25" s="16"/>
      <c r="AI25" s="16"/>
      <c r="AJ25" s="16"/>
      <c r="AK25" s="16"/>
      <c r="AL25" s="16"/>
      <c r="AM25" s="16"/>
      <c r="AN25" s="16"/>
      <c r="AO25" s="16"/>
    </row>
    <row r="26" ht="12.75" customHeight="1">
      <c r="A26" s="19">
        <v>15.0</v>
      </c>
      <c r="B26" s="19" t="s">
        <v>24</v>
      </c>
      <c r="C26" s="19" t="s">
        <v>613</v>
      </c>
      <c r="D26" s="19" t="s">
        <v>614</v>
      </c>
      <c r="E26" s="16" t="s">
        <v>25</v>
      </c>
      <c r="F26" s="19">
        <v>2009.0</v>
      </c>
      <c r="G26" s="16" t="s">
        <v>611</v>
      </c>
      <c r="H26" s="20">
        <v>2008.0</v>
      </c>
      <c r="I26" s="20" t="s">
        <v>25</v>
      </c>
      <c r="J26" s="19">
        <v>865777.0</v>
      </c>
      <c r="K26" s="19">
        <v>64.0</v>
      </c>
      <c r="L26" s="19">
        <v>2020.0</v>
      </c>
      <c r="M26" s="19">
        <v>30.0</v>
      </c>
      <c r="N26" s="20" t="s">
        <v>25</v>
      </c>
      <c r="O26" s="19">
        <v>606043.9</v>
      </c>
      <c r="P26" s="19">
        <v>597179.0</v>
      </c>
      <c r="Q26" s="20" t="s">
        <v>25</v>
      </c>
      <c r="R26" s="16">
        <v>103.41308058156625</v>
      </c>
      <c r="S26" s="16" t="s">
        <v>592</v>
      </c>
      <c r="T26" s="16" t="s">
        <v>593</v>
      </c>
      <c r="U26" s="16" t="s">
        <v>625</v>
      </c>
      <c r="V26" s="16"/>
      <c r="W26" s="16"/>
      <c r="X26" s="16"/>
      <c r="Y26" s="16"/>
      <c r="Z26" s="16"/>
      <c r="AA26" s="16"/>
      <c r="AB26" s="16"/>
      <c r="AC26" s="16"/>
      <c r="AD26" s="16"/>
      <c r="AE26" s="16"/>
      <c r="AF26" s="16"/>
      <c r="AG26" s="16"/>
      <c r="AH26" s="16"/>
      <c r="AI26" s="16"/>
      <c r="AJ26" s="16"/>
      <c r="AK26" s="16"/>
      <c r="AL26" s="16"/>
      <c r="AM26" s="16"/>
      <c r="AN26" s="16"/>
      <c r="AO26" s="16"/>
    </row>
    <row r="27" ht="12.75" customHeight="1">
      <c r="A27" s="19">
        <v>15.0</v>
      </c>
      <c r="B27" s="19" t="s">
        <v>24</v>
      </c>
      <c r="C27" s="19" t="s">
        <v>26</v>
      </c>
      <c r="D27" s="19" t="s">
        <v>582</v>
      </c>
      <c r="E27" s="16" t="s">
        <v>25</v>
      </c>
      <c r="F27" s="19">
        <v>2019.0</v>
      </c>
      <c r="G27" s="16" t="s">
        <v>578</v>
      </c>
      <c r="H27" s="20">
        <v>2015.0</v>
      </c>
      <c r="I27" s="20" t="s">
        <v>25</v>
      </c>
      <c r="J27" s="19">
        <v>8766803.0</v>
      </c>
      <c r="K27" s="19">
        <v>100.0</v>
      </c>
      <c r="L27" s="19">
        <v>2030.0</v>
      </c>
      <c r="M27" s="19">
        <v>26.0</v>
      </c>
      <c r="N27" s="20" t="s">
        <v>25</v>
      </c>
      <c r="O27" s="19">
        <v>6487434.22</v>
      </c>
      <c r="P27" s="19">
        <v>6525042.0</v>
      </c>
      <c r="Q27" s="20" t="s">
        <v>25</v>
      </c>
      <c r="R27" s="16">
        <v>98.35007918288674</v>
      </c>
      <c r="S27" s="16" t="s">
        <v>603</v>
      </c>
      <c r="T27" s="16" t="s">
        <v>586</v>
      </c>
      <c r="U27" s="16" t="s">
        <v>626</v>
      </c>
      <c r="V27" s="16"/>
      <c r="W27" s="16"/>
      <c r="X27" s="16"/>
      <c r="Y27" s="16"/>
      <c r="Z27" s="16"/>
      <c r="AA27" s="16"/>
      <c r="AB27" s="16"/>
      <c r="AC27" s="16"/>
      <c r="AD27" s="16"/>
      <c r="AE27" s="16"/>
      <c r="AF27" s="16"/>
      <c r="AG27" s="16"/>
      <c r="AH27" s="16"/>
      <c r="AI27" s="16"/>
      <c r="AJ27" s="16"/>
      <c r="AK27" s="16"/>
      <c r="AL27" s="16"/>
      <c r="AM27" s="16"/>
      <c r="AN27" s="16"/>
      <c r="AO27" s="16"/>
    </row>
    <row r="28" ht="12.75" customHeight="1">
      <c r="A28" s="19">
        <v>16.0</v>
      </c>
      <c r="B28" s="19" t="s">
        <v>24</v>
      </c>
      <c r="C28" s="19" t="s">
        <v>26</v>
      </c>
      <c r="D28" s="19" t="s">
        <v>582</v>
      </c>
      <c r="E28" s="16" t="s">
        <v>25</v>
      </c>
      <c r="F28" s="19">
        <v>2015.0</v>
      </c>
      <c r="G28" s="16" t="s">
        <v>578</v>
      </c>
      <c r="H28" s="20">
        <v>2010.0</v>
      </c>
      <c r="I28" s="20" t="s">
        <v>25</v>
      </c>
      <c r="J28" s="19">
        <v>1750939.0</v>
      </c>
      <c r="K28" s="19">
        <v>100.0</v>
      </c>
      <c r="L28" s="19">
        <v>2020.0</v>
      </c>
      <c r="M28" s="19">
        <v>100.0</v>
      </c>
      <c r="N28" s="20" t="s">
        <v>25</v>
      </c>
      <c r="O28" s="19">
        <v>0.0</v>
      </c>
      <c r="P28" s="19">
        <v>0.0</v>
      </c>
      <c r="Q28" s="20" t="s">
        <v>25</v>
      </c>
      <c r="R28" s="16">
        <v>100.0</v>
      </c>
      <c r="S28" s="16" t="s">
        <v>579</v>
      </c>
      <c r="T28" s="16" t="s">
        <v>608</v>
      </c>
      <c r="U28" s="16" t="s">
        <v>627</v>
      </c>
      <c r="V28" s="16"/>
      <c r="W28" s="16"/>
      <c r="X28" s="16"/>
      <c r="Y28" s="16"/>
      <c r="Z28" s="16"/>
      <c r="AA28" s="16"/>
      <c r="AB28" s="16"/>
      <c r="AC28" s="16"/>
      <c r="AD28" s="16"/>
      <c r="AE28" s="16"/>
      <c r="AF28" s="16"/>
      <c r="AG28" s="16"/>
      <c r="AH28" s="16"/>
      <c r="AI28" s="16"/>
      <c r="AJ28" s="16"/>
      <c r="AK28" s="16"/>
      <c r="AL28" s="16"/>
      <c r="AM28" s="16"/>
      <c r="AN28" s="16"/>
      <c r="AO28" s="16"/>
    </row>
    <row r="29" ht="12.75" customHeight="1">
      <c r="A29" s="19">
        <v>16.0</v>
      </c>
      <c r="B29" s="19" t="s">
        <v>24</v>
      </c>
      <c r="C29" s="19" t="s">
        <v>26</v>
      </c>
      <c r="D29" s="19" t="s">
        <v>582</v>
      </c>
      <c r="E29" s="16" t="s">
        <v>25</v>
      </c>
      <c r="F29" s="19">
        <v>2015.0</v>
      </c>
      <c r="G29" s="16" t="s">
        <v>578</v>
      </c>
      <c r="H29" s="19">
        <v>2010.0</v>
      </c>
      <c r="I29" s="20" t="s">
        <v>25</v>
      </c>
      <c r="J29" s="19">
        <v>1750939.0</v>
      </c>
      <c r="K29" s="19">
        <v>100.0</v>
      </c>
      <c r="L29" s="19">
        <v>2040.0</v>
      </c>
      <c r="M29" s="19">
        <v>100.0</v>
      </c>
      <c r="N29" s="20" t="s">
        <v>25</v>
      </c>
      <c r="O29" s="19">
        <v>0.0</v>
      </c>
      <c r="P29" s="19">
        <v>0.0</v>
      </c>
      <c r="Q29" s="20" t="s">
        <v>25</v>
      </c>
      <c r="R29" s="16">
        <v>100.0</v>
      </c>
      <c r="S29" s="16" t="s">
        <v>579</v>
      </c>
      <c r="T29" s="16" t="s">
        <v>608</v>
      </c>
      <c r="U29" s="16" t="s">
        <v>628</v>
      </c>
      <c r="V29" s="16"/>
      <c r="W29" s="16"/>
      <c r="X29" s="16"/>
      <c r="Y29" s="16"/>
      <c r="Z29" s="16"/>
      <c r="AA29" s="16"/>
      <c r="AB29" s="16"/>
      <c r="AC29" s="16"/>
      <c r="AD29" s="16"/>
      <c r="AE29" s="16"/>
      <c r="AF29" s="16"/>
      <c r="AG29" s="16"/>
      <c r="AH29" s="16"/>
      <c r="AI29" s="16"/>
      <c r="AJ29" s="16"/>
      <c r="AK29" s="16"/>
      <c r="AL29" s="16"/>
      <c r="AM29" s="16"/>
      <c r="AN29" s="16"/>
      <c r="AO29" s="16"/>
    </row>
    <row r="30" ht="12.75" customHeight="1">
      <c r="A30" s="19">
        <v>16.0</v>
      </c>
      <c r="B30" s="19" t="s">
        <v>24</v>
      </c>
      <c r="C30" s="19" t="s">
        <v>26</v>
      </c>
      <c r="D30" s="19" t="s">
        <v>577</v>
      </c>
      <c r="E30" s="16" t="s">
        <v>25</v>
      </c>
      <c r="F30" s="19">
        <v>2015.0</v>
      </c>
      <c r="G30" s="16" t="s">
        <v>578</v>
      </c>
      <c r="H30" s="19">
        <v>2010.0</v>
      </c>
      <c r="I30" s="20" t="s">
        <v>25</v>
      </c>
      <c r="J30" s="19">
        <v>1785417.0</v>
      </c>
      <c r="K30" s="19">
        <v>100.0</v>
      </c>
      <c r="L30" s="19">
        <v>2020.0</v>
      </c>
      <c r="M30" s="19">
        <v>50.0</v>
      </c>
      <c r="N30" s="20" t="s">
        <v>25</v>
      </c>
      <c r="O30" s="19">
        <v>892708.5</v>
      </c>
      <c r="P30" s="19">
        <v>791409.0</v>
      </c>
      <c r="Q30" s="20" t="s">
        <v>25</v>
      </c>
      <c r="R30" s="16">
        <v>111.34743312066593</v>
      </c>
      <c r="S30" s="16" t="s">
        <v>579</v>
      </c>
      <c r="T30" s="16" t="s">
        <v>608</v>
      </c>
      <c r="U30" s="16" t="s">
        <v>629</v>
      </c>
      <c r="V30" s="16"/>
      <c r="W30" s="16"/>
      <c r="X30" s="16"/>
      <c r="Y30" s="16"/>
      <c r="Z30" s="16"/>
      <c r="AA30" s="16"/>
      <c r="AB30" s="16"/>
      <c r="AC30" s="16"/>
      <c r="AD30" s="16"/>
      <c r="AE30" s="16"/>
      <c r="AF30" s="16"/>
      <c r="AG30" s="16"/>
      <c r="AH30" s="16"/>
      <c r="AI30" s="16"/>
      <c r="AJ30" s="16"/>
      <c r="AK30" s="16"/>
      <c r="AL30" s="16"/>
      <c r="AM30" s="16"/>
      <c r="AN30" s="16"/>
      <c r="AO30" s="16"/>
    </row>
    <row r="31" ht="12.75" customHeight="1">
      <c r="A31" s="19">
        <v>18.0</v>
      </c>
      <c r="B31" s="19" t="s">
        <v>24</v>
      </c>
      <c r="C31" s="19" t="s">
        <v>26</v>
      </c>
      <c r="D31" s="19" t="s">
        <v>622</v>
      </c>
      <c r="E31" s="16" t="s">
        <v>25</v>
      </c>
      <c r="F31" s="19">
        <v>2016.0</v>
      </c>
      <c r="G31" s="16" t="s">
        <v>578</v>
      </c>
      <c r="H31" s="20">
        <v>2013.0</v>
      </c>
      <c r="I31" s="20" t="s">
        <v>25</v>
      </c>
      <c r="J31" s="19">
        <v>379288.0</v>
      </c>
      <c r="K31" s="19">
        <v>100.0</v>
      </c>
      <c r="L31" s="19">
        <v>2030.0</v>
      </c>
      <c r="M31" s="19">
        <v>35.0</v>
      </c>
      <c r="N31" s="20" t="s">
        <v>25</v>
      </c>
      <c r="O31" s="19">
        <v>246537.2</v>
      </c>
      <c r="P31" s="19">
        <v>491674.0</v>
      </c>
      <c r="Q31" s="20" t="s">
        <v>25</v>
      </c>
      <c r="R31" s="16">
        <v>-84.65937681731486</v>
      </c>
      <c r="S31" s="16" t="s">
        <v>579</v>
      </c>
      <c r="T31" s="16" t="s">
        <v>586</v>
      </c>
      <c r="U31" s="16" t="s">
        <v>630</v>
      </c>
      <c r="V31" s="16"/>
      <c r="W31" s="16"/>
      <c r="X31" s="16"/>
      <c r="Y31" s="16"/>
      <c r="Z31" s="16"/>
      <c r="AA31" s="16"/>
      <c r="AB31" s="16"/>
      <c r="AC31" s="16"/>
      <c r="AD31" s="16"/>
      <c r="AE31" s="16"/>
      <c r="AF31" s="16"/>
      <c r="AG31" s="16"/>
      <c r="AH31" s="16"/>
      <c r="AI31" s="16"/>
      <c r="AJ31" s="16"/>
      <c r="AK31" s="16"/>
      <c r="AL31" s="16"/>
      <c r="AM31" s="16"/>
      <c r="AN31" s="16"/>
      <c r="AO31" s="16"/>
    </row>
    <row r="32" ht="12.75" customHeight="1">
      <c r="A32" s="19">
        <v>19.0</v>
      </c>
      <c r="B32" s="19" t="s">
        <v>24</v>
      </c>
      <c r="C32" s="19" t="s">
        <v>26</v>
      </c>
      <c r="D32" s="19" t="s">
        <v>577</v>
      </c>
      <c r="E32" s="16" t="s">
        <v>25</v>
      </c>
      <c r="F32" s="19">
        <v>2016.0</v>
      </c>
      <c r="G32" s="16" t="s">
        <v>578</v>
      </c>
      <c r="H32" s="20">
        <v>2014.0</v>
      </c>
      <c r="I32" s="20" t="s">
        <v>25</v>
      </c>
      <c r="J32" s="19">
        <v>33189.21</v>
      </c>
      <c r="K32" s="19">
        <v>100.0</v>
      </c>
      <c r="L32" s="19">
        <v>2020.0</v>
      </c>
      <c r="M32" s="19">
        <v>30.0</v>
      </c>
      <c r="N32" s="20" t="s">
        <v>25</v>
      </c>
      <c r="O32" s="19">
        <v>23232.446999999996</v>
      </c>
      <c r="P32" s="19">
        <v>25958.0</v>
      </c>
      <c r="Q32" s="20" t="s">
        <v>25</v>
      </c>
      <c r="R32" s="16">
        <v>72.62611352705692</v>
      </c>
      <c r="S32" s="16" t="s">
        <v>579</v>
      </c>
      <c r="T32" s="16" t="s">
        <v>608</v>
      </c>
      <c r="U32" s="16" t="s">
        <v>631</v>
      </c>
      <c r="V32" s="16"/>
      <c r="W32" s="16"/>
      <c r="X32" s="16"/>
      <c r="Y32" s="16"/>
      <c r="Z32" s="16"/>
      <c r="AA32" s="16"/>
      <c r="AB32" s="16"/>
      <c r="AC32" s="16"/>
      <c r="AD32" s="16"/>
      <c r="AE32" s="16"/>
      <c r="AF32" s="16"/>
      <c r="AG32" s="16"/>
      <c r="AH32" s="16"/>
      <c r="AI32" s="16"/>
      <c r="AJ32" s="16"/>
      <c r="AK32" s="16"/>
      <c r="AL32" s="16"/>
      <c r="AM32" s="16"/>
      <c r="AN32" s="16"/>
      <c r="AO32" s="16"/>
    </row>
    <row r="33" ht="12.75" customHeight="1">
      <c r="A33" s="19">
        <v>89.0</v>
      </c>
      <c r="B33" s="19" t="s">
        <v>24</v>
      </c>
      <c r="C33" s="19" t="s">
        <v>26</v>
      </c>
      <c r="D33" s="19" t="s">
        <v>577</v>
      </c>
      <c r="E33" s="16" t="s">
        <v>25</v>
      </c>
      <c r="F33" s="19">
        <v>2019.0</v>
      </c>
      <c r="G33" s="16" t="s">
        <v>578</v>
      </c>
      <c r="H33" s="20">
        <v>2018.0</v>
      </c>
      <c r="I33" s="20" t="s">
        <v>25</v>
      </c>
      <c r="J33" s="19">
        <v>150157.0</v>
      </c>
      <c r="K33" s="19">
        <v>100.0</v>
      </c>
      <c r="L33" s="19">
        <v>2025.0</v>
      </c>
      <c r="M33" s="19">
        <v>20.0</v>
      </c>
      <c r="N33" s="20" t="s">
        <v>25</v>
      </c>
      <c r="O33" s="19">
        <v>120125.6</v>
      </c>
      <c r="P33" s="19">
        <v>138307.0</v>
      </c>
      <c r="Q33" s="20" t="s">
        <v>25</v>
      </c>
      <c r="R33" s="16">
        <v>39.458699894110836</v>
      </c>
      <c r="S33" s="16" t="s">
        <v>579</v>
      </c>
      <c r="T33" s="16" t="s">
        <v>586</v>
      </c>
      <c r="U33" s="16" t="s">
        <v>632</v>
      </c>
      <c r="V33" s="16"/>
      <c r="W33" s="16"/>
      <c r="X33" s="16"/>
      <c r="Y33" s="16"/>
      <c r="Z33" s="16"/>
      <c r="AA33" s="16"/>
      <c r="AB33" s="16"/>
      <c r="AC33" s="16"/>
      <c r="AD33" s="16"/>
      <c r="AE33" s="16"/>
      <c r="AF33" s="16"/>
      <c r="AG33" s="16"/>
      <c r="AH33" s="16"/>
      <c r="AI33" s="16"/>
      <c r="AJ33" s="16"/>
      <c r="AK33" s="16"/>
      <c r="AL33" s="16"/>
      <c r="AM33" s="16"/>
      <c r="AN33" s="16"/>
      <c r="AO33" s="16"/>
    </row>
    <row r="34" ht="12.75" customHeight="1">
      <c r="A34" s="19">
        <v>89.0</v>
      </c>
      <c r="B34" s="19" t="s">
        <v>24</v>
      </c>
      <c r="C34" s="19" t="s">
        <v>619</v>
      </c>
      <c r="D34" s="19" t="s">
        <v>620</v>
      </c>
      <c r="E34" s="16" t="s">
        <v>25</v>
      </c>
      <c r="F34" s="19">
        <v>2015.0</v>
      </c>
      <c r="G34" s="16" t="s">
        <v>578</v>
      </c>
      <c r="H34" s="20">
        <v>2014.0</v>
      </c>
      <c r="I34" s="20" t="s">
        <v>25</v>
      </c>
      <c r="J34" s="19">
        <v>205197.0</v>
      </c>
      <c r="K34" s="19">
        <v>100.0</v>
      </c>
      <c r="L34" s="19">
        <v>2020.0</v>
      </c>
      <c r="M34" s="19">
        <v>96.0</v>
      </c>
      <c r="N34" s="20" t="s">
        <v>25</v>
      </c>
      <c r="O34" s="19">
        <v>8207.88</v>
      </c>
      <c r="P34" s="19"/>
      <c r="Q34" s="20" t="s">
        <v>25</v>
      </c>
      <c r="R34" s="16">
        <v>104.16666666666667</v>
      </c>
      <c r="S34" s="16" t="s">
        <v>579</v>
      </c>
      <c r="T34" s="16" t="s">
        <v>593</v>
      </c>
      <c r="U34" s="16" t="s">
        <v>633</v>
      </c>
      <c r="V34" s="16"/>
      <c r="W34" s="16"/>
      <c r="X34" s="16"/>
      <c r="Y34" s="16"/>
      <c r="Z34" s="16"/>
      <c r="AA34" s="16"/>
      <c r="AB34" s="16"/>
      <c r="AC34" s="16"/>
      <c r="AD34" s="16"/>
      <c r="AE34" s="16"/>
      <c r="AF34" s="16"/>
      <c r="AG34" s="16"/>
      <c r="AH34" s="16"/>
      <c r="AI34" s="16"/>
      <c r="AJ34" s="16"/>
      <c r="AK34" s="16"/>
      <c r="AL34" s="16"/>
      <c r="AM34" s="16"/>
      <c r="AN34" s="16"/>
      <c r="AO34" s="16"/>
    </row>
    <row r="35" ht="12.75" customHeight="1">
      <c r="A35" s="19">
        <v>89.0</v>
      </c>
      <c r="B35" s="19" t="s">
        <v>24</v>
      </c>
      <c r="C35" s="19" t="s">
        <v>26</v>
      </c>
      <c r="D35" s="19" t="s">
        <v>582</v>
      </c>
      <c r="E35" s="16" t="s">
        <v>25</v>
      </c>
      <c r="F35" s="19">
        <v>2015.0</v>
      </c>
      <c r="G35" s="16" t="s">
        <v>578</v>
      </c>
      <c r="H35" s="20">
        <v>2014.0</v>
      </c>
      <c r="I35" s="20" t="s">
        <v>25</v>
      </c>
      <c r="J35" s="19">
        <v>214161.0</v>
      </c>
      <c r="K35" s="19">
        <v>100.0</v>
      </c>
      <c r="L35" s="19">
        <v>2040.0</v>
      </c>
      <c r="M35" s="19">
        <v>92.0</v>
      </c>
      <c r="N35" s="20" t="s">
        <v>25</v>
      </c>
      <c r="O35" s="19">
        <v>17132.88</v>
      </c>
      <c r="P35" s="19"/>
      <c r="Q35" s="20" t="s">
        <v>25</v>
      </c>
      <c r="R35" s="16">
        <v>108.69565217391303</v>
      </c>
      <c r="S35" s="16" t="s">
        <v>579</v>
      </c>
      <c r="T35" s="16" t="s">
        <v>593</v>
      </c>
      <c r="U35" s="16" t="s">
        <v>634</v>
      </c>
      <c r="V35" s="16"/>
      <c r="W35" s="16"/>
      <c r="X35" s="16"/>
      <c r="Y35" s="16"/>
      <c r="Z35" s="16"/>
      <c r="AA35" s="16"/>
      <c r="AB35" s="16"/>
      <c r="AC35" s="16"/>
      <c r="AD35" s="16"/>
      <c r="AE35" s="16"/>
      <c r="AF35" s="16"/>
      <c r="AG35" s="16"/>
      <c r="AH35" s="16"/>
      <c r="AI35" s="16"/>
      <c r="AJ35" s="16"/>
      <c r="AK35" s="16"/>
      <c r="AL35" s="16"/>
      <c r="AM35" s="16"/>
      <c r="AN35" s="16"/>
      <c r="AO35" s="16"/>
    </row>
    <row r="36" ht="12.75" customHeight="1">
      <c r="A36" s="19">
        <v>20.0</v>
      </c>
      <c r="B36" s="19" t="s">
        <v>24</v>
      </c>
      <c r="C36" s="19" t="s">
        <v>26</v>
      </c>
      <c r="D36" s="19" t="s">
        <v>582</v>
      </c>
      <c r="E36" s="16" t="s">
        <v>25</v>
      </c>
      <c r="F36" s="19">
        <v>2018.0</v>
      </c>
      <c r="G36" s="16" t="s">
        <v>578</v>
      </c>
      <c r="H36" s="20">
        <v>2017.0</v>
      </c>
      <c r="I36" s="20" t="s">
        <v>25</v>
      </c>
      <c r="J36" s="19">
        <v>1004000.0</v>
      </c>
      <c r="K36" s="19">
        <v>70.0</v>
      </c>
      <c r="L36" s="19">
        <v>2025.0</v>
      </c>
      <c r="M36" s="19">
        <v>25.0</v>
      </c>
      <c r="N36" s="20" t="s">
        <v>25</v>
      </c>
      <c r="O36" s="19">
        <v>753000.0</v>
      </c>
      <c r="P36" s="19">
        <v>976000.0</v>
      </c>
      <c r="Q36" s="20" t="s">
        <v>25</v>
      </c>
      <c r="R36" s="16">
        <v>11.155378486055776</v>
      </c>
      <c r="S36" s="16" t="s">
        <v>579</v>
      </c>
      <c r="T36" s="16" t="s">
        <v>608</v>
      </c>
      <c r="U36" s="16" t="s">
        <v>635</v>
      </c>
      <c r="V36" s="16"/>
      <c r="W36" s="16"/>
      <c r="X36" s="16"/>
      <c r="Y36" s="16"/>
      <c r="Z36" s="16"/>
      <c r="AA36" s="16"/>
      <c r="AB36" s="16"/>
      <c r="AC36" s="16"/>
      <c r="AD36" s="16"/>
      <c r="AE36" s="16"/>
      <c r="AF36" s="16"/>
      <c r="AG36" s="16"/>
      <c r="AH36" s="16"/>
      <c r="AI36" s="16"/>
      <c r="AJ36" s="16"/>
      <c r="AK36" s="16"/>
      <c r="AL36" s="16"/>
      <c r="AM36" s="16"/>
      <c r="AN36" s="16"/>
      <c r="AO36" s="16"/>
    </row>
    <row r="37" ht="12.75" customHeight="1">
      <c r="A37" s="19">
        <v>22.0</v>
      </c>
      <c r="B37" s="19" t="s">
        <v>24</v>
      </c>
      <c r="C37" s="19" t="s">
        <v>26</v>
      </c>
      <c r="D37" s="19" t="s">
        <v>582</v>
      </c>
      <c r="E37" s="16" t="s">
        <v>25</v>
      </c>
      <c r="F37" s="19">
        <v>2015.0</v>
      </c>
      <c r="G37" s="16" t="s">
        <v>578</v>
      </c>
      <c r="H37" s="20">
        <v>2015.0</v>
      </c>
      <c r="I37" s="20" t="s">
        <v>25</v>
      </c>
      <c r="J37" s="19">
        <v>379183.76</v>
      </c>
      <c r="K37" s="19">
        <v>100.0</v>
      </c>
      <c r="L37" s="19">
        <v>2020.0</v>
      </c>
      <c r="M37" s="19">
        <v>5.0</v>
      </c>
      <c r="N37" s="20" t="s">
        <v>25</v>
      </c>
      <c r="O37" s="19">
        <v>360224.57200000004</v>
      </c>
      <c r="P37" s="19">
        <v>300349.0</v>
      </c>
      <c r="Q37" s="20" t="s">
        <v>25</v>
      </c>
      <c r="R37" s="16">
        <v>415.81295570253405</v>
      </c>
      <c r="S37" s="16" t="s">
        <v>579</v>
      </c>
      <c r="T37" s="16" t="s">
        <v>580</v>
      </c>
      <c r="U37" s="16" t="s">
        <v>636</v>
      </c>
      <c r="V37" s="16"/>
      <c r="W37" s="16"/>
      <c r="X37" s="16"/>
      <c r="Y37" s="16"/>
      <c r="Z37" s="16"/>
      <c r="AA37" s="16"/>
      <c r="AB37" s="16"/>
      <c r="AC37" s="16"/>
      <c r="AD37" s="16"/>
      <c r="AE37" s="16"/>
      <c r="AF37" s="16"/>
      <c r="AG37" s="16"/>
      <c r="AH37" s="16"/>
      <c r="AI37" s="16"/>
      <c r="AJ37" s="16"/>
      <c r="AK37" s="16"/>
      <c r="AL37" s="16"/>
      <c r="AM37" s="16"/>
      <c r="AN37" s="16"/>
      <c r="AO37" s="16"/>
    </row>
    <row r="38" ht="12.75" customHeight="1">
      <c r="A38" s="19">
        <v>23.0</v>
      </c>
      <c r="B38" s="19" t="s">
        <v>24</v>
      </c>
      <c r="C38" s="19" t="s">
        <v>26</v>
      </c>
      <c r="D38" s="19" t="s">
        <v>582</v>
      </c>
      <c r="E38" s="16" t="s">
        <v>25</v>
      </c>
      <c r="F38" s="19">
        <v>2018.0</v>
      </c>
      <c r="G38" s="16" t="s">
        <v>578</v>
      </c>
      <c r="H38" s="20">
        <v>2017.0</v>
      </c>
      <c r="I38" s="20" t="s">
        <v>25</v>
      </c>
      <c r="J38" s="19">
        <v>11719.0</v>
      </c>
      <c r="K38" s="19">
        <v>100.0</v>
      </c>
      <c r="L38" s="19">
        <v>2019.0</v>
      </c>
      <c r="M38" s="19">
        <v>100.0</v>
      </c>
      <c r="N38" s="20" t="s">
        <v>25</v>
      </c>
      <c r="O38" s="19">
        <v>0.0</v>
      </c>
      <c r="P38" s="19">
        <v>0.0</v>
      </c>
      <c r="Q38" s="20" t="s">
        <v>25</v>
      </c>
      <c r="R38" s="16">
        <v>100.0</v>
      </c>
      <c r="S38" s="16" t="s">
        <v>592</v>
      </c>
      <c r="T38" s="16" t="s">
        <v>580</v>
      </c>
      <c r="U38" s="16" t="s">
        <v>637</v>
      </c>
      <c r="V38" s="16"/>
      <c r="W38" s="16"/>
      <c r="X38" s="16"/>
      <c r="Y38" s="16"/>
      <c r="Z38" s="16"/>
      <c r="AA38" s="16"/>
      <c r="AB38" s="16"/>
      <c r="AC38" s="16"/>
      <c r="AD38" s="16"/>
      <c r="AE38" s="16"/>
      <c r="AF38" s="16"/>
      <c r="AG38" s="16"/>
      <c r="AH38" s="16"/>
      <c r="AI38" s="16"/>
      <c r="AJ38" s="16"/>
      <c r="AK38" s="16"/>
      <c r="AL38" s="16"/>
      <c r="AM38" s="16"/>
      <c r="AN38" s="16"/>
      <c r="AO38" s="16"/>
    </row>
    <row r="39" ht="12.75" customHeight="1">
      <c r="A39" s="19">
        <v>23.0</v>
      </c>
      <c r="B39" s="19" t="s">
        <v>24</v>
      </c>
      <c r="C39" s="19" t="s">
        <v>590</v>
      </c>
      <c r="D39" s="19" t="s">
        <v>638</v>
      </c>
      <c r="E39" s="16" t="s">
        <v>25</v>
      </c>
      <c r="F39" s="19">
        <v>2018.0</v>
      </c>
      <c r="G39" s="16" t="s">
        <v>578</v>
      </c>
      <c r="H39" s="20">
        <v>2017.0</v>
      </c>
      <c r="I39" s="20" t="s">
        <v>25</v>
      </c>
      <c r="J39" s="19">
        <v>62340.0</v>
      </c>
      <c r="K39" s="19">
        <v>100.0</v>
      </c>
      <c r="L39" s="19">
        <v>2019.0</v>
      </c>
      <c r="M39" s="19">
        <v>100.0</v>
      </c>
      <c r="N39" s="20" t="s">
        <v>25</v>
      </c>
      <c r="O39" s="19">
        <v>0.0</v>
      </c>
      <c r="P39" s="19">
        <v>0.0</v>
      </c>
      <c r="Q39" s="20" t="s">
        <v>25</v>
      </c>
      <c r="R39" s="16">
        <v>100.0</v>
      </c>
      <c r="S39" s="16" t="s">
        <v>592</v>
      </c>
      <c r="T39" s="16" t="s">
        <v>580</v>
      </c>
      <c r="U39" s="16" t="s">
        <v>639</v>
      </c>
      <c r="V39" s="16"/>
      <c r="W39" s="16"/>
      <c r="X39" s="16"/>
      <c r="Y39" s="16"/>
      <c r="Z39" s="16"/>
      <c r="AA39" s="16"/>
      <c r="AB39" s="16"/>
      <c r="AC39" s="16"/>
      <c r="AD39" s="16"/>
      <c r="AE39" s="16"/>
      <c r="AF39" s="16"/>
      <c r="AG39" s="16"/>
      <c r="AH39" s="16"/>
      <c r="AI39" s="16"/>
      <c r="AJ39" s="16"/>
      <c r="AK39" s="16"/>
      <c r="AL39" s="16"/>
      <c r="AM39" s="16"/>
      <c r="AN39" s="16"/>
      <c r="AO39" s="16"/>
    </row>
    <row r="40" ht="12.75" customHeight="1">
      <c r="A40" s="19">
        <v>27.0</v>
      </c>
      <c r="B40" s="19" t="s">
        <v>24</v>
      </c>
      <c r="C40" s="19" t="s">
        <v>26</v>
      </c>
      <c r="D40" s="19" t="s">
        <v>582</v>
      </c>
      <c r="E40" s="16" t="s">
        <v>25</v>
      </c>
      <c r="F40" s="19">
        <v>2017.0</v>
      </c>
      <c r="G40" s="16" t="s">
        <v>578</v>
      </c>
      <c r="H40" s="20">
        <v>2007.0</v>
      </c>
      <c r="I40" s="20" t="s">
        <v>25</v>
      </c>
      <c r="J40" s="19">
        <v>450733.0</v>
      </c>
      <c r="K40" s="19">
        <v>100.0</v>
      </c>
      <c r="L40" s="19">
        <v>2022.0</v>
      </c>
      <c r="M40" s="19">
        <v>60.0</v>
      </c>
      <c r="N40" s="20" t="s">
        <v>25</v>
      </c>
      <c r="O40" s="19">
        <v>180293.2</v>
      </c>
      <c r="P40" s="19">
        <v>228610.0</v>
      </c>
      <c r="Q40" s="20" t="s">
        <v>25</v>
      </c>
      <c r="R40" s="16">
        <v>82.13399063303552</v>
      </c>
      <c r="S40" s="16" t="s">
        <v>579</v>
      </c>
      <c r="T40" s="16" t="s">
        <v>586</v>
      </c>
      <c r="U40" s="16" t="s">
        <v>640</v>
      </c>
      <c r="V40" s="16"/>
      <c r="W40" s="16"/>
      <c r="X40" s="16"/>
      <c r="Y40" s="16"/>
      <c r="Z40" s="16"/>
      <c r="AA40" s="16"/>
      <c r="AB40" s="16"/>
      <c r="AC40" s="16"/>
      <c r="AD40" s="16"/>
      <c r="AE40" s="16"/>
      <c r="AF40" s="16"/>
      <c r="AG40" s="16"/>
      <c r="AH40" s="16"/>
      <c r="AI40" s="16"/>
      <c r="AJ40" s="16"/>
      <c r="AK40" s="16"/>
      <c r="AL40" s="16"/>
      <c r="AM40" s="16"/>
      <c r="AN40" s="16"/>
      <c r="AO40" s="16"/>
    </row>
    <row r="41" ht="12.75" customHeight="1">
      <c r="A41" s="19">
        <v>27.0</v>
      </c>
      <c r="B41" s="19" t="s">
        <v>24</v>
      </c>
      <c r="C41" s="19" t="s">
        <v>590</v>
      </c>
      <c r="D41" s="19" t="s">
        <v>641</v>
      </c>
      <c r="E41" s="16" t="s">
        <v>25</v>
      </c>
      <c r="F41" s="19">
        <v>2017.0</v>
      </c>
      <c r="G41" s="16" t="s">
        <v>642</v>
      </c>
      <c r="H41" s="20">
        <v>2016.0</v>
      </c>
      <c r="I41" s="20" t="s">
        <v>25</v>
      </c>
      <c r="J41" s="19">
        <v>2.6233018E7</v>
      </c>
      <c r="K41" s="19">
        <v>100.0</v>
      </c>
      <c r="L41" s="19">
        <v>2022.0</v>
      </c>
      <c r="M41" s="19">
        <v>13.0</v>
      </c>
      <c r="N41" s="20" t="s">
        <v>25</v>
      </c>
      <c r="O41" s="19">
        <v>2.282272566E7</v>
      </c>
      <c r="P41" s="19">
        <v>2.4929174E7</v>
      </c>
      <c r="Q41" s="20" t="s">
        <v>25</v>
      </c>
      <c r="R41" s="16">
        <v>38.2326167380712</v>
      </c>
      <c r="S41" s="16" t="s">
        <v>579</v>
      </c>
      <c r="T41" s="16" t="s">
        <v>586</v>
      </c>
      <c r="U41" s="16" t="s">
        <v>643</v>
      </c>
      <c r="V41" s="16"/>
      <c r="W41" s="16"/>
      <c r="X41" s="16"/>
      <c r="Y41" s="16"/>
      <c r="Z41" s="16"/>
      <c r="AA41" s="16"/>
      <c r="AB41" s="16"/>
      <c r="AC41" s="16"/>
      <c r="AD41" s="16"/>
      <c r="AE41" s="16"/>
      <c r="AF41" s="16"/>
      <c r="AG41" s="16"/>
      <c r="AH41" s="16"/>
      <c r="AI41" s="16"/>
      <c r="AJ41" s="16"/>
      <c r="AK41" s="16"/>
      <c r="AL41" s="16"/>
      <c r="AM41" s="16"/>
      <c r="AN41" s="16"/>
      <c r="AO41" s="16"/>
    </row>
    <row r="42" ht="12.75" customHeight="1">
      <c r="A42" s="19">
        <v>28.0</v>
      </c>
      <c r="B42" s="19" t="s">
        <v>24</v>
      </c>
      <c r="C42" s="19" t="s">
        <v>26</v>
      </c>
      <c r="D42" s="19" t="s">
        <v>577</v>
      </c>
      <c r="E42" s="16" t="s">
        <v>25</v>
      </c>
      <c r="F42" s="19">
        <v>2006.0</v>
      </c>
      <c r="G42" s="16" t="s">
        <v>578</v>
      </c>
      <c r="H42" s="20">
        <v>2005.0</v>
      </c>
      <c r="I42" s="20" t="s">
        <v>25</v>
      </c>
      <c r="J42" s="19">
        <v>1091759.0</v>
      </c>
      <c r="K42" s="19">
        <v>100.0</v>
      </c>
      <c r="L42" s="19">
        <v>2020.0</v>
      </c>
      <c r="M42" s="19">
        <v>35.0</v>
      </c>
      <c r="N42" s="20" t="s">
        <v>25</v>
      </c>
      <c r="O42" s="19">
        <v>709643.35</v>
      </c>
      <c r="P42" s="19">
        <v>616900.0</v>
      </c>
      <c r="Q42" s="20" t="s">
        <v>25</v>
      </c>
      <c r="R42" s="16">
        <v>124.27101585606346</v>
      </c>
      <c r="S42" s="16" t="s">
        <v>592</v>
      </c>
      <c r="T42" s="16" t="s">
        <v>608</v>
      </c>
      <c r="U42" s="16" t="s">
        <v>644</v>
      </c>
      <c r="V42" s="16"/>
      <c r="W42" s="16"/>
      <c r="X42" s="16"/>
      <c r="Y42" s="16"/>
      <c r="Z42" s="16"/>
      <c r="AA42" s="16"/>
      <c r="AB42" s="16"/>
      <c r="AC42" s="16"/>
      <c r="AD42" s="16"/>
      <c r="AE42" s="16"/>
      <c r="AF42" s="16"/>
      <c r="AG42" s="16"/>
      <c r="AH42" s="16"/>
      <c r="AI42" s="16"/>
      <c r="AJ42" s="16"/>
      <c r="AK42" s="16"/>
      <c r="AL42" s="16"/>
      <c r="AM42" s="16"/>
      <c r="AN42" s="16"/>
      <c r="AO42" s="16"/>
    </row>
    <row r="43" ht="12.75" customHeight="1">
      <c r="A43" s="19">
        <v>28.0</v>
      </c>
      <c r="B43" s="19" t="s">
        <v>24</v>
      </c>
      <c r="C43" s="19" t="s">
        <v>26</v>
      </c>
      <c r="D43" s="19" t="s">
        <v>577</v>
      </c>
      <c r="E43" s="16" t="s">
        <v>25</v>
      </c>
      <c r="F43" s="19">
        <v>2006.0</v>
      </c>
      <c r="G43" s="16" t="s">
        <v>578</v>
      </c>
      <c r="H43" s="20">
        <v>2005.0</v>
      </c>
      <c r="I43" s="20" t="s">
        <v>25</v>
      </c>
      <c r="J43" s="19">
        <v>1091759.0</v>
      </c>
      <c r="K43" s="19">
        <v>100.0</v>
      </c>
      <c r="L43" s="19">
        <v>2050.0</v>
      </c>
      <c r="M43" s="19">
        <v>80.0</v>
      </c>
      <c r="N43" s="20" t="s">
        <v>25</v>
      </c>
      <c r="O43" s="19">
        <v>218351.8</v>
      </c>
      <c r="P43" s="19">
        <v>616900.0</v>
      </c>
      <c r="Q43" s="20" t="s">
        <v>25</v>
      </c>
      <c r="R43" s="16">
        <v>54.36856943702777</v>
      </c>
      <c r="S43" s="16" t="s">
        <v>579</v>
      </c>
      <c r="T43" s="16" t="s">
        <v>608</v>
      </c>
      <c r="U43" s="16" t="s">
        <v>645</v>
      </c>
      <c r="V43" s="16"/>
      <c r="W43" s="16"/>
      <c r="X43" s="16"/>
      <c r="Y43" s="16"/>
      <c r="Z43" s="16"/>
      <c r="AA43" s="16"/>
      <c r="AB43" s="16"/>
      <c r="AC43" s="16"/>
      <c r="AD43" s="16"/>
      <c r="AE43" s="16"/>
      <c r="AF43" s="16"/>
      <c r="AG43" s="16"/>
      <c r="AH43" s="16"/>
      <c r="AI43" s="16"/>
      <c r="AJ43" s="16"/>
      <c r="AK43" s="16"/>
      <c r="AL43" s="16"/>
      <c r="AM43" s="16"/>
      <c r="AN43" s="16"/>
      <c r="AO43" s="16"/>
    </row>
    <row r="44" ht="12.75" customHeight="1">
      <c r="A44" s="19">
        <v>30.0</v>
      </c>
      <c r="B44" s="19" t="s">
        <v>24</v>
      </c>
      <c r="C44" s="19" t="s">
        <v>26</v>
      </c>
      <c r="D44" s="19" t="s">
        <v>582</v>
      </c>
      <c r="E44" s="16" t="s">
        <v>25</v>
      </c>
      <c r="F44" s="19">
        <v>2016.0</v>
      </c>
      <c r="G44" s="16" t="s">
        <v>578</v>
      </c>
      <c r="H44" s="20">
        <v>2002.0</v>
      </c>
      <c r="I44" s="20" t="s">
        <v>25</v>
      </c>
      <c r="J44" s="19">
        <v>699761.0</v>
      </c>
      <c r="K44" s="19">
        <v>95.0</v>
      </c>
      <c r="L44" s="19">
        <v>2020.0</v>
      </c>
      <c r="M44" s="19">
        <v>25.0</v>
      </c>
      <c r="N44" s="20" t="s">
        <v>25</v>
      </c>
      <c r="O44" s="19">
        <v>524820.75</v>
      </c>
      <c r="P44" s="19">
        <v>474312.0</v>
      </c>
      <c r="Q44" s="20" t="s">
        <v>25</v>
      </c>
      <c r="R44" s="16">
        <v>128.8720005830562</v>
      </c>
      <c r="S44" s="16" t="s">
        <v>592</v>
      </c>
      <c r="T44" s="16" t="s">
        <v>586</v>
      </c>
      <c r="U44" s="16" t="s">
        <v>646</v>
      </c>
      <c r="V44" s="16"/>
      <c r="W44" s="16"/>
      <c r="X44" s="16"/>
      <c r="Y44" s="16"/>
      <c r="Z44" s="16"/>
      <c r="AA44" s="16"/>
      <c r="AB44" s="16"/>
      <c r="AC44" s="16"/>
      <c r="AD44" s="16"/>
      <c r="AE44" s="16"/>
      <c r="AF44" s="16"/>
      <c r="AG44" s="16"/>
      <c r="AH44" s="16"/>
      <c r="AI44" s="16"/>
      <c r="AJ44" s="16"/>
      <c r="AK44" s="16"/>
      <c r="AL44" s="16"/>
      <c r="AM44" s="16"/>
      <c r="AN44" s="16"/>
      <c r="AO44" s="16"/>
    </row>
    <row r="45" ht="12.75" customHeight="1">
      <c r="A45" s="19">
        <v>30.0</v>
      </c>
      <c r="B45" s="19" t="s">
        <v>24</v>
      </c>
      <c r="C45" s="19" t="s">
        <v>26</v>
      </c>
      <c r="D45" s="19" t="s">
        <v>582</v>
      </c>
      <c r="E45" s="16" t="s">
        <v>25</v>
      </c>
      <c r="F45" s="19">
        <v>2016.0</v>
      </c>
      <c r="G45" s="16" t="s">
        <v>578</v>
      </c>
      <c r="H45" s="20">
        <v>2002.0</v>
      </c>
      <c r="I45" s="20" t="s">
        <v>25</v>
      </c>
      <c r="J45" s="19">
        <v>699761.0</v>
      </c>
      <c r="K45" s="19">
        <v>95.0</v>
      </c>
      <c r="L45" s="19">
        <v>2050.0</v>
      </c>
      <c r="M45" s="19">
        <v>50.0</v>
      </c>
      <c r="N45" s="20" t="s">
        <v>25</v>
      </c>
      <c r="O45" s="19">
        <v>349880.5</v>
      </c>
      <c r="P45" s="19">
        <v>474312.0</v>
      </c>
      <c r="Q45" s="20" t="s">
        <v>25</v>
      </c>
      <c r="R45" s="16">
        <v>64.4360002915281</v>
      </c>
      <c r="S45" s="16" t="s">
        <v>579</v>
      </c>
      <c r="T45" s="16" t="s">
        <v>586</v>
      </c>
      <c r="U45" s="16" t="s">
        <v>647</v>
      </c>
      <c r="V45" s="16"/>
      <c r="W45" s="16"/>
      <c r="X45" s="16"/>
      <c r="Y45" s="16"/>
      <c r="Z45" s="16"/>
      <c r="AA45" s="16"/>
      <c r="AB45" s="16"/>
      <c r="AC45" s="16"/>
      <c r="AD45" s="16"/>
      <c r="AE45" s="16"/>
      <c r="AF45" s="16"/>
      <c r="AG45" s="16"/>
      <c r="AH45" s="16"/>
      <c r="AI45" s="16"/>
      <c r="AJ45" s="16"/>
      <c r="AK45" s="16"/>
      <c r="AL45" s="16"/>
      <c r="AM45" s="16"/>
      <c r="AN45" s="16"/>
      <c r="AO45" s="16"/>
    </row>
    <row r="46" ht="12.75" customHeight="1">
      <c r="A46" s="19">
        <v>30.0</v>
      </c>
      <c r="B46" s="19" t="s">
        <v>24</v>
      </c>
      <c r="C46" s="19" t="s">
        <v>590</v>
      </c>
      <c r="D46" s="19" t="s">
        <v>641</v>
      </c>
      <c r="E46" s="16" t="s">
        <v>25</v>
      </c>
      <c r="F46" s="19">
        <v>2016.0</v>
      </c>
      <c r="G46" s="16" t="s">
        <v>578</v>
      </c>
      <c r="H46" s="20">
        <v>2016.0</v>
      </c>
      <c r="I46" s="20" t="s">
        <v>25</v>
      </c>
      <c r="J46" s="19">
        <v>4.72E7</v>
      </c>
      <c r="K46" s="19">
        <v>90.0</v>
      </c>
      <c r="L46" s="19">
        <v>2022.0</v>
      </c>
      <c r="M46" s="19">
        <v>5.0</v>
      </c>
      <c r="N46" s="20" t="s">
        <v>25</v>
      </c>
      <c r="O46" s="19">
        <v>4.484E7</v>
      </c>
      <c r="P46" s="19">
        <v>4.2014727E7</v>
      </c>
      <c r="Q46" s="20" t="s">
        <v>25</v>
      </c>
      <c r="R46" s="16">
        <v>219.71495762711862</v>
      </c>
      <c r="S46" s="16" t="s">
        <v>592</v>
      </c>
      <c r="T46" s="16" t="s">
        <v>586</v>
      </c>
      <c r="U46" s="16" t="s">
        <v>648</v>
      </c>
      <c r="V46" s="16"/>
      <c r="W46" s="16"/>
      <c r="X46" s="16"/>
      <c r="Y46" s="16"/>
      <c r="Z46" s="16"/>
      <c r="AA46" s="16"/>
      <c r="AB46" s="16"/>
      <c r="AC46" s="16"/>
      <c r="AD46" s="16"/>
      <c r="AE46" s="16"/>
      <c r="AF46" s="16"/>
      <c r="AG46" s="16"/>
      <c r="AH46" s="16"/>
      <c r="AI46" s="16"/>
      <c r="AJ46" s="16"/>
      <c r="AK46" s="16"/>
      <c r="AL46" s="16"/>
      <c r="AM46" s="16"/>
      <c r="AN46" s="16"/>
      <c r="AO46" s="16"/>
    </row>
    <row r="47" ht="12.75" customHeight="1">
      <c r="A47" s="19">
        <v>31.0</v>
      </c>
      <c r="B47" s="19" t="s">
        <v>24</v>
      </c>
      <c r="C47" s="19" t="s">
        <v>26</v>
      </c>
      <c r="D47" s="19" t="s">
        <v>649</v>
      </c>
      <c r="E47" s="16" t="s">
        <v>25</v>
      </c>
      <c r="F47" s="19">
        <v>2019.0</v>
      </c>
      <c r="G47" s="16" t="s">
        <v>650</v>
      </c>
      <c r="H47" s="20">
        <v>2018.0</v>
      </c>
      <c r="I47" s="20" t="s">
        <v>25</v>
      </c>
      <c r="J47" s="19">
        <v>2001609.0</v>
      </c>
      <c r="K47" s="19">
        <v>5.0</v>
      </c>
      <c r="L47" s="19">
        <v>2030.0</v>
      </c>
      <c r="M47" s="19">
        <v>50.0</v>
      </c>
      <c r="N47" s="20" t="s">
        <v>25</v>
      </c>
      <c r="O47" s="19">
        <v>1000804.5</v>
      </c>
      <c r="P47" s="19">
        <v>1974441.0</v>
      </c>
      <c r="Q47" s="20" t="s">
        <v>25</v>
      </c>
      <c r="R47" s="16">
        <v>2.7146160913545057</v>
      </c>
      <c r="S47" s="16" t="s">
        <v>603</v>
      </c>
      <c r="T47" s="16" t="s">
        <v>608</v>
      </c>
      <c r="U47" s="16" t="s">
        <v>651</v>
      </c>
      <c r="V47" s="16"/>
      <c r="W47" s="16"/>
      <c r="X47" s="16"/>
      <c r="Y47" s="16"/>
      <c r="Z47" s="16"/>
      <c r="AA47" s="16"/>
      <c r="AB47" s="16"/>
      <c r="AC47" s="16"/>
      <c r="AD47" s="16"/>
      <c r="AE47" s="16"/>
      <c r="AF47" s="16"/>
      <c r="AG47" s="16"/>
      <c r="AH47" s="16"/>
      <c r="AI47" s="16"/>
      <c r="AJ47" s="16"/>
      <c r="AK47" s="16"/>
      <c r="AL47" s="16"/>
      <c r="AM47" s="16"/>
      <c r="AN47" s="16"/>
      <c r="AO47" s="16"/>
    </row>
    <row r="48" ht="12.75" customHeight="1">
      <c r="A48" s="19">
        <v>31.0</v>
      </c>
      <c r="B48" s="19" t="s">
        <v>24</v>
      </c>
      <c r="C48" s="19" t="s">
        <v>613</v>
      </c>
      <c r="D48" s="19" t="s">
        <v>614</v>
      </c>
      <c r="E48" s="16" t="s">
        <v>25</v>
      </c>
      <c r="F48" s="19">
        <v>2018.0</v>
      </c>
      <c r="G48" s="16" t="s">
        <v>650</v>
      </c>
      <c r="H48" s="20">
        <v>2017.0</v>
      </c>
      <c r="I48" s="20" t="s">
        <v>25</v>
      </c>
      <c r="J48" s="19">
        <v>388377.0</v>
      </c>
      <c r="K48" s="19">
        <v>20.0</v>
      </c>
      <c r="L48" s="19">
        <v>2019.0</v>
      </c>
      <c r="M48" s="19">
        <v>100.0</v>
      </c>
      <c r="N48" s="20" t="s">
        <v>25</v>
      </c>
      <c r="O48" s="19">
        <v>0.0</v>
      </c>
      <c r="P48" s="19">
        <v>367572.0</v>
      </c>
      <c r="Q48" s="20" t="s">
        <v>25</v>
      </c>
      <c r="R48" s="16">
        <v>5.35690836481048</v>
      </c>
      <c r="S48" s="16" t="s">
        <v>579</v>
      </c>
      <c r="T48" s="16" t="s">
        <v>580</v>
      </c>
      <c r="U48" s="16" t="s">
        <v>652</v>
      </c>
      <c r="V48" s="16"/>
      <c r="W48" s="16"/>
      <c r="X48" s="16"/>
      <c r="Y48" s="16"/>
      <c r="Z48" s="16"/>
      <c r="AA48" s="16"/>
      <c r="AB48" s="16"/>
      <c r="AC48" s="16"/>
      <c r="AD48" s="16"/>
      <c r="AE48" s="16"/>
      <c r="AF48" s="16"/>
      <c r="AG48" s="16"/>
      <c r="AH48" s="16"/>
      <c r="AI48" s="16"/>
      <c r="AJ48" s="16"/>
      <c r="AK48" s="16"/>
      <c r="AL48" s="16"/>
      <c r="AM48" s="16"/>
      <c r="AN48" s="16"/>
      <c r="AO48" s="16"/>
    </row>
    <row r="49" ht="12.75" customHeight="1">
      <c r="A49" s="19">
        <v>31.0</v>
      </c>
      <c r="B49" s="19" t="s">
        <v>24</v>
      </c>
      <c r="C49" s="19" t="s">
        <v>26</v>
      </c>
      <c r="D49" s="19" t="s">
        <v>577</v>
      </c>
      <c r="E49" s="16" t="s">
        <v>25</v>
      </c>
      <c r="F49" s="19">
        <v>2017.0</v>
      </c>
      <c r="G49" s="16" t="s">
        <v>650</v>
      </c>
      <c r="H49" s="20">
        <v>2017.0</v>
      </c>
      <c r="I49" s="20" t="s">
        <v>25</v>
      </c>
      <c r="J49" s="19">
        <v>1925233.0</v>
      </c>
      <c r="K49" s="19">
        <v>95.0</v>
      </c>
      <c r="L49" s="19">
        <v>2019.0</v>
      </c>
      <c r="M49" s="19">
        <v>100.0</v>
      </c>
      <c r="N49" s="20" t="s">
        <v>25</v>
      </c>
      <c r="O49" s="19">
        <v>0.0</v>
      </c>
      <c r="P49" s="19">
        <v>1968858.0</v>
      </c>
      <c r="Q49" s="20" t="s">
        <v>25</v>
      </c>
      <c r="R49" s="16">
        <v>-2.265959496850511</v>
      </c>
      <c r="S49" s="16" t="s">
        <v>579</v>
      </c>
      <c r="T49" s="16" t="s">
        <v>580</v>
      </c>
      <c r="U49" s="16" t="s">
        <v>653</v>
      </c>
      <c r="V49" s="16"/>
      <c r="W49" s="16"/>
      <c r="X49" s="16"/>
      <c r="Y49" s="16"/>
      <c r="Z49" s="16"/>
      <c r="AA49" s="16"/>
      <c r="AB49" s="16"/>
      <c r="AC49" s="16"/>
      <c r="AD49" s="16"/>
      <c r="AE49" s="16"/>
      <c r="AF49" s="16"/>
      <c r="AG49" s="16"/>
      <c r="AH49" s="16"/>
      <c r="AI49" s="16"/>
      <c r="AJ49" s="16"/>
      <c r="AK49" s="16"/>
      <c r="AL49" s="16"/>
      <c r="AM49" s="16"/>
      <c r="AN49" s="16"/>
      <c r="AO49" s="16"/>
    </row>
    <row r="50" ht="12.75" customHeight="1">
      <c r="A50" s="19">
        <v>34.0</v>
      </c>
      <c r="B50" s="19" t="s">
        <v>24</v>
      </c>
      <c r="C50" s="19" t="s">
        <v>26</v>
      </c>
      <c r="D50" s="19" t="s">
        <v>582</v>
      </c>
      <c r="E50" s="16" t="s">
        <v>25</v>
      </c>
      <c r="F50" s="19">
        <v>2017.0</v>
      </c>
      <c r="G50" s="16" t="s">
        <v>578</v>
      </c>
      <c r="H50" s="19">
        <v>2010.0</v>
      </c>
      <c r="I50" s="20" t="s">
        <v>25</v>
      </c>
      <c r="J50" s="19">
        <v>1766531.0</v>
      </c>
      <c r="K50" s="19">
        <v>100.0</v>
      </c>
      <c r="L50" s="19">
        <v>2030.0</v>
      </c>
      <c r="M50" s="19">
        <v>36.0</v>
      </c>
      <c r="N50" s="20" t="s">
        <v>25</v>
      </c>
      <c r="O50" s="19">
        <v>1130579.84</v>
      </c>
      <c r="P50" s="19">
        <v>1121031.46</v>
      </c>
      <c r="Q50" s="20" t="s">
        <v>25</v>
      </c>
      <c r="R50" s="16">
        <v>101.50143290877874</v>
      </c>
      <c r="S50" s="16" t="s">
        <v>592</v>
      </c>
      <c r="T50" s="16" t="s">
        <v>586</v>
      </c>
      <c r="U50" s="16" t="s">
        <v>654</v>
      </c>
      <c r="V50" s="16"/>
      <c r="W50" s="16"/>
      <c r="X50" s="16"/>
      <c r="Y50" s="16"/>
      <c r="Z50" s="16"/>
      <c r="AA50" s="16"/>
      <c r="AB50" s="16"/>
      <c r="AC50" s="16"/>
      <c r="AD50" s="16"/>
      <c r="AE50" s="16"/>
      <c r="AF50" s="16"/>
      <c r="AG50" s="16"/>
      <c r="AH50" s="16"/>
      <c r="AI50" s="16"/>
      <c r="AJ50" s="16"/>
      <c r="AK50" s="16"/>
      <c r="AL50" s="16"/>
      <c r="AM50" s="16"/>
      <c r="AN50" s="16"/>
      <c r="AO50" s="16"/>
    </row>
    <row r="51" ht="12.75" customHeight="1">
      <c r="A51" s="19">
        <v>34.0</v>
      </c>
      <c r="B51" s="19" t="s">
        <v>24</v>
      </c>
      <c r="C51" s="19" t="s">
        <v>26</v>
      </c>
      <c r="D51" s="19" t="s">
        <v>582</v>
      </c>
      <c r="E51" s="16" t="s">
        <v>25</v>
      </c>
      <c r="F51" s="19">
        <v>2017.0</v>
      </c>
      <c r="G51" s="16" t="s">
        <v>578</v>
      </c>
      <c r="H51" s="19">
        <v>2010.0</v>
      </c>
      <c r="I51" s="20" t="s">
        <v>25</v>
      </c>
      <c r="J51" s="19">
        <v>1766531.0</v>
      </c>
      <c r="K51" s="19">
        <v>100.0</v>
      </c>
      <c r="L51" s="19">
        <v>2050.0</v>
      </c>
      <c r="M51" s="19">
        <v>56.0</v>
      </c>
      <c r="N51" s="20" t="s">
        <v>25</v>
      </c>
      <c r="O51" s="19">
        <v>777273.64</v>
      </c>
      <c r="P51" s="19">
        <v>1121031.46</v>
      </c>
      <c r="Q51" s="20" t="s">
        <v>25</v>
      </c>
      <c r="R51" s="16">
        <v>65.25092115564347</v>
      </c>
      <c r="S51" s="16" t="s">
        <v>579</v>
      </c>
      <c r="T51" s="16" t="s">
        <v>586</v>
      </c>
      <c r="U51" s="16" t="s">
        <v>655</v>
      </c>
      <c r="V51" s="16"/>
      <c r="W51" s="16"/>
      <c r="X51" s="16"/>
      <c r="Y51" s="16"/>
      <c r="Z51" s="16"/>
      <c r="AA51" s="16"/>
      <c r="AB51" s="16"/>
      <c r="AC51" s="16"/>
      <c r="AD51" s="16"/>
      <c r="AE51" s="16"/>
      <c r="AF51" s="16"/>
      <c r="AG51" s="16"/>
      <c r="AH51" s="16"/>
      <c r="AI51" s="16"/>
      <c r="AJ51" s="16"/>
      <c r="AK51" s="16"/>
      <c r="AL51" s="16"/>
      <c r="AM51" s="16"/>
      <c r="AN51" s="16"/>
      <c r="AO51" s="16"/>
    </row>
    <row r="52" ht="12.75" customHeight="1">
      <c r="A52" s="19">
        <v>37.0</v>
      </c>
      <c r="B52" s="19" t="s">
        <v>24</v>
      </c>
      <c r="C52" s="19" t="s">
        <v>613</v>
      </c>
      <c r="D52" s="19" t="s">
        <v>614</v>
      </c>
      <c r="E52" s="16" t="s">
        <v>25</v>
      </c>
      <c r="F52" s="19">
        <v>2019.0</v>
      </c>
      <c r="G52" s="16" t="s">
        <v>578</v>
      </c>
      <c r="H52" s="20">
        <v>2005.0</v>
      </c>
      <c r="I52" s="20" t="s">
        <v>25</v>
      </c>
      <c r="J52" s="19">
        <v>1.388E8</v>
      </c>
      <c r="K52" s="19">
        <v>100.0</v>
      </c>
      <c r="L52" s="19">
        <v>2030.0</v>
      </c>
      <c r="M52" s="19">
        <v>50.0</v>
      </c>
      <c r="N52" s="20" t="s">
        <v>25</v>
      </c>
      <c r="O52" s="19">
        <v>6.94E7</v>
      </c>
      <c r="P52" s="19">
        <v>8.437E7</v>
      </c>
      <c r="Q52" s="20" t="s">
        <v>25</v>
      </c>
      <c r="R52" s="16">
        <v>78.42939481268012</v>
      </c>
      <c r="S52" s="16" t="s">
        <v>579</v>
      </c>
      <c r="T52" s="16" t="s">
        <v>608</v>
      </c>
      <c r="U52" s="16" t="s">
        <v>656</v>
      </c>
      <c r="V52" s="16"/>
      <c r="W52" s="16"/>
      <c r="X52" s="16"/>
      <c r="Y52" s="16"/>
      <c r="Z52" s="16"/>
      <c r="AA52" s="16"/>
      <c r="AB52" s="16"/>
      <c r="AC52" s="16"/>
      <c r="AD52" s="16"/>
      <c r="AE52" s="16"/>
      <c r="AF52" s="16"/>
      <c r="AG52" s="16"/>
      <c r="AH52" s="16"/>
      <c r="AI52" s="16"/>
      <c r="AJ52" s="16"/>
      <c r="AK52" s="16"/>
      <c r="AL52" s="16"/>
      <c r="AM52" s="16"/>
      <c r="AN52" s="16"/>
      <c r="AO52" s="16"/>
    </row>
    <row r="53" ht="12.75" customHeight="1">
      <c r="A53" s="19">
        <v>37.0</v>
      </c>
      <c r="B53" s="19" t="s">
        <v>24</v>
      </c>
      <c r="C53" s="19" t="s">
        <v>613</v>
      </c>
      <c r="D53" s="19" t="s">
        <v>614</v>
      </c>
      <c r="E53" s="16" t="s">
        <v>25</v>
      </c>
      <c r="F53" s="19">
        <v>2019.0</v>
      </c>
      <c r="G53" s="16" t="s">
        <v>578</v>
      </c>
      <c r="H53" s="20">
        <v>2005.0</v>
      </c>
      <c r="I53" s="20" t="s">
        <v>25</v>
      </c>
      <c r="J53" s="19">
        <v>1.388E8</v>
      </c>
      <c r="K53" s="19">
        <v>100.0</v>
      </c>
      <c r="L53" s="19">
        <v>2050.0</v>
      </c>
      <c r="M53" s="19">
        <v>100.0</v>
      </c>
      <c r="N53" s="20" t="s">
        <v>25</v>
      </c>
      <c r="O53" s="19">
        <v>0.0</v>
      </c>
      <c r="P53" s="19">
        <v>8.437E7</v>
      </c>
      <c r="Q53" s="20" t="s">
        <v>25</v>
      </c>
      <c r="R53" s="16">
        <v>39.21469740634006</v>
      </c>
      <c r="S53" s="16" t="s">
        <v>579</v>
      </c>
      <c r="T53" s="16" t="s">
        <v>608</v>
      </c>
      <c r="U53" s="16" t="s">
        <v>657</v>
      </c>
      <c r="V53" s="16"/>
      <c r="W53" s="16"/>
      <c r="X53" s="16"/>
      <c r="Y53" s="16"/>
      <c r="Z53" s="16"/>
      <c r="AA53" s="16"/>
      <c r="AB53" s="16"/>
      <c r="AC53" s="16"/>
      <c r="AD53" s="16"/>
      <c r="AE53" s="16"/>
      <c r="AF53" s="16"/>
      <c r="AG53" s="16"/>
      <c r="AH53" s="16"/>
      <c r="AI53" s="16"/>
      <c r="AJ53" s="16"/>
      <c r="AK53" s="16"/>
      <c r="AL53" s="16"/>
      <c r="AM53" s="16"/>
      <c r="AN53" s="16"/>
      <c r="AO53" s="16"/>
    </row>
    <row r="54" ht="12.75" customHeight="1">
      <c r="A54" s="19">
        <v>38.0</v>
      </c>
      <c r="B54" s="19" t="s">
        <v>24</v>
      </c>
      <c r="C54" s="19" t="s">
        <v>26</v>
      </c>
      <c r="D54" s="19" t="s">
        <v>658</v>
      </c>
      <c r="E54" s="16" t="s">
        <v>25</v>
      </c>
      <c r="F54" s="19">
        <v>2019.0</v>
      </c>
      <c r="G54" s="16" t="s">
        <v>578</v>
      </c>
      <c r="H54" s="20">
        <v>2019.0</v>
      </c>
      <c r="I54" s="20" t="s">
        <v>25</v>
      </c>
      <c r="J54" s="19">
        <v>5380359.0</v>
      </c>
      <c r="K54" s="19">
        <v>100.0</v>
      </c>
      <c r="L54" s="19">
        <v>2030.0</v>
      </c>
      <c r="M54" s="19">
        <v>30.0</v>
      </c>
      <c r="N54" s="20" t="s">
        <v>25</v>
      </c>
      <c r="O54" s="19">
        <v>3766251.3</v>
      </c>
      <c r="P54" s="19">
        <v>5380359.0</v>
      </c>
      <c r="Q54" s="20" t="s">
        <v>25</v>
      </c>
      <c r="R54" s="16">
        <v>0.0</v>
      </c>
      <c r="S54" s="16" t="s">
        <v>603</v>
      </c>
      <c r="T54" s="16" t="s">
        <v>608</v>
      </c>
      <c r="U54" s="16" t="s">
        <v>659</v>
      </c>
      <c r="V54" s="16"/>
      <c r="W54" s="16"/>
      <c r="X54" s="16"/>
      <c r="Y54" s="16"/>
      <c r="Z54" s="16"/>
      <c r="AA54" s="16"/>
      <c r="AB54" s="16"/>
      <c r="AC54" s="16"/>
      <c r="AD54" s="16"/>
      <c r="AE54" s="16"/>
      <c r="AF54" s="16"/>
      <c r="AG54" s="16"/>
      <c r="AH54" s="16"/>
      <c r="AI54" s="16"/>
      <c r="AJ54" s="16"/>
      <c r="AK54" s="16"/>
      <c r="AL54" s="16"/>
      <c r="AM54" s="16"/>
      <c r="AN54" s="16"/>
      <c r="AO54" s="16"/>
    </row>
    <row r="55" ht="12.75" customHeight="1">
      <c r="A55" s="19">
        <v>38.0</v>
      </c>
      <c r="B55" s="19" t="s">
        <v>24</v>
      </c>
      <c r="C55" s="19" t="s">
        <v>26</v>
      </c>
      <c r="D55" s="19" t="s">
        <v>658</v>
      </c>
      <c r="E55" s="16" t="s">
        <v>25</v>
      </c>
      <c r="F55" s="19">
        <v>2019.0</v>
      </c>
      <c r="G55" s="16" t="s">
        <v>578</v>
      </c>
      <c r="H55" s="20">
        <v>2019.0</v>
      </c>
      <c r="I55" s="20" t="s">
        <v>25</v>
      </c>
      <c r="J55" s="19">
        <v>5380359.0</v>
      </c>
      <c r="K55" s="19">
        <v>100.0</v>
      </c>
      <c r="L55" s="19">
        <v>2050.0</v>
      </c>
      <c r="M55" s="19">
        <v>100.0</v>
      </c>
      <c r="N55" s="20" t="s">
        <v>25</v>
      </c>
      <c r="O55" s="19">
        <v>0.0</v>
      </c>
      <c r="P55" s="19">
        <v>5380359.0</v>
      </c>
      <c r="Q55" s="20" t="s">
        <v>25</v>
      </c>
      <c r="R55" s="16">
        <v>0.0</v>
      </c>
      <c r="S55" s="16" t="s">
        <v>603</v>
      </c>
      <c r="T55" s="16" t="s">
        <v>608</v>
      </c>
      <c r="U55" s="16" t="s">
        <v>660</v>
      </c>
      <c r="V55" s="16"/>
      <c r="W55" s="16"/>
      <c r="X55" s="16"/>
      <c r="Y55" s="16"/>
      <c r="Z55" s="16"/>
      <c r="AA55" s="16"/>
      <c r="AB55" s="16"/>
      <c r="AC55" s="16"/>
      <c r="AD55" s="16"/>
      <c r="AE55" s="16"/>
      <c r="AF55" s="16"/>
      <c r="AG55" s="16"/>
      <c r="AH55" s="16"/>
      <c r="AI55" s="16"/>
      <c r="AJ55" s="16"/>
      <c r="AK55" s="16"/>
      <c r="AL55" s="16"/>
      <c r="AM55" s="16"/>
      <c r="AN55" s="16"/>
      <c r="AO55" s="16"/>
    </row>
    <row r="56" ht="12.75" customHeight="1">
      <c r="A56" s="19">
        <v>41.0</v>
      </c>
      <c r="B56" s="19" t="s">
        <v>24</v>
      </c>
      <c r="C56" s="19" t="s">
        <v>26</v>
      </c>
      <c r="D56" s="19" t="s">
        <v>661</v>
      </c>
      <c r="E56" s="16" t="s">
        <v>25</v>
      </c>
      <c r="F56" s="19">
        <v>2017.0</v>
      </c>
      <c r="G56" s="16" t="s">
        <v>578</v>
      </c>
      <c r="H56" s="20">
        <v>2015.0</v>
      </c>
      <c r="I56" s="20" t="s">
        <v>25</v>
      </c>
      <c r="J56" s="19">
        <v>1133000.0</v>
      </c>
      <c r="K56" s="19">
        <v>100.0</v>
      </c>
      <c r="L56" s="19">
        <v>2022.0</v>
      </c>
      <c r="M56" s="19">
        <v>15.0</v>
      </c>
      <c r="N56" s="20" t="s">
        <v>25</v>
      </c>
      <c r="O56" s="19">
        <v>963050.0</v>
      </c>
      <c r="P56" s="19">
        <v>994191.0</v>
      </c>
      <c r="Q56" s="20" t="s">
        <v>25</v>
      </c>
      <c r="R56" s="16">
        <v>81.67637540453075</v>
      </c>
      <c r="S56" s="16" t="s">
        <v>579</v>
      </c>
      <c r="T56" s="16" t="s">
        <v>608</v>
      </c>
      <c r="U56" s="16" t="s">
        <v>662</v>
      </c>
      <c r="V56" s="16"/>
      <c r="W56" s="16"/>
      <c r="X56" s="16"/>
      <c r="Y56" s="16"/>
      <c r="Z56" s="16"/>
      <c r="AA56" s="16"/>
      <c r="AB56" s="16"/>
      <c r="AC56" s="16"/>
      <c r="AD56" s="16"/>
      <c r="AE56" s="16"/>
      <c r="AF56" s="16"/>
      <c r="AG56" s="16"/>
      <c r="AH56" s="16"/>
      <c r="AI56" s="16"/>
      <c r="AJ56" s="16"/>
      <c r="AK56" s="16"/>
      <c r="AL56" s="16"/>
      <c r="AM56" s="16"/>
      <c r="AN56" s="16"/>
      <c r="AO56" s="16"/>
    </row>
    <row r="57" ht="12.75" customHeight="1">
      <c r="A57" s="19">
        <v>45.0</v>
      </c>
      <c r="B57" s="19" t="s">
        <v>24</v>
      </c>
      <c r="C57" s="19" t="s">
        <v>26</v>
      </c>
      <c r="D57" s="19" t="s">
        <v>577</v>
      </c>
      <c r="E57" s="16" t="s">
        <v>25</v>
      </c>
      <c r="F57" s="19">
        <v>2018.0</v>
      </c>
      <c r="G57" s="16" t="s">
        <v>578</v>
      </c>
      <c r="H57" s="20">
        <v>2017.0</v>
      </c>
      <c r="I57" s="20" t="s">
        <v>25</v>
      </c>
      <c r="J57" s="19">
        <v>4168442.0</v>
      </c>
      <c r="K57" s="19">
        <v>100.0</v>
      </c>
      <c r="L57" s="19">
        <v>2023.0</v>
      </c>
      <c r="M57" s="19">
        <v>16.2</v>
      </c>
      <c r="N57" s="20" t="s">
        <v>25</v>
      </c>
      <c r="O57" s="19">
        <v>3493154.3959999997</v>
      </c>
      <c r="P57" s="19">
        <v>3636301.0</v>
      </c>
      <c r="Q57" s="20" t="s">
        <v>25</v>
      </c>
      <c r="R57" s="16">
        <v>78.80212769313619</v>
      </c>
      <c r="S57" s="16" t="s">
        <v>579</v>
      </c>
      <c r="T57" s="16" t="s">
        <v>580</v>
      </c>
      <c r="U57" s="16" t="s">
        <v>663</v>
      </c>
      <c r="V57" s="16"/>
      <c r="W57" s="16"/>
      <c r="X57" s="16"/>
      <c r="Y57" s="16"/>
      <c r="Z57" s="16"/>
      <c r="AA57" s="16"/>
      <c r="AB57" s="16"/>
      <c r="AC57" s="16"/>
      <c r="AD57" s="16"/>
      <c r="AE57" s="16"/>
      <c r="AF57" s="16"/>
      <c r="AG57" s="16"/>
      <c r="AH57" s="16"/>
      <c r="AI57" s="16"/>
      <c r="AJ57" s="16"/>
      <c r="AK57" s="16"/>
      <c r="AL57" s="16"/>
      <c r="AM57" s="16"/>
      <c r="AN57" s="16"/>
      <c r="AO57" s="16"/>
    </row>
    <row r="58" ht="12.75" customHeight="1">
      <c r="A58" s="19">
        <v>45.0</v>
      </c>
      <c r="B58" s="19" t="s">
        <v>24</v>
      </c>
      <c r="C58" s="19" t="s">
        <v>26</v>
      </c>
      <c r="D58" s="19" t="s">
        <v>577</v>
      </c>
      <c r="E58" s="16" t="s">
        <v>25</v>
      </c>
      <c r="F58" s="19">
        <v>2018.0</v>
      </c>
      <c r="G58" s="16" t="s">
        <v>578</v>
      </c>
      <c r="H58" s="20">
        <v>2017.0</v>
      </c>
      <c r="I58" s="20" t="s">
        <v>25</v>
      </c>
      <c r="J58" s="19">
        <v>4168442.0</v>
      </c>
      <c r="K58" s="19">
        <v>100.0</v>
      </c>
      <c r="L58" s="19">
        <v>2035.0</v>
      </c>
      <c r="M58" s="19">
        <v>75.0</v>
      </c>
      <c r="N58" s="20" t="s">
        <v>25</v>
      </c>
      <c r="O58" s="19">
        <v>1042110.5</v>
      </c>
      <c r="P58" s="19">
        <v>3636301.0</v>
      </c>
      <c r="Q58" s="20" t="s">
        <v>25</v>
      </c>
      <c r="R58" s="16">
        <v>17.02125958171742</v>
      </c>
      <c r="S58" s="16" t="s">
        <v>579</v>
      </c>
      <c r="T58" s="16" t="s">
        <v>580</v>
      </c>
      <c r="U58" s="16" t="s">
        <v>664</v>
      </c>
      <c r="V58" s="16"/>
      <c r="W58" s="16"/>
      <c r="X58" s="16"/>
      <c r="Y58" s="16"/>
      <c r="Z58" s="16"/>
      <c r="AA58" s="16"/>
      <c r="AB58" s="16"/>
      <c r="AC58" s="16"/>
      <c r="AD58" s="16"/>
      <c r="AE58" s="16"/>
      <c r="AF58" s="16"/>
      <c r="AG58" s="16"/>
      <c r="AH58" s="16"/>
      <c r="AI58" s="16"/>
      <c r="AJ58" s="16"/>
      <c r="AK58" s="16"/>
      <c r="AL58" s="16"/>
      <c r="AM58" s="16"/>
      <c r="AN58" s="16"/>
      <c r="AO58" s="16"/>
    </row>
    <row r="59" ht="12.75" customHeight="1">
      <c r="A59" s="19">
        <v>47.0</v>
      </c>
      <c r="B59" s="19" t="s">
        <v>24</v>
      </c>
      <c r="C59" s="19" t="s">
        <v>26</v>
      </c>
      <c r="D59" s="19" t="s">
        <v>582</v>
      </c>
      <c r="E59" s="16" t="s">
        <v>25</v>
      </c>
      <c r="F59" s="19">
        <v>2015.0</v>
      </c>
      <c r="G59" s="16" t="s">
        <v>578</v>
      </c>
      <c r="H59" s="20">
        <v>2011.0</v>
      </c>
      <c r="I59" s="20" t="s">
        <v>25</v>
      </c>
      <c r="J59" s="19">
        <v>3005160.75</v>
      </c>
      <c r="K59" s="19">
        <v>100.0</v>
      </c>
      <c r="L59" s="19">
        <v>2020.0</v>
      </c>
      <c r="M59" s="19">
        <v>20.0</v>
      </c>
      <c r="N59" s="20" t="s">
        <v>25</v>
      </c>
      <c r="O59" s="19">
        <v>2404128.6</v>
      </c>
      <c r="P59" s="19">
        <v>2385024.54</v>
      </c>
      <c r="Q59" s="20" t="s">
        <v>25</v>
      </c>
      <c r="R59" s="16">
        <v>103.17854211293024</v>
      </c>
      <c r="S59" s="16" t="s">
        <v>592</v>
      </c>
      <c r="T59" s="16" t="s">
        <v>608</v>
      </c>
      <c r="U59" s="16" t="s">
        <v>665</v>
      </c>
      <c r="V59" s="16"/>
      <c r="W59" s="16"/>
      <c r="X59" s="16"/>
      <c r="Y59" s="16"/>
      <c r="Z59" s="16"/>
      <c r="AA59" s="16"/>
      <c r="AB59" s="16"/>
      <c r="AC59" s="16"/>
      <c r="AD59" s="16"/>
      <c r="AE59" s="16"/>
      <c r="AF59" s="16"/>
      <c r="AG59" s="16"/>
      <c r="AH59" s="16"/>
      <c r="AI59" s="16"/>
      <c r="AJ59" s="16"/>
      <c r="AK59" s="16"/>
      <c r="AL59" s="16"/>
      <c r="AM59" s="16"/>
      <c r="AN59" s="16"/>
      <c r="AO59" s="16"/>
    </row>
    <row r="60" ht="12.75" customHeight="1">
      <c r="A60" s="19">
        <v>48.0</v>
      </c>
      <c r="B60" s="19" t="s">
        <v>24</v>
      </c>
      <c r="C60" s="19" t="s">
        <v>26</v>
      </c>
      <c r="D60" s="19" t="s">
        <v>582</v>
      </c>
      <c r="E60" s="16" t="s">
        <v>25</v>
      </c>
      <c r="F60" s="19">
        <v>2018.0</v>
      </c>
      <c r="G60" s="16" t="s">
        <v>578</v>
      </c>
      <c r="H60" s="19">
        <v>2010.0</v>
      </c>
      <c r="I60" s="20" t="s">
        <v>25</v>
      </c>
      <c r="J60" s="19">
        <v>6173746.0</v>
      </c>
      <c r="K60" s="19">
        <v>100.0</v>
      </c>
      <c r="L60" s="19">
        <v>2030.0</v>
      </c>
      <c r="M60" s="19">
        <v>31.0</v>
      </c>
      <c r="N60" s="20" t="s">
        <v>25</v>
      </c>
      <c r="O60" s="19">
        <v>4259884.74</v>
      </c>
      <c r="P60" s="19">
        <v>5311575.0</v>
      </c>
      <c r="Q60" s="20" t="s">
        <v>25</v>
      </c>
      <c r="R60" s="16">
        <v>45.04877223963455</v>
      </c>
      <c r="S60" s="16" t="s">
        <v>579</v>
      </c>
      <c r="T60" s="16" t="s">
        <v>608</v>
      </c>
      <c r="U60" s="16" t="s">
        <v>666</v>
      </c>
      <c r="V60" s="16"/>
      <c r="W60" s="16"/>
      <c r="X60" s="16"/>
      <c r="Y60" s="16"/>
      <c r="Z60" s="16"/>
      <c r="AA60" s="16"/>
      <c r="AB60" s="16"/>
      <c r="AC60" s="16"/>
      <c r="AD60" s="16"/>
      <c r="AE60" s="16"/>
      <c r="AF60" s="16"/>
      <c r="AG60" s="16"/>
      <c r="AH60" s="16"/>
      <c r="AI60" s="16"/>
      <c r="AJ60" s="16"/>
      <c r="AK60" s="16"/>
      <c r="AL60" s="16"/>
      <c r="AM60" s="16"/>
      <c r="AN60" s="16"/>
      <c r="AO60" s="16"/>
    </row>
    <row r="61" ht="12.75" customHeight="1">
      <c r="A61" s="19">
        <v>48.0</v>
      </c>
      <c r="B61" s="19" t="s">
        <v>24</v>
      </c>
      <c r="C61" s="19" t="s">
        <v>590</v>
      </c>
      <c r="D61" s="19" t="s">
        <v>641</v>
      </c>
      <c r="E61" s="16" t="s">
        <v>25</v>
      </c>
      <c r="F61" s="19">
        <v>2017.0</v>
      </c>
      <c r="G61" s="16" t="s">
        <v>611</v>
      </c>
      <c r="H61" s="20">
        <v>2016.0</v>
      </c>
      <c r="I61" s="20" t="s">
        <v>25</v>
      </c>
      <c r="J61" s="19">
        <v>8023097.0</v>
      </c>
      <c r="K61" s="19">
        <v>100.0</v>
      </c>
      <c r="L61" s="19">
        <v>2021.0</v>
      </c>
      <c r="M61" s="19">
        <v>4.0</v>
      </c>
      <c r="N61" s="20" t="s">
        <v>25</v>
      </c>
      <c r="O61" s="19">
        <v>7702173.12</v>
      </c>
      <c r="P61" s="19">
        <v>7763604.0</v>
      </c>
      <c r="Q61" s="20" t="s">
        <v>25</v>
      </c>
      <c r="R61" s="16">
        <v>80.85811501468825</v>
      </c>
      <c r="S61" s="16" t="s">
        <v>579</v>
      </c>
      <c r="T61" s="16" t="s">
        <v>580</v>
      </c>
      <c r="U61" s="16" t="s">
        <v>667</v>
      </c>
      <c r="V61" s="16"/>
      <c r="W61" s="16"/>
      <c r="X61" s="16"/>
      <c r="Y61" s="16"/>
      <c r="Z61" s="16"/>
      <c r="AA61" s="16"/>
      <c r="AB61" s="16"/>
      <c r="AC61" s="16"/>
      <c r="AD61" s="16"/>
      <c r="AE61" s="16"/>
      <c r="AF61" s="16"/>
      <c r="AG61" s="16"/>
      <c r="AH61" s="16"/>
      <c r="AI61" s="16"/>
      <c r="AJ61" s="16"/>
      <c r="AK61" s="16"/>
      <c r="AL61" s="16"/>
      <c r="AM61" s="16"/>
      <c r="AN61" s="16"/>
      <c r="AO61" s="16"/>
    </row>
    <row r="62" ht="12.75" customHeight="1">
      <c r="A62" s="19">
        <v>49.0</v>
      </c>
      <c r="B62" s="19" t="s">
        <v>24</v>
      </c>
      <c r="C62" s="19" t="s">
        <v>26</v>
      </c>
      <c r="D62" s="19" t="s">
        <v>582</v>
      </c>
      <c r="E62" s="16" t="s">
        <v>25</v>
      </c>
      <c r="F62" s="19">
        <v>2017.0</v>
      </c>
      <c r="G62" s="16" t="s">
        <v>578</v>
      </c>
      <c r="H62" s="20">
        <v>2016.0</v>
      </c>
      <c r="I62" s="20" t="s">
        <v>25</v>
      </c>
      <c r="J62" s="19">
        <v>82840.0</v>
      </c>
      <c r="K62" s="19">
        <v>100.0</v>
      </c>
      <c r="L62" s="19">
        <v>2025.0</v>
      </c>
      <c r="M62" s="19">
        <v>25.0</v>
      </c>
      <c r="N62" s="20" t="s">
        <v>25</v>
      </c>
      <c r="O62" s="19">
        <v>62130.0</v>
      </c>
      <c r="P62" s="19">
        <v>73735.0</v>
      </c>
      <c r="Q62" s="20" t="s">
        <v>25</v>
      </c>
      <c r="R62" s="16">
        <v>43.964268469338485</v>
      </c>
      <c r="S62" s="16" t="s">
        <v>579</v>
      </c>
      <c r="T62" s="16" t="s">
        <v>608</v>
      </c>
      <c r="U62" s="16" t="s">
        <v>668</v>
      </c>
      <c r="V62" s="16"/>
      <c r="W62" s="16"/>
      <c r="X62" s="16"/>
      <c r="Y62" s="16"/>
      <c r="Z62" s="16"/>
      <c r="AA62" s="16"/>
      <c r="AB62" s="16"/>
      <c r="AC62" s="16"/>
      <c r="AD62" s="16"/>
      <c r="AE62" s="16"/>
      <c r="AF62" s="16"/>
      <c r="AG62" s="16"/>
      <c r="AH62" s="16"/>
      <c r="AI62" s="16"/>
      <c r="AJ62" s="16"/>
      <c r="AK62" s="16"/>
      <c r="AL62" s="16"/>
      <c r="AM62" s="16"/>
      <c r="AN62" s="16"/>
      <c r="AO62" s="16"/>
    </row>
    <row r="63" ht="12.75" customHeight="1">
      <c r="A63" s="19">
        <v>50.0</v>
      </c>
      <c r="B63" s="19" t="s">
        <v>24</v>
      </c>
      <c r="C63" s="19" t="s">
        <v>606</v>
      </c>
      <c r="D63" s="19" t="s">
        <v>607</v>
      </c>
      <c r="E63" s="16" t="s">
        <v>25</v>
      </c>
      <c r="F63" s="19">
        <v>2015.0</v>
      </c>
      <c r="G63" s="16" t="s">
        <v>578</v>
      </c>
      <c r="H63" s="20">
        <v>2019.0</v>
      </c>
      <c r="I63" s="20" t="s">
        <v>25</v>
      </c>
      <c r="J63" s="19">
        <v>157255.0</v>
      </c>
      <c r="K63" s="19">
        <v>100.0</v>
      </c>
      <c r="L63" s="19">
        <v>2019.0</v>
      </c>
      <c r="M63" s="19">
        <v>100.0</v>
      </c>
      <c r="N63" s="20" t="s">
        <v>25</v>
      </c>
      <c r="O63" s="19">
        <v>0.0</v>
      </c>
      <c r="P63" s="19">
        <v>0.0</v>
      </c>
      <c r="Q63" s="20" t="s">
        <v>25</v>
      </c>
      <c r="R63" s="16">
        <v>100.0</v>
      </c>
      <c r="S63" s="16" t="s">
        <v>579</v>
      </c>
      <c r="T63" s="16" t="s">
        <v>593</v>
      </c>
      <c r="U63" s="16" t="s">
        <v>669</v>
      </c>
      <c r="V63" s="16"/>
      <c r="W63" s="16"/>
      <c r="X63" s="16"/>
      <c r="Y63" s="16"/>
      <c r="Z63" s="16"/>
      <c r="AA63" s="16"/>
      <c r="AB63" s="16"/>
      <c r="AC63" s="16"/>
      <c r="AD63" s="16"/>
      <c r="AE63" s="16"/>
      <c r="AF63" s="16"/>
      <c r="AG63" s="16"/>
      <c r="AH63" s="16"/>
      <c r="AI63" s="16"/>
      <c r="AJ63" s="16"/>
      <c r="AK63" s="16"/>
      <c r="AL63" s="16"/>
      <c r="AM63" s="16"/>
      <c r="AN63" s="16"/>
      <c r="AO63" s="16"/>
    </row>
    <row r="64" ht="12.75" customHeight="1">
      <c r="A64" s="19">
        <v>50.0</v>
      </c>
      <c r="B64" s="19" t="s">
        <v>24</v>
      </c>
      <c r="C64" s="19" t="s">
        <v>26</v>
      </c>
      <c r="D64" s="19" t="s">
        <v>582</v>
      </c>
      <c r="E64" s="16" t="s">
        <v>25</v>
      </c>
      <c r="F64" s="19">
        <v>2015.0</v>
      </c>
      <c r="G64" s="16" t="s">
        <v>578</v>
      </c>
      <c r="H64" s="20">
        <v>2013.0</v>
      </c>
      <c r="I64" s="20" t="s">
        <v>25</v>
      </c>
      <c r="J64" s="19">
        <v>251687.0</v>
      </c>
      <c r="K64" s="19">
        <v>100.0</v>
      </c>
      <c r="L64" s="19">
        <v>2020.0</v>
      </c>
      <c r="M64" s="19">
        <v>15.0</v>
      </c>
      <c r="N64" s="20" t="s">
        <v>25</v>
      </c>
      <c r="O64" s="19">
        <v>213933.95</v>
      </c>
      <c r="P64" s="19">
        <v>21782.0</v>
      </c>
      <c r="Q64" s="20" t="s">
        <v>25</v>
      </c>
      <c r="R64" s="16">
        <v>608.9706659461953</v>
      </c>
      <c r="S64" s="16" t="s">
        <v>579</v>
      </c>
      <c r="T64" s="16" t="s">
        <v>608</v>
      </c>
      <c r="U64" s="16" t="s">
        <v>670</v>
      </c>
      <c r="V64" s="16"/>
      <c r="W64" s="16"/>
      <c r="X64" s="16"/>
      <c r="Y64" s="16"/>
      <c r="Z64" s="16"/>
      <c r="AA64" s="16"/>
      <c r="AB64" s="16"/>
      <c r="AC64" s="16"/>
      <c r="AD64" s="16"/>
      <c r="AE64" s="16"/>
      <c r="AF64" s="16"/>
      <c r="AG64" s="16"/>
      <c r="AH64" s="16"/>
      <c r="AI64" s="16"/>
      <c r="AJ64" s="16"/>
      <c r="AK64" s="16"/>
      <c r="AL64" s="16"/>
      <c r="AM64" s="16"/>
      <c r="AN64" s="16"/>
      <c r="AO64" s="16"/>
    </row>
    <row r="65" ht="12.75" customHeight="1">
      <c r="A65" s="19">
        <v>50.0</v>
      </c>
      <c r="B65" s="19" t="s">
        <v>24</v>
      </c>
      <c r="C65" s="19" t="s">
        <v>26</v>
      </c>
      <c r="D65" s="19" t="s">
        <v>582</v>
      </c>
      <c r="E65" s="16" t="s">
        <v>25</v>
      </c>
      <c r="F65" s="19">
        <v>2015.0</v>
      </c>
      <c r="G65" s="16" t="s">
        <v>578</v>
      </c>
      <c r="H65" s="20">
        <v>2013.0</v>
      </c>
      <c r="I65" s="20" t="s">
        <v>25</v>
      </c>
      <c r="J65" s="19">
        <v>251687.0</v>
      </c>
      <c r="K65" s="19">
        <v>100.0</v>
      </c>
      <c r="L65" s="19">
        <v>2036.0</v>
      </c>
      <c r="M65" s="19">
        <v>50.0</v>
      </c>
      <c r="N65" s="20" t="s">
        <v>25</v>
      </c>
      <c r="O65" s="19">
        <v>125843.5</v>
      </c>
      <c r="P65" s="19">
        <v>21782.0</v>
      </c>
      <c r="Q65" s="20" t="s">
        <v>25</v>
      </c>
      <c r="R65" s="16">
        <v>182.69119978385854</v>
      </c>
      <c r="S65" s="16" t="s">
        <v>579</v>
      </c>
      <c r="T65" s="16" t="s">
        <v>608</v>
      </c>
      <c r="U65" s="16" t="s">
        <v>671</v>
      </c>
      <c r="V65" s="16"/>
      <c r="W65" s="16"/>
      <c r="X65" s="16"/>
      <c r="Y65" s="16"/>
      <c r="Z65" s="16"/>
      <c r="AA65" s="16"/>
      <c r="AB65" s="16"/>
      <c r="AC65" s="16"/>
      <c r="AD65" s="16"/>
      <c r="AE65" s="16"/>
      <c r="AF65" s="16"/>
      <c r="AG65" s="16"/>
      <c r="AH65" s="16"/>
      <c r="AI65" s="16"/>
      <c r="AJ65" s="16"/>
      <c r="AK65" s="16"/>
      <c r="AL65" s="16"/>
      <c r="AM65" s="16"/>
      <c r="AN65" s="16"/>
      <c r="AO65" s="16"/>
    </row>
    <row r="66" ht="12.75" customHeight="1">
      <c r="A66" s="19">
        <v>53.0</v>
      </c>
      <c r="B66" s="19" t="s">
        <v>24</v>
      </c>
      <c r="C66" s="19" t="s">
        <v>606</v>
      </c>
      <c r="D66" s="19" t="s">
        <v>672</v>
      </c>
      <c r="E66" s="16" t="s">
        <v>25</v>
      </c>
      <c r="F66" s="19">
        <v>2018.0</v>
      </c>
      <c r="G66" s="16" t="s">
        <v>578</v>
      </c>
      <c r="H66" s="20">
        <v>2005.0</v>
      </c>
      <c r="I66" s="20" t="s">
        <v>25</v>
      </c>
      <c r="J66" s="19">
        <v>2028000.0</v>
      </c>
      <c r="K66" s="19">
        <v>100.0</v>
      </c>
      <c r="L66" s="19">
        <v>2025.0</v>
      </c>
      <c r="M66" s="19">
        <v>40.0</v>
      </c>
      <c r="N66" s="20" t="s">
        <v>25</v>
      </c>
      <c r="O66" s="19">
        <v>1216800.0</v>
      </c>
      <c r="P66" s="19">
        <v>1222623.0</v>
      </c>
      <c r="Q66" s="20" t="s">
        <v>25</v>
      </c>
      <c r="R66" s="16">
        <v>99.28217455621302</v>
      </c>
      <c r="S66" s="16" t="s">
        <v>579</v>
      </c>
      <c r="T66" s="16" t="s">
        <v>608</v>
      </c>
      <c r="U66" s="16" t="s">
        <v>673</v>
      </c>
      <c r="V66" s="16"/>
      <c r="W66" s="16"/>
      <c r="X66" s="16"/>
      <c r="Y66" s="16"/>
      <c r="Z66" s="16"/>
      <c r="AA66" s="16"/>
      <c r="AB66" s="16"/>
      <c r="AC66" s="16"/>
      <c r="AD66" s="16"/>
      <c r="AE66" s="16"/>
      <c r="AF66" s="16"/>
      <c r="AG66" s="16"/>
      <c r="AH66" s="16"/>
      <c r="AI66" s="16"/>
      <c r="AJ66" s="16"/>
      <c r="AK66" s="16"/>
      <c r="AL66" s="16"/>
      <c r="AM66" s="16"/>
      <c r="AN66" s="16"/>
      <c r="AO66" s="16"/>
    </row>
    <row r="67" ht="12.75" customHeight="1">
      <c r="A67" s="19">
        <v>55.0</v>
      </c>
      <c r="B67" s="19" t="s">
        <v>24</v>
      </c>
      <c r="C67" s="19" t="s">
        <v>26</v>
      </c>
      <c r="D67" s="19" t="s">
        <v>582</v>
      </c>
      <c r="E67" s="16" t="s">
        <v>25</v>
      </c>
      <c r="F67" s="19">
        <v>2015.0</v>
      </c>
      <c r="G67" s="16" t="s">
        <v>578</v>
      </c>
      <c r="H67" s="20" t="s">
        <v>674</v>
      </c>
      <c r="I67" s="20" t="s">
        <v>25</v>
      </c>
      <c r="J67" s="19">
        <v>1364881.0</v>
      </c>
      <c r="K67" s="19">
        <v>100.0</v>
      </c>
      <c r="L67" s="19">
        <v>2020.0</v>
      </c>
      <c r="M67" s="19">
        <v>20.0</v>
      </c>
      <c r="N67" s="20" t="s">
        <v>25</v>
      </c>
      <c r="O67" s="19">
        <v>1091904.8</v>
      </c>
      <c r="P67" s="19">
        <v>933636.0</v>
      </c>
      <c r="Q67" s="20" t="s">
        <v>25</v>
      </c>
      <c r="R67" s="16">
        <v>157.97897399113918</v>
      </c>
      <c r="S67" s="16" t="s">
        <v>579</v>
      </c>
      <c r="T67" s="16" t="s">
        <v>608</v>
      </c>
      <c r="U67" s="16" t="s">
        <v>675</v>
      </c>
      <c r="V67" s="16"/>
      <c r="W67" s="16"/>
      <c r="X67" s="16"/>
      <c r="Y67" s="16"/>
      <c r="Z67" s="16"/>
      <c r="AA67" s="16"/>
      <c r="AB67" s="16"/>
      <c r="AC67" s="16"/>
      <c r="AD67" s="16"/>
      <c r="AE67" s="16"/>
      <c r="AF67" s="16"/>
      <c r="AG67" s="16"/>
      <c r="AH67" s="16"/>
      <c r="AI67" s="16"/>
      <c r="AJ67" s="16"/>
      <c r="AK67" s="16"/>
      <c r="AL67" s="16"/>
      <c r="AM67" s="16"/>
      <c r="AN67" s="16"/>
      <c r="AO67" s="16"/>
    </row>
    <row r="68" ht="12.75" customHeight="1">
      <c r="A68" s="19">
        <v>55.0</v>
      </c>
      <c r="B68" s="19" t="s">
        <v>24</v>
      </c>
      <c r="C68" s="19" t="s">
        <v>26</v>
      </c>
      <c r="D68" s="19" t="s">
        <v>582</v>
      </c>
      <c r="E68" s="16" t="s">
        <v>25</v>
      </c>
      <c r="F68" s="19">
        <v>2015.0</v>
      </c>
      <c r="G68" s="16" t="s">
        <v>578</v>
      </c>
      <c r="H68" s="20" t="s">
        <v>674</v>
      </c>
      <c r="I68" s="20" t="s">
        <v>25</v>
      </c>
      <c r="J68" s="19">
        <v>1364881.0</v>
      </c>
      <c r="K68" s="19">
        <v>100.0</v>
      </c>
      <c r="L68" s="19">
        <v>2050.0</v>
      </c>
      <c r="M68" s="19">
        <v>80.0</v>
      </c>
      <c r="N68" s="20" t="s">
        <v>25</v>
      </c>
      <c r="O68" s="19">
        <v>272976.2</v>
      </c>
      <c r="P68" s="19">
        <v>933636.0</v>
      </c>
      <c r="Q68" s="20" t="s">
        <v>25</v>
      </c>
      <c r="R68" s="16">
        <v>39.49474349778478</v>
      </c>
      <c r="S68" s="16" t="s">
        <v>579</v>
      </c>
      <c r="T68" s="16" t="s">
        <v>608</v>
      </c>
      <c r="U68" s="16" t="s">
        <v>676</v>
      </c>
      <c r="V68" s="16"/>
      <c r="W68" s="16"/>
      <c r="X68" s="16"/>
      <c r="Y68" s="16"/>
      <c r="Z68" s="16"/>
      <c r="AA68" s="16"/>
      <c r="AB68" s="16"/>
      <c r="AC68" s="16"/>
      <c r="AD68" s="16"/>
      <c r="AE68" s="16"/>
      <c r="AF68" s="16"/>
      <c r="AG68" s="16"/>
      <c r="AH68" s="16"/>
      <c r="AI68" s="16"/>
      <c r="AJ68" s="16"/>
      <c r="AK68" s="16"/>
      <c r="AL68" s="16"/>
      <c r="AM68" s="16"/>
      <c r="AN68" s="16"/>
      <c r="AO68" s="16"/>
    </row>
    <row r="69" ht="12.75" customHeight="1">
      <c r="A69" s="19">
        <v>56.0</v>
      </c>
      <c r="B69" s="19" t="s">
        <v>24</v>
      </c>
      <c r="C69" s="19" t="s">
        <v>26</v>
      </c>
      <c r="D69" s="19" t="s">
        <v>582</v>
      </c>
      <c r="E69" s="16" t="s">
        <v>25</v>
      </c>
      <c r="F69" s="19">
        <v>2008.0</v>
      </c>
      <c r="G69" s="16" t="s">
        <v>578</v>
      </c>
      <c r="H69" s="20">
        <v>2005.0</v>
      </c>
      <c r="I69" s="20" t="s">
        <v>25</v>
      </c>
      <c r="J69" s="19">
        <v>1392704.0</v>
      </c>
      <c r="K69" s="19">
        <v>100.0</v>
      </c>
      <c r="L69" s="19">
        <v>2020.0</v>
      </c>
      <c r="M69" s="19">
        <v>50.0</v>
      </c>
      <c r="N69" s="20" t="s">
        <v>25</v>
      </c>
      <c r="O69" s="19">
        <v>696352.0</v>
      </c>
      <c r="P69" s="19">
        <v>637798.0</v>
      </c>
      <c r="Q69" s="20" t="s">
        <v>25</v>
      </c>
      <c r="R69" s="16">
        <v>108.40867836956023</v>
      </c>
      <c r="S69" s="16" t="s">
        <v>677</v>
      </c>
      <c r="T69" s="16"/>
      <c r="U69" s="16" t="s">
        <v>678</v>
      </c>
      <c r="V69" s="16"/>
      <c r="W69" s="16"/>
      <c r="X69" s="16"/>
      <c r="Y69" s="16"/>
      <c r="Z69" s="16"/>
      <c r="AA69" s="16"/>
      <c r="AB69" s="16"/>
      <c r="AC69" s="16"/>
      <c r="AD69" s="16"/>
      <c r="AE69" s="16"/>
      <c r="AF69" s="16"/>
      <c r="AG69" s="16"/>
      <c r="AH69" s="16"/>
      <c r="AI69" s="16"/>
      <c r="AJ69" s="16"/>
      <c r="AK69" s="16"/>
      <c r="AL69" s="16"/>
      <c r="AM69" s="16"/>
      <c r="AN69" s="16"/>
      <c r="AO69" s="16"/>
    </row>
    <row r="70" ht="12.75" customHeight="1">
      <c r="A70" s="19">
        <v>59.0</v>
      </c>
      <c r="B70" s="19" t="s">
        <v>24</v>
      </c>
      <c r="C70" s="19" t="s">
        <v>26</v>
      </c>
      <c r="D70" s="19" t="s">
        <v>577</v>
      </c>
      <c r="E70" s="16" t="s">
        <v>25</v>
      </c>
      <c r="F70" s="19">
        <v>2012.0</v>
      </c>
      <c r="G70" s="16" t="s">
        <v>578</v>
      </c>
      <c r="H70" s="20" t="s">
        <v>674</v>
      </c>
      <c r="I70" s="20" t="s">
        <v>25</v>
      </c>
      <c r="J70" s="19">
        <v>1271358.0</v>
      </c>
      <c r="K70" s="19">
        <v>96.0</v>
      </c>
      <c r="L70" s="19">
        <v>2020.0</v>
      </c>
      <c r="M70" s="19">
        <v>35.0</v>
      </c>
      <c r="N70" s="20" t="s">
        <v>25</v>
      </c>
      <c r="O70" s="19">
        <v>826382.7</v>
      </c>
      <c r="P70" s="19">
        <v>771435.0</v>
      </c>
      <c r="Q70" s="20" t="s">
        <v>25</v>
      </c>
      <c r="R70" s="16">
        <v>112.34848316299801</v>
      </c>
      <c r="S70" s="16" t="s">
        <v>592</v>
      </c>
      <c r="T70" s="16" t="s">
        <v>608</v>
      </c>
      <c r="U70" s="16" t="s">
        <v>679</v>
      </c>
      <c r="V70" s="16"/>
      <c r="W70" s="16"/>
      <c r="X70" s="16"/>
      <c r="Y70" s="16"/>
      <c r="Z70" s="16"/>
      <c r="AA70" s="16"/>
      <c r="AB70" s="16"/>
      <c r="AC70" s="16"/>
      <c r="AD70" s="16"/>
      <c r="AE70" s="16"/>
      <c r="AF70" s="16"/>
      <c r="AG70" s="16"/>
      <c r="AH70" s="16"/>
      <c r="AI70" s="16"/>
      <c r="AJ70" s="16"/>
      <c r="AK70" s="16"/>
      <c r="AL70" s="16"/>
      <c r="AM70" s="16"/>
      <c r="AN70" s="16"/>
      <c r="AO70" s="16"/>
    </row>
    <row r="71" ht="12.75" customHeight="1">
      <c r="A71" s="19">
        <v>60.0</v>
      </c>
      <c r="B71" s="19" t="s">
        <v>24</v>
      </c>
      <c r="C71" s="19" t="s">
        <v>26</v>
      </c>
      <c r="D71" s="19" t="s">
        <v>577</v>
      </c>
      <c r="E71" s="16" t="s">
        <v>25</v>
      </c>
      <c r="F71" s="19">
        <v>2019.0</v>
      </c>
      <c r="G71" s="16" t="s">
        <v>578</v>
      </c>
      <c r="H71" s="20">
        <v>2016.0</v>
      </c>
      <c r="I71" s="20" t="s">
        <v>25</v>
      </c>
      <c r="J71" s="19">
        <v>2710148.0</v>
      </c>
      <c r="K71" s="19">
        <v>100.0</v>
      </c>
      <c r="L71" s="19">
        <v>2030.0</v>
      </c>
      <c r="M71" s="19">
        <v>40.0</v>
      </c>
      <c r="N71" s="20" t="s">
        <v>25</v>
      </c>
      <c r="O71" s="19">
        <v>1626088.8</v>
      </c>
      <c r="P71" s="19">
        <v>2108505.0</v>
      </c>
      <c r="Q71" s="20" t="s">
        <v>25</v>
      </c>
      <c r="R71" s="16">
        <v>55.499090824560135</v>
      </c>
      <c r="S71" s="16" t="s">
        <v>579</v>
      </c>
      <c r="T71" s="16" t="s">
        <v>595</v>
      </c>
      <c r="U71" s="16" t="s">
        <v>680</v>
      </c>
      <c r="V71" s="16"/>
      <c r="W71" s="16"/>
      <c r="X71" s="16"/>
      <c r="Y71" s="16"/>
      <c r="Z71" s="16"/>
      <c r="AA71" s="16"/>
      <c r="AB71" s="16"/>
      <c r="AC71" s="16"/>
      <c r="AD71" s="16"/>
      <c r="AE71" s="16"/>
      <c r="AF71" s="16"/>
      <c r="AG71" s="16"/>
      <c r="AH71" s="16"/>
      <c r="AI71" s="16"/>
      <c r="AJ71" s="16"/>
      <c r="AK71" s="16"/>
      <c r="AL71" s="16"/>
      <c r="AM71" s="16"/>
      <c r="AN71" s="16"/>
      <c r="AO71" s="16"/>
    </row>
    <row r="72" ht="12.75" customHeight="1">
      <c r="A72" s="19">
        <v>61.0</v>
      </c>
      <c r="B72" s="19" t="s">
        <v>24</v>
      </c>
      <c r="C72" s="19" t="s">
        <v>26</v>
      </c>
      <c r="D72" s="19" t="s">
        <v>577</v>
      </c>
      <c r="E72" s="16" t="s">
        <v>25</v>
      </c>
      <c r="F72" s="19">
        <v>2018.0</v>
      </c>
      <c r="G72" s="16" t="s">
        <v>578</v>
      </c>
      <c r="H72" s="20">
        <v>2016.0</v>
      </c>
      <c r="I72" s="20" t="s">
        <v>25</v>
      </c>
      <c r="J72" s="19">
        <v>99214.39</v>
      </c>
      <c r="K72" s="19">
        <v>100.0</v>
      </c>
      <c r="L72" s="19">
        <v>2025.0</v>
      </c>
      <c r="M72" s="19">
        <v>38.0</v>
      </c>
      <c r="N72" s="20" t="s">
        <v>25</v>
      </c>
      <c r="O72" s="19">
        <v>61512.9218</v>
      </c>
      <c r="P72" s="19">
        <v>56898.96</v>
      </c>
      <c r="Q72" s="20" t="s">
        <v>25</v>
      </c>
      <c r="R72" s="16">
        <v>112.23814885808612</v>
      </c>
      <c r="S72" s="16" t="s">
        <v>579</v>
      </c>
      <c r="T72" s="16" t="s">
        <v>586</v>
      </c>
      <c r="U72" s="16" t="s">
        <v>681</v>
      </c>
      <c r="V72" s="16"/>
      <c r="W72" s="16"/>
      <c r="X72" s="16"/>
      <c r="Y72" s="16"/>
      <c r="Z72" s="16"/>
      <c r="AA72" s="16"/>
      <c r="AB72" s="16"/>
      <c r="AC72" s="16"/>
      <c r="AD72" s="16"/>
      <c r="AE72" s="16"/>
      <c r="AF72" s="16"/>
      <c r="AG72" s="16"/>
      <c r="AH72" s="16"/>
      <c r="AI72" s="16"/>
      <c r="AJ72" s="16"/>
      <c r="AK72" s="16"/>
      <c r="AL72" s="16"/>
      <c r="AM72" s="16"/>
      <c r="AN72" s="16"/>
      <c r="AO72" s="16"/>
    </row>
    <row r="73" ht="12.75" customHeight="1">
      <c r="A73" s="19">
        <v>61.0</v>
      </c>
      <c r="B73" s="19" t="s">
        <v>24</v>
      </c>
      <c r="C73" s="19" t="s">
        <v>590</v>
      </c>
      <c r="D73" s="19" t="s">
        <v>600</v>
      </c>
      <c r="E73" s="16" t="s">
        <v>25</v>
      </c>
      <c r="F73" s="19">
        <v>2018.0</v>
      </c>
      <c r="G73" s="16" t="s">
        <v>578</v>
      </c>
      <c r="H73" s="20">
        <v>2016.0</v>
      </c>
      <c r="I73" s="20" t="s">
        <v>25</v>
      </c>
      <c r="J73" s="19">
        <v>848977.95</v>
      </c>
      <c r="K73" s="19">
        <v>100.0</v>
      </c>
      <c r="L73" s="19">
        <v>2025.0</v>
      </c>
      <c r="M73" s="19">
        <v>20.0</v>
      </c>
      <c r="N73" s="20" t="s">
        <v>25</v>
      </c>
      <c r="O73" s="19">
        <v>679182.36</v>
      </c>
      <c r="P73" s="19">
        <v>503012.19</v>
      </c>
      <c r="Q73" s="20" t="s">
        <v>25</v>
      </c>
      <c r="R73" s="16">
        <v>203.75426711612477</v>
      </c>
      <c r="S73" s="16" t="s">
        <v>579</v>
      </c>
      <c r="T73" s="16" t="s">
        <v>586</v>
      </c>
      <c r="U73" s="16" t="s">
        <v>682</v>
      </c>
      <c r="V73" s="16"/>
      <c r="W73" s="16"/>
      <c r="X73" s="16"/>
      <c r="Y73" s="16"/>
      <c r="Z73" s="16"/>
      <c r="AA73" s="16"/>
      <c r="AB73" s="16"/>
      <c r="AC73" s="16"/>
      <c r="AD73" s="16"/>
      <c r="AE73" s="16"/>
      <c r="AF73" s="16"/>
      <c r="AG73" s="16"/>
      <c r="AH73" s="16"/>
      <c r="AI73" s="16"/>
      <c r="AJ73" s="16"/>
      <c r="AK73" s="16"/>
      <c r="AL73" s="16"/>
      <c r="AM73" s="16"/>
      <c r="AN73" s="16"/>
      <c r="AO73" s="16"/>
    </row>
    <row r="74" ht="12.75" customHeight="1">
      <c r="A74" s="19">
        <v>62.0</v>
      </c>
      <c r="B74" s="19" t="s">
        <v>24</v>
      </c>
      <c r="C74" s="19" t="s">
        <v>606</v>
      </c>
      <c r="D74" s="19" t="s">
        <v>683</v>
      </c>
      <c r="E74" s="16" t="s">
        <v>25</v>
      </c>
      <c r="F74" s="19">
        <v>2018.0</v>
      </c>
      <c r="G74" s="16" t="s">
        <v>578</v>
      </c>
      <c r="H74" s="20">
        <v>2015.0</v>
      </c>
      <c r="I74" s="20" t="s">
        <v>25</v>
      </c>
      <c r="J74" s="19">
        <v>8446246.48</v>
      </c>
      <c r="K74" s="19">
        <v>100.0</v>
      </c>
      <c r="L74" s="19">
        <v>2030.0</v>
      </c>
      <c r="M74" s="19">
        <v>36.0</v>
      </c>
      <c r="N74" s="20" t="s">
        <v>25</v>
      </c>
      <c r="O74" s="19">
        <v>5405597.7472</v>
      </c>
      <c r="P74" s="19">
        <v>8132508.36</v>
      </c>
      <c r="Q74" s="20" t="s">
        <v>25</v>
      </c>
      <c r="R74" s="16">
        <v>10.318131016439128</v>
      </c>
      <c r="S74" s="16" t="s">
        <v>579</v>
      </c>
      <c r="T74" s="16" t="s">
        <v>586</v>
      </c>
      <c r="U74" s="16" t="s">
        <v>684</v>
      </c>
      <c r="V74" s="16"/>
      <c r="W74" s="16"/>
      <c r="X74" s="16"/>
      <c r="Y74" s="16"/>
      <c r="Z74" s="16"/>
      <c r="AA74" s="16"/>
      <c r="AB74" s="16"/>
      <c r="AC74" s="16"/>
      <c r="AD74" s="16"/>
      <c r="AE74" s="16"/>
      <c r="AF74" s="16"/>
      <c r="AG74" s="16"/>
      <c r="AH74" s="16"/>
      <c r="AI74" s="16"/>
      <c r="AJ74" s="16"/>
      <c r="AK74" s="16"/>
      <c r="AL74" s="16"/>
      <c r="AM74" s="16"/>
      <c r="AN74" s="16"/>
      <c r="AO74" s="16"/>
    </row>
    <row r="75" ht="12.75" customHeight="1">
      <c r="A75" s="19">
        <v>64.0</v>
      </c>
      <c r="B75" s="19" t="s">
        <v>24</v>
      </c>
      <c r="C75" s="19" t="s">
        <v>26</v>
      </c>
      <c r="D75" s="19" t="s">
        <v>582</v>
      </c>
      <c r="E75" s="16" t="s">
        <v>25</v>
      </c>
      <c r="F75" s="19">
        <v>2016.0</v>
      </c>
      <c r="G75" s="16"/>
      <c r="H75" s="20">
        <v>2015.0</v>
      </c>
      <c r="I75" s="20" t="s">
        <v>25</v>
      </c>
      <c r="J75" s="19">
        <v>1458970.0</v>
      </c>
      <c r="K75" s="19">
        <v>100.0</v>
      </c>
      <c r="L75" s="19">
        <v>2025.0</v>
      </c>
      <c r="M75" s="19">
        <v>40.0</v>
      </c>
      <c r="N75" s="20" t="s">
        <v>25</v>
      </c>
      <c r="O75" s="19">
        <v>875382.0</v>
      </c>
      <c r="P75" s="19">
        <v>1071970.0</v>
      </c>
      <c r="Q75" s="20" t="s">
        <v>25</v>
      </c>
      <c r="R75" s="16">
        <v>66.31390638601205</v>
      </c>
      <c r="S75" s="16" t="s">
        <v>579</v>
      </c>
      <c r="T75" s="16" t="s">
        <v>608</v>
      </c>
      <c r="U75" s="16" t="s">
        <v>685</v>
      </c>
      <c r="V75" s="16"/>
      <c r="W75" s="16"/>
      <c r="X75" s="16"/>
      <c r="Y75" s="16"/>
      <c r="Z75" s="16"/>
      <c r="AA75" s="16"/>
      <c r="AB75" s="16"/>
      <c r="AC75" s="16"/>
      <c r="AD75" s="16"/>
      <c r="AE75" s="16"/>
      <c r="AF75" s="16"/>
      <c r="AG75" s="16"/>
      <c r="AH75" s="16"/>
      <c r="AI75" s="16"/>
      <c r="AJ75" s="16"/>
      <c r="AK75" s="16"/>
      <c r="AL75" s="16"/>
      <c r="AM75" s="16"/>
      <c r="AN75" s="16"/>
      <c r="AO75" s="16"/>
    </row>
    <row r="76" ht="12.75" customHeight="1">
      <c r="A76" s="19">
        <v>65.0</v>
      </c>
      <c r="B76" s="19" t="s">
        <v>24</v>
      </c>
      <c r="C76" s="19" t="s">
        <v>26</v>
      </c>
      <c r="D76" s="19" t="s">
        <v>658</v>
      </c>
      <c r="E76" s="16" t="s">
        <v>25</v>
      </c>
      <c r="F76" s="19">
        <v>2015.0</v>
      </c>
      <c r="G76" s="16" t="s">
        <v>578</v>
      </c>
      <c r="H76" s="20">
        <v>2012.0</v>
      </c>
      <c r="I76" s="20" t="s">
        <v>25</v>
      </c>
      <c r="J76" s="19">
        <v>176955.0</v>
      </c>
      <c r="K76" s="19">
        <v>100.0</v>
      </c>
      <c r="L76" s="19">
        <v>2020.0</v>
      </c>
      <c r="M76" s="19">
        <v>10.0</v>
      </c>
      <c r="N76" s="20" t="s">
        <v>25</v>
      </c>
      <c r="O76" s="19">
        <v>159259.5</v>
      </c>
      <c r="P76" s="19">
        <v>129852.0</v>
      </c>
      <c r="Q76" s="20" t="s">
        <v>25</v>
      </c>
      <c r="R76" s="16">
        <v>266.186318555565</v>
      </c>
      <c r="S76" s="16" t="s">
        <v>592</v>
      </c>
      <c r="T76" s="16" t="s">
        <v>595</v>
      </c>
      <c r="U76" s="16" t="s">
        <v>686</v>
      </c>
      <c r="V76" s="16"/>
      <c r="W76" s="16"/>
      <c r="X76" s="16"/>
      <c r="Y76" s="16"/>
      <c r="Z76" s="16"/>
      <c r="AA76" s="16"/>
      <c r="AB76" s="16"/>
      <c r="AC76" s="16"/>
      <c r="AD76" s="16"/>
      <c r="AE76" s="16"/>
      <c r="AF76" s="16"/>
      <c r="AG76" s="16"/>
      <c r="AH76" s="16"/>
      <c r="AI76" s="16"/>
      <c r="AJ76" s="16"/>
      <c r="AK76" s="16"/>
      <c r="AL76" s="16"/>
      <c r="AM76" s="16"/>
      <c r="AN76" s="16"/>
      <c r="AO76" s="16"/>
    </row>
    <row r="77" ht="12.75" customHeight="1">
      <c r="A77" s="19">
        <v>65.0</v>
      </c>
      <c r="B77" s="19" t="s">
        <v>24</v>
      </c>
      <c r="C77" s="19" t="s">
        <v>606</v>
      </c>
      <c r="D77" s="19" t="s">
        <v>585</v>
      </c>
      <c r="E77" s="16" t="s">
        <v>25</v>
      </c>
      <c r="F77" s="19">
        <v>2015.0</v>
      </c>
      <c r="G77" s="16" t="s">
        <v>578</v>
      </c>
      <c r="H77" s="20">
        <v>2019.0</v>
      </c>
      <c r="I77" s="20" t="s">
        <v>25</v>
      </c>
      <c r="J77" s="19">
        <v>129852.0</v>
      </c>
      <c r="K77" s="19">
        <v>100.0</v>
      </c>
      <c r="L77" s="19">
        <v>2019.0</v>
      </c>
      <c r="M77" s="19">
        <v>100.0</v>
      </c>
      <c r="N77" s="20" t="s">
        <v>25</v>
      </c>
      <c r="O77" s="19">
        <v>0.0</v>
      </c>
      <c r="P77" s="19">
        <v>129852.0</v>
      </c>
      <c r="Q77" s="20" t="s">
        <v>25</v>
      </c>
      <c r="R77" s="16">
        <v>0.0</v>
      </c>
      <c r="S77" s="16" t="s">
        <v>592</v>
      </c>
      <c r="T77" s="16" t="s">
        <v>608</v>
      </c>
      <c r="U77" s="16" t="s">
        <v>687</v>
      </c>
      <c r="V77" s="16"/>
      <c r="W77" s="16"/>
      <c r="X77" s="16"/>
      <c r="Y77" s="16"/>
      <c r="Z77" s="16"/>
      <c r="AA77" s="16"/>
      <c r="AB77" s="16"/>
      <c r="AC77" s="16"/>
      <c r="AD77" s="16"/>
      <c r="AE77" s="16"/>
      <c r="AF77" s="16"/>
      <c r="AG77" s="16"/>
      <c r="AH77" s="16"/>
      <c r="AI77" s="16"/>
      <c r="AJ77" s="16"/>
      <c r="AK77" s="16"/>
      <c r="AL77" s="16"/>
      <c r="AM77" s="16"/>
      <c r="AN77" s="16"/>
      <c r="AO77" s="16"/>
    </row>
    <row r="78" ht="12.75" customHeight="1">
      <c r="A78" s="19">
        <v>66.0</v>
      </c>
      <c r="B78" s="19" t="s">
        <v>24</v>
      </c>
      <c r="C78" s="19" t="s">
        <v>606</v>
      </c>
      <c r="D78" s="19" t="s">
        <v>688</v>
      </c>
      <c r="E78" s="16" t="s">
        <v>25</v>
      </c>
      <c r="F78" s="19">
        <v>2013.0</v>
      </c>
      <c r="G78" s="16" t="s">
        <v>578</v>
      </c>
      <c r="H78" s="20">
        <v>2018.0</v>
      </c>
      <c r="I78" s="20" t="s">
        <v>25</v>
      </c>
      <c r="J78" s="19">
        <v>0.01</v>
      </c>
      <c r="K78" s="19">
        <v>100.0</v>
      </c>
      <c r="L78" s="19">
        <v>2019.0</v>
      </c>
      <c r="M78" s="19">
        <v>100.0</v>
      </c>
      <c r="N78" s="20" t="s">
        <v>25</v>
      </c>
      <c r="O78" s="19">
        <v>0.0</v>
      </c>
      <c r="P78" s="19">
        <v>0.0</v>
      </c>
      <c r="Q78" s="20" t="s">
        <v>25</v>
      </c>
      <c r="R78" s="16">
        <v>100.0</v>
      </c>
      <c r="S78" s="16" t="s">
        <v>592</v>
      </c>
      <c r="T78" s="16" t="s">
        <v>593</v>
      </c>
      <c r="U78" s="16" t="s">
        <v>689</v>
      </c>
      <c r="V78" s="16"/>
      <c r="W78" s="16"/>
      <c r="X78" s="16"/>
      <c r="Y78" s="16"/>
      <c r="Z78" s="16"/>
      <c r="AA78" s="16"/>
      <c r="AB78" s="16"/>
      <c r="AC78" s="16"/>
      <c r="AD78" s="16"/>
      <c r="AE78" s="16"/>
      <c r="AF78" s="16"/>
      <c r="AG78" s="16"/>
      <c r="AH78" s="16"/>
      <c r="AI78" s="16"/>
      <c r="AJ78" s="16"/>
      <c r="AK78" s="16"/>
      <c r="AL78" s="16"/>
      <c r="AM78" s="16"/>
      <c r="AN78" s="16"/>
      <c r="AO78" s="16"/>
    </row>
    <row r="79" ht="12.75" customHeight="1">
      <c r="A79" s="19">
        <v>66.0</v>
      </c>
      <c r="B79" s="19" t="s">
        <v>24</v>
      </c>
      <c r="C79" s="19" t="s">
        <v>26</v>
      </c>
      <c r="D79" s="19" t="s">
        <v>582</v>
      </c>
      <c r="E79" s="16" t="s">
        <v>25</v>
      </c>
      <c r="F79" s="19">
        <v>2017.0</v>
      </c>
      <c r="G79" s="16" t="s">
        <v>578</v>
      </c>
      <c r="H79" s="20">
        <v>2013.0</v>
      </c>
      <c r="I79" s="20" t="s">
        <v>25</v>
      </c>
      <c r="J79" s="19">
        <v>920143.0</v>
      </c>
      <c r="K79" s="19">
        <v>100.0</v>
      </c>
      <c r="L79" s="19">
        <v>2030.0</v>
      </c>
      <c r="M79" s="19">
        <v>75.0</v>
      </c>
      <c r="N79" s="20" t="s">
        <v>25</v>
      </c>
      <c r="O79" s="19">
        <v>230035.75</v>
      </c>
      <c r="P79" s="19">
        <v>388787.0</v>
      </c>
      <c r="Q79" s="20" t="s">
        <v>25</v>
      </c>
      <c r="R79" s="16">
        <v>76.99614806249319</v>
      </c>
      <c r="S79" s="16" t="s">
        <v>579</v>
      </c>
      <c r="T79" s="16" t="s">
        <v>608</v>
      </c>
      <c r="U79" s="16" t="s">
        <v>690</v>
      </c>
      <c r="V79" s="16"/>
      <c r="W79" s="16"/>
      <c r="X79" s="16"/>
      <c r="Y79" s="16"/>
      <c r="Z79" s="16"/>
      <c r="AA79" s="16"/>
      <c r="AB79" s="16"/>
      <c r="AC79" s="16"/>
      <c r="AD79" s="16"/>
      <c r="AE79" s="16"/>
      <c r="AF79" s="16"/>
      <c r="AG79" s="16"/>
      <c r="AH79" s="16"/>
      <c r="AI79" s="16"/>
      <c r="AJ79" s="16"/>
      <c r="AK79" s="16"/>
      <c r="AL79" s="16"/>
      <c r="AM79" s="16"/>
      <c r="AN79" s="16"/>
      <c r="AO79" s="16"/>
    </row>
    <row r="80" ht="12.75" customHeight="1">
      <c r="A80" s="19">
        <v>66.0</v>
      </c>
      <c r="B80" s="19" t="s">
        <v>24</v>
      </c>
      <c r="C80" s="19" t="s">
        <v>26</v>
      </c>
      <c r="D80" s="19" t="s">
        <v>582</v>
      </c>
      <c r="E80" s="16" t="s">
        <v>25</v>
      </c>
      <c r="F80" s="19">
        <v>2017.0</v>
      </c>
      <c r="G80" s="16" t="s">
        <v>578</v>
      </c>
      <c r="H80" s="20">
        <v>2013.0</v>
      </c>
      <c r="I80" s="20" t="s">
        <v>25</v>
      </c>
      <c r="J80" s="19">
        <v>920143.0</v>
      </c>
      <c r="K80" s="19">
        <v>100.0</v>
      </c>
      <c r="L80" s="19">
        <v>2045.0</v>
      </c>
      <c r="M80" s="19">
        <v>75.0</v>
      </c>
      <c r="N80" s="20" t="s">
        <v>25</v>
      </c>
      <c r="O80" s="19">
        <v>230035.75</v>
      </c>
      <c r="P80" s="19">
        <v>388787.0</v>
      </c>
      <c r="Q80" s="20" t="s">
        <v>25</v>
      </c>
      <c r="R80" s="16">
        <v>76.99614806249319</v>
      </c>
      <c r="S80" s="16" t="s">
        <v>579</v>
      </c>
      <c r="T80" s="16" t="s">
        <v>608</v>
      </c>
      <c r="U80" s="16" t="s">
        <v>691</v>
      </c>
      <c r="V80" s="16"/>
      <c r="W80" s="16"/>
      <c r="X80" s="16"/>
      <c r="Y80" s="16"/>
      <c r="Z80" s="16"/>
      <c r="AA80" s="16"/>
      <c r="AB80" s="16"/>
      <c r="AC80" s="16"/>
      <c r="AD80" s="16"/>
      <c r="AE80" s="16"/>
      <c r="AF80" s="16"/>
      <c r="AG80" s="16"/>
      <c r="AH80" s="16"/>
      <c r="AI80" s="16"/>
      <c r="AJ80" s="16"/>
      <c r="AK80" s="16"/>
      <c r="AL80" s="16"/>
      <c r="AM80" s="16"/>
      <c r="AN80" s="16"/>
      <c r="AO80" s="16"/>
    </row>
    <row r="81" ht="12.75" customHeight="1">
      <c r="A81" s="19">
        <v>67.0</v>
      </c>
      <c r="B81" s="19" t="s">
        <v>24</v>
      </c>
      <c r="C81" s="19" t="s">
        <v>26</v>
      </c>
      <c r="D81" s="19" t="s">
        <v>582</v>
      </c>
      <c r="E81" s="16" t="s">
        <v>25</v>
      </c>
      <c r="F81" s="19">
        <v>2015.0</v>
      </c>
      <c r="G81" s="16" t="s">
        <v>578</v>
      </c>
      <c r="H81" s="20">
        <v>2013.0</v>
      </c>
      <c r="I81" s="20" t="s">
        <v>25</v>
      </c>
      <c r="J81" s="19">
        <v>1566367.0</v>
      </c>
      <c r="K81" s="19">
        <v>90.0</v>
      </c>
      <c r="L81" s="19">
        <v>2020.0</v>
      </c>
      <c r="M81" s="19">
        <v>15.0</v>
      </c>
      <c r="N81" s="20" t="s">
        <v>25</v>
      </c>
      <c r="O81" s="19">
        <v>1331411.95</v>
      </c>
      <c r="P81" s="19">
        <v>1336793.0</v>
      </c>
      <c r="Q81" s="20" t="s">
        <v>25</v>
      </c>
      <c r="R81" s="16">
        <v>97.70975341879222</v>
      </c>
      <c r="S81" s="16" t="s">
        <v>592</v>
      </c>
      <c r="T81" s="16" t="s">
        <v>608</v>
      </c>
      <c r="U81" s="16" t="s">
        <v>692</v>
      </c>
      <c r="V81" s="16"/>
      <c r="W81" s="16"/>
      <c r="X81" s="16"/>
      <c r="Y81" s="16"/>
      <c r="Z81" s="16"/>
      <c r="AA81" s="16"/>
      <c r="AB81" s="16"/>
      <c r="AC81" s="16"/>
      <c r="AD81" s="16"/>
      <c r="AE81" s="16"/>
      <c r="AF81" s="16"/>
      <c r="AG81" s="16"/>
      <c r="AH81" s="16"/>
      <c r="AI81" s="16"/>
      <c r="AJ81" s="16"/>
      <c r="AK81" s="16"/>
      <c r="AL81" s="16"/>
      <c r="AM81" s="16"/>
      <c r="AN81" s="16"/>
      <c r="AO81" s="16"/>
    </row>
    <row r="82" ht="12.75" customHeight="1">
      <c r="A82" s="19">
        <v>67.0</v>
      </c>
      <c r="B82" s="19" t="s">
        <v>24</v>
      </c>
      <c r="C82" s="19" t="s">
        <v>606</v>
      </c>
      <c r="D82" s="19" t="s">
        <v>649</v>
      </c>
      <c r="E82" s="16" t="s">
        <v>25</v>
      </c>
      <c r="F82" s="19">
        <v>2019.0</v>
      </c>
      <c r="G82" s="16" t="s">
        <v>578</v>
      </c>
      <c r="H82" s="20">
        <v>2018.0</v>
      </c>
      <c r="I82" s="20" t="s">
        <v>25</v>
      </c>
      <c r="J82" s="19">
        <v>1.890334E7</v>
      </c>
      <c r="K82" s="19">
        <v>80.0</v>
      </c>
      <c r="L82" s="19">
        <v>2025.0</v>
      </c>
      <c r="M82" s="19">
        <v>10.0</v>
      </c>
      <c r="N82" s="20" t="s">
        <v>25</v>
      </c>
      <c r="O82" s="19">
        <v>1.7013006E7</v>
      </c>
      <c r="P82" s="19"/>
      <c r="Q82" s="20" t="s">
        <v>25</v>
      </c>
      <c r="R82" s="16">
        <v>1000.0</v>
      </c>
      <c r="S82" s="16" t="s">
        <v>603</v>
      </c>
      <c r="T82" s="16" t="s">
        <v>586</v>
      </c>
      <c r="U82" s="16" t="s">
        <v>693</v>
      </c>
      <c r="V82" s="16"/>
      <c r="W82" s="16"/>
      <c r="X82" s="16"/>
      <c r="Y82" s="16"/>
      <c r="Z82" s="16"/>
      <c r="AA82" s="16"/>
      <c r="AB82" s="16"/>
      <c r="AC82" s="16"/>
      <c r="AD82" s="16"/>
      <c r="AE82" s="16"/>
      <c r="AF82" s="16"/>
      <c r="AG82" s="16"/>
      <c r="AH82" s="16"/>
      <c r="AI82" s="16"/>
      <c r="AJ82" s="16"/>
      <c r="AK82" s="16"/>
      <c r="AL82" s="16"/>
      <c r="AM82" s="16"/>
      <c r="AN82" s="16"/>
      <c r="AO82" s="16"/>
    </row>
    <row r="83" ht="12.75" customHeight="1">
      <c r="A83" s="19">
        <v>68.0</v>
      </c>
      <c r="B83" s="19" t="s">
        <v>24</v>
      </c>
      <c r="C83" s="19" t="s">
        <v>606</v>
      </c>
      <c r="D83" s="19" t="s">
        <v>694</v>
      </c>
      <c r="E83" s="16" t="s">
        <v>25</v>
      </c>
      <c r="F83" s="19">
        <v>2017.0</v>
      </c>
      <c r="G83" s="16" t="s">
        <v>578</v>
      </c>
      <c r="H83" s="20">
        <v>2012.0</v>
      </c>
      <c r="I83" s="20" t="s">
        <v>25</v>
      </c>
      <c r="J83" s="19">
        <v>465350.0</v>
      </c>
      <c r="K83" s="19">
        <v>100.0</v>
      </c>
      <c r="L83" s="19">
        <v>2022.0</v>
      </c>
      <c r="M83" s="19">
        <v>100.0</v>
      </c>
      <c r="N83" s="20" t="s">
        <v>25</v>
      </c>
      <c r="O83" s="19">
        <v>0.0</v>
      </c>
      <c r="P83" s="19">
        <v>304200.0</v>
      </c>
      <c r="Q83" s="20" t="s">
        <v>25</v>
      </c>
      <c r="R83" s="16">
        <v>34.62984850112819</v>
      </c>
      <c r="S83" s="16" t="s">
        <v>579</v>
      </c>
      <c r="T83" s="16" t="s">
        <v>593</v>
      </c>
      <c r="U83" s="16" t="s">
        <v>695</v>
      </c>
      <c r="V83" s="16"/>
      <c r="W83" s="16"/>
      <c r="X83" s="16"/>
      <c r="Y83" s="16"/>
      <c r="Z83" s="16"/>
      <c r="AA83" s="16"/>
      <c r="AB83" s="16"/>
      <c r="AC83" s="16"/>
      <c r="AD83" s="16"/>
      <c r="AE83" s="16"/>
      <c r="AF83" s="16"/>
      <c r="AG83" s="16"/>
      <c r="AH83" s="16"/>
      <c r="AI83" s="16"/>
      <c r="AJ83" s="16"/>
      <c r="AK83" s="16"/>
      <c r="AL83" s="16"/>
      <c r="AM83" s="16"/>
      <c r="AN83" s="16"/>
      <c r="AO83" s="16"/>
    </row>
    <row r="84" ht="12.75" customHeight="1">
      <c r="A84" s="19">
        <v>68.0</v>
      </c>
      <c r="B84" s="19" t="s">
        <v>24</v>
      </c>
      <c r="C84" s="19" t="s">
        <v>26</v>
      </c>
      <c r="D84" s="19" t="s">
        <v>582</v>
      </c>
      <c r="E84" s="16" t="s">
        <v>25</v>
      </c>
      <c r="F84" s="19">
        <v>2017.0</v>
      </c>
      <c r="G84" s="16" t="s">
        <v>578</v>
      </c>
      <c r="H84" s="20">
        <v>2012.0</v>
      </c>
      <c r="I84" s="20" t="s">
        <v>25</v>
      </c>
      <c r="J84" s="19">
        <v>357990.0</v>
      </c>
      <c r="K84" s="19">
        <v>100.0</v>
      </c>
      <c r="L84" s="19">
        <v>2022.0</v>
      </c>
      <c r="M84" s="19">
        <v>90.0</v>
      </c>
      <c r="N84" s="20" t="s">
        <v>25</v>
      </c>
      <c r="O84" s="19">
        <v>35799.0</v>
      </c>
      <c r="P84" s="19">
        <v>204500.0</v>
      </c>
      <c r="Q84" s="20" t="s">
        <v>25</v>
      </c>
      <c r="R84" s="16">
        <v>47.639443684025935</v>
      </c>
      <c r="S84" s="16" t="s">
        <v>579</v>
      </c>
      <c r="T84" s="16" t="s">
        <v>608</v>
      </c>
      <c r="U84" s="16" t="s">
        <v>696</v>
      </c>
      <c r="V84" s="16"/>
      <c r="W84" s="16"/>
      <c r="X84" s="16"/>
      <c r="Y84" s="16"/>
      <c r="Z84" s="16"/>
      <c r="AA84" s="16"/>
      <c r="AB84" s="16"/>
      <c r="AC84" s="16"/>
      <c r="AD84" s="16"/>
      <c r="AE84" s="16"/>
      <c r="AF84" s="16"/>
      <c r="AG84" s="16"/>
      <c r="AH84" s="16"/>
      <c r="AI84" s="16"/>
      <c r="AJ84" s="16"/>
      <c r="AK84" s="16"/>
      <c r="AL84" s="16"/>
      <c r="AM84" s="16"/>
      <c r="AN84" s="16"/>
      <c r="AO84" s="16"/>
    </row>
    <row r="85" ht="12.75" customHeight="1">
      <c r="A85" s="19">
        <v>68.0</v>
      </c>
      <c r="B85" s="19" t="s">
        <v>24</v>
      </c>
      <c r="C85" s="19" t="s">
        <v>26</v>
      </c>
      <c r="D85" s="19" t="s">
        <v>582</v>
      </c>
      <c r="E85" s="16" t="s">
        <v>25</v>
      </c>
      <c r="F85" s="19">
        <v>2017.0</v>
      </c>
      <c r="G85" s="16" t="s">
        <v>578</v>
      </c>
      <c r="H85" s="20">
        <v>2012.0</v>
      </c>
      <c r="I85" s="20" t="s">
        <v>25</v>
      </c>
      <c r="J85" s="19">
        <v>357990.0</v>
      </c>
      <c r="K85" s="19">
        <v>100.0</v>
      </c>
      <c r="L85" s="19">
        <v>2033.0</v>
      </c>
      <c r="M85" s="19">
        <v>90.0</v>
      </c>
      <c r="N85" s="20" t="s">
        <v>25</v>
      </c>
      <c r="O85" s="19">
        <v>35799.0</v>
      </c>
      <c r="P85" s="19">
        <v>204500.0</v>
      </c>
      <c r="Q85" s="20" t="s">
        <v>25</v>
      </c>
      <c r="R85" s="16">
        <v>47.639443684025935</v>
      </c>
      <c r="S85" s="16" t="s">
        <v>579</v>
      </c>
      <c r="T85" s="16" t="s">
        <v>608</v>
      </c>
      <c r="U85" s="16" t="s">
        <v>697</v>
      </c>
      <c r="V85" s="16"/>
      <c r="W85" s="16"/>
      <c r="X85" s="16"/>
      <c r="Y85" s="16"/>
      <c r="Z85" s="16"/>
      <c r="AA85" s="16"/>
      <c r="AB85" s="16"/>
      <c r="AC85" s="16"/>
      <c r="AD85" s="16"/>
      <c r="AE85" s="16"/>
      <c r="AF85" s="16"/>
      <c r="AG85" s="16"/>
      <c r="AH85" s="16"/>
      <c r="AI85" s="16"/>
      <c r="AJ85" s="16"/>
      <c r="AK85" s="16"/>
      <c r="AL85" s="16"/>
      <c r="AM85" s="16"/>
      <c r="AN85" s="16"/>
      <c r="AO85" s="16"/>
    </row>
    <row r="86" ht="12.75" customHeight="1">
      <c r="A86" s="19">
        <v>71.0</v>
      </c>
      <c r="B86" s="19" t="s">
        <v>24</v>
      </c>
      <c r="C86" s="19" t="s">
        <v>26</v>
      </c>
      <c r="D86" s="19" t="s">
        <v>582</v>
      </c>
      <c r="E86" s="16" t="s">
        <v>25</v>
      </c>
      <c r="F86" s="19">
        <v>2019.0</v>
      </c>
      <c r="G86" s="16" t="s">
        <v>578</v>
      </c>
      <c r="H86" s="20">
        <v>2015.0</v>
      </c>
      <c r="I86" s="20" t="s">
        <v>25</v>
      </c>
      <c r="J86" s="19">
        <v>264394.0</v>
      </c>
      <c r="K86" s="19">
        <v>100.0</v>
      </c>
      <c r="L86" s="19">
        <v>2025.0</v>
      </c>
      <c r="M86" s="19">
        <v>65.0</v>
      </c>
      <c r="N86" s="20" t="s">
        <v>25</v>
      </c>
      <c r="O86" s="19">
        <v>92537.9</v>
      </c>
      <c r="P86" s="19">
        <v>255779.0</v>
      </c>
      <c r="Q86" s="20" t="s">
        <v>25</v>
      </c>
      <c r="R86" s="16">
        <v>5.012914874712041</v>
      </c>
      <c r="S86" s="16" t="s">
        <v>579</v>
      </c>
      <c r="T86" s="16" t="s">
        <v>586</v>
      </c>
      <c r="U86" s="16" t="s">
        <v>698</v>
      </c>
      <c r="V86" s="16"/>
      <c r="W86" s="16"/>
      <c r="X86" s="16"/>
      <c r="Y86" s="16"/>
      <c r="Z86" s="16"/>
      <c r="AA86" s="16"/>
      <c r="AB86" s="16"/>
      <c r="AC86" s="16"/>
      <c r="AD86" s="16"/>
      <c r="AE86" s="16"/>
      <c r="AF86" s="16"/>
      <c r="AG86" s="16"/>
      <c r="AH86" s="16"/>
      <c r="AI86" s="16"/>
      <c r="AJ86" s="16"/>
      <c r="AK86" s="16"/>
      <c r="AL86" s="16"/>
      <c r="AM86" s="16"/>
      <c r="AN86" s="16"/>
      <c r="AO86" s="16"/>
    </row>
    <row r="87" ht="12.75" customHeight="1">
      <c r="A87" s="19">
        <v>73.0</v>
      </c>
      <c r="B87" s="19" t="s">
        <v>24</v>
      </c>
      <c r="C87" s="19" t="s">
        <v>26</v>
      </c>
      <c r="D87" s="19" t="s">
        <v>577</v>
      </c>
      <c r="E87" s="16" t="s">
        <v>25</v>
      </c>
      <c r="F87" s="19">
        <v>2020.0</v>
      </c>
      <c r="G87" s="16" t="s">
        <v>650</v>
      </c>
      <c r="H87" s="20">
        <v>2013.0</v>
      </c>
      <c r="I87" s="20" t="s">
        <v>25</v>
      </c>
      <c r="J87" s="19">
        <v>8081870.0</v>
      </c>
      <c r="K87" s="19">
        <v>77.0</v>
      </c>
      <c r="L87" s="19">
        <v>2025.0</v>
      </c>
      <c r="M87" s="19">
        <v>4.6</v>
      </c>
      <c r="N87" s="20" t="s">
        <v>25</v>
      </c>
      <c r="O87" s="19">
        <v>7710103.98</v>
      </c>
      <c r="P87" s="19"/>
      <c r="Q87" s="20" t="s">
        <v>25</v>
      </c>
      <c r="R87" s="16">
        <v>2173.9130434782633</v>
      </c>
      <c r="S87" s="16" t="s">
        <v>603</v>
      </c>
      <c r="T87" s="16" t="s">
        <v>595</v>
      </c>
      <c r="U87" s="16" t="s">
        <v>699</v>
      </c>
      <c r="V87" s="16"/>
      <c r="W87" s="16"/>
      <c r="X87" s="16"/>
      <c r="Y87" s="16"/>
      <c r="Z87" s="16"/>
      <c r="AA87" s="16"/>
      <c r="AB87" s="16"/>
      <c r="AC87" s="16"/>
      <c r="AD87" s="16"/>
      <c r="AE87" s="16"/>
      <c r="AF87" s="16"/>
      <c r="AG87" s="16"/>
      <c r="AH87" s="16"/>
      <c r="AI87" s="16"/>
      <c r="AJ87" s="16"/>
      <c r="AK87" s="16"/>
      <c r="AL87" s="16"/>
      <c r="AM87" s="16"/>
      <c r="AN87" s="16"/>
      <c r="AO87" s="16"/>
    </row>
    <row r="88" ht="12.75" customHeight="1">
      <c r="A88" s="19">
        <v>74.0</v>
      </c>
      <c r="B88" s="19" t="s">
        <v>24</v>
      </c>
      <c r="C88" s="19" t="s">
        <v>26</v>
      </c>
      <c r="D88" s="19" t="s">
        <v>582</v>
      </c>
      <c r="E88" s="16" t="s">
        <v>25</v>
      </c>
      <c r="F88" s="19">
        <v>2018.0</v>
      </c>
      <c r="G88" s="16" t="s">
        <v>578</v>
      </c>
      <c r="H88" s="20">
        <v>2015.0</v>
      </c>
      <c r="I88" s="20" t="s">
        <v>25</v>
      </c>
      <c r="J88" s="19">
        <v>459516.0</v>
      </c>
      <c r="K88" s="19">
        <v>100.0</v>
      </c>
      <c r="L88" s="19">
        <v>2025.0</v>
      </c>
      <c r="M88" s="19">
        <v>26.0</v>
      </c>
      <c r="N88" s="20" t="s">
        <v>25</v>
      </c>
      <c r="O88" s="19">
        <v>340041.84</v>
      </c>
      <c r="P88" s="19">
        <v>365543.0</v>
      </c>
      <c r="Q88" s="20" t="s">
        <v>25</v>
      </c>
      <c r="R88" s="16">
        <v>78.65550174196665</v>
      </c>
      <c r="S88" s="16" t="s">
        <v>579</v>
      </c>
      <c r="T88" s="16" t="s">
        <v>608</v>
      </c>
      <c r="U88" s="16" t="s">
        <v>700</v>
      </c>
      <c r="V88" s="16"/>
      <c r="W88" s="16"/>
      <c r="X88" s="16"/>
      <c r="Y88" s="16"/>
      <c r="Z88" s="16"/>
      <c r="AA88" s="16"/>
      <c r="AB88" s="16"/>
      <c r="AC88" s="16"/>
      <c r="AD88" s="16"/>
      <c r="AE88" s="16"/>
      <c r="AF88" s="16"/>
      <c r="AG88" s="16"/>
      <c r="AH88" s="16"/>
      <c r="AI88" s="16"/>
      <c r="AJ88" s="16"/>
      <c r="AK88" s="16"/>
      <c r="AL88" s="16"/>
      <c r="AM88" s="16"/>
      <c r="AN88" s="16"/>
      <c r="AO88" s="16"/>
    </row>
    <row r="89" ht="12.75" customHeight="1">
      <c r="A89" s="19">
        <v>74.0</v>
      </c>
      <c r="B89" s="19" t="s">
        <v>24</v>
      </c>
      <c r="C89" s="19" t="s">
        <v>26</v>
      </c>
      <c r="D89" s="19" t="s">
        <v>582</v>
      </c>
      <c r="E89" s="16" t="s">
        <v>25</v>
      </c>
      <c r="F89" s="19">
        <v>2018.0</v>
      </c>
      <c r="G89" s="16" t="s">
        <v>578</v>
      </c>
      <c r="H89" s="20">
        <v>2015.0</v>
      </c>
      <c r="I89" s="20" t="s">
        <v>25</v>
      </c>
      <c r="J89" s="19">
        <v>459516.0</v>
      </c>
      <c r="K89" s="19">
        <v>100.0</v>
      </c>
      <c r="L89" s="19">
        <v>2050.0</v>
      </c>
      <c r="M89" s="19">
        <v>65.0</v>
      </c>
      <c r="N89" s="20" t="s">
        <v>25</v>
      </c>
      <c r="O89" s="19">
        <v>160830.6</v>
      </c>
      <c r="P89" s="19">
        <v>365543.0</v>
      </c>
      <c r="Q89" s="20" t="s">
        <v>25</v>
      </c>
      <c r="R89" s="16">
        <v>31.462200696786653</v>
      </c>
      <c r="S89" s="16" t="s">
        <v>579</v>
      </c>
      <c r="T89" s="16" t="s">
        <v>608</v>
      </c>
      <c r="U89" s="16" t="s">
        <v>701</v>
      </c>
      <c r="V89" s="16"/>
      <c r="W89" s="16"/>
      <c r="X89" s="16"/>
      <c r="Y89" s="16"/>
      <c r="Z89" s="16"/>
      <c r="AA89" s="16"/>
      <c r="AB89" s="16"/>
      <c r="AC89" s="16"/>
      <c r="AD89" s="16"/>
      <c r="AE89" s="16"/>
      <c r="AF89" s="16"/>
      <c r="AG89" s="16"/>
      <c r="AH89" s="16"/>
      <c r="AI89" s="16"/>
      <c r="AJ89" s="16"/>
      <c r="AK89" s="16"/>
      <c r="AL89" s="16"/>
      <c r="AM89" s="16"/>
      <c r="AN89" s="16"/>
      <c r="AO89" s="16"/>
    </row>
    <row r="90" ht="12.75" customHeight="1">
      <c r="A90" s="19">
        <v>74.0</v>
      </c>
      <c r="B90" s="19" t="s">
        <v>24</v>
      </c>
      <c r="C90" s="19" t="s">
        <v>26</v>
      </c>
      <c r="D90" s="19" t="s">
        <v>582</v>
      </c>
      <c r="E90" s="16" t="s">
        <v>25</v>
      </c>
      <c r="F90" s="19">
        <v>2016.0</v>
      </c>
      <c r="G90" s="16" t="s">
        <v>650</v>
      </c>
      <c r="H90" s="20">
        <v>2015.0</v>
      </c>
      <c r="I90" s="20" t="s">
        <v>25</v>
      </c>
      <c r="J90" s="19">
        <v>373626.0</v>
      </c>
      <c r="K90" s="19">
        <v>81.0</v>
      </c>
      <c r="L90" s="19">
        <v>2020.0</v>
      </c>
      <c r="M90" s="19">
        <v>20.0</v>
      </c>
      <c r="N90" s="20" t="s">
        <v>25</v>
      </c>
      <c r="O90" s="19">
        <v>298900.8</v>
      </c>
      <c r="P90" s="19">
        <v>211880.0</v>
      </c>
      <c r="Q90" s="20" t="s">
        <v>25</v>
      </c>
      <c r="R90" s="16">
        <v>216.45442233677525</v>
      </c>
      <c r="S90" s="16" t="s">
        <v>592</v>
      </c>
      <c r="T90" s="16" t="s">
        <v>608</v>
      </c>
      <c r="U90" s="16" t="s">
        <v>702</v>
      </c>
      <c r="V90" s="16"/>
      <c r="W90" s="16"/>
      <c r="X90" s="16"/>
      <c r="Y90" s="16"/>
      <c r="Z90" s="16"/>
      <c r="AA90" s="16"/>
      <c r="AB90" s="16"/>
      <c r="AC90" s="16"/>
      <c r="AD90" s="16"/>
      <c r="AE90" s="16"/>
      <c r="AF90" s="16"/>
      <c r="AG90" s="16"/>
      <c r="AH90" s="16"/>
      <c r="AI90" s="16"/>
      <c r="AJ90" s="16"/>
      <c r="AK90" s="16"/>
      <c r="AL90" s="16"/>
      <c r="AM90" s="16"/>
      <c r="AN90" s="16"/>
      <c r="AO90" s="16"/>
    </row>
    <row r="91" ht="12.75" customHeight="1">
      <c r="A91" s="19">
        <v>74.0</v>
      </c>
      <c r="B91" s="19" t="s">
        <v>24</v>
      </c>
      <c r="C91" s="19" t="s">
        <v>590</v>
      </c>
      <c r="D91" s="19" t="s">
        <v>638</v>
      </c>
      <c r="E91" s="16" t="s">
        <v>25</v>
      </c>
      <c r="F91" s="19">
        <v>2019.0</v>
      </c>
      <c r="G91" s="16" t="s">
        <v>578</v>
      </c>
      <c r="H91" s="20">
        <v>2019.0</v>
      </c>
      <c r="I91" s="20" t="s">
        <v>25</v>
      </c>
      <c r="J91" s="19">
        <v>173807.0</v>
      </c>
      <c r="K91" s="19">
        <v>100.0</v>
      </c>
      <c r="L91" s="19">
        <v>2025.0</v>
      </c>
      <c r="M91" s="19">
        <v>25.0</v>
      </c>
      <c r="N91" s="20" t="s">
        <v>25</v>
      </c>
      <c r="O91" s="19">
        <v>130355.25</v>
      </c>
      <c r="P91" s="19">
        <v>173807.0</v>
      </c>
      <c r="Q91" s="20" t="s">
        <v>25</v>
      </c>
      <c r="R91" s="16">
        <v>0.0</v>
      </c>
      <c r="S91" s="16" t="s">
        <v>603</v>
      </c>
      <c r="T91" s="16" t="s">
        <v>593</v>
      </c>
      <c r="U91" s="16" t="s">
        <v>703</v>
      </c>
      <c r="V91" s="16"/>
      <c r="W91" s="16"/>
      <c r="X91" s="16"/>
      <c r="Y91" s="16"/>
      <c r="Z91" s="16"/>
      <c r="AA91" s="16"/>
      <c r="AB91" s="16"/>
      <c r="AC91" s="16"/>
      <c r="AD91" s="16"/>
      <c r="AE91" s="16"/>
      <c r="AF91" s="16"/>
      <c r="AG91" s="16"/>
      <c r="AH91" s="16"/>
      <c r="AI91" s="16"/>
      <c r="AJ91" s="16"/>
      <c r="AK91" s="16"/>
      <c r="AL91" s="16"/>
      <c r="AM91" s="16"/>
      <c r="AN91" s="16"/>
      <c r="AO91" s="16"/>
    </row>
    <row r="92" ht="12.75" customHeight="1">
      <c r="A92" s="19">
        <v>76.0</v>
      </c>
      <c r="B92" s="19" t="s">
        <v>24</v>
      </c>
      <c r="C92" s="19" t="s">
        <v>606</v>
      </c>
      <c r="D92" s="19" t="s">
        <v>622</v>
      </c>
      <c r="E92" s="16" t="s">
        <v>25</v>
      </c>
      <c r="F92" s="19">
        <v>2016.0</v>
      </c>
      <c r="G92" s="16" t="s">
        <v>578</v>
      </c>
      <c r="H92" s="20">
        <v>2015.0</v>
      </c>
      <c r="I92" s="20" t="s">
        <v>25</v>
      </c>
      <c r="J92" s="19">
        <v>5.8755109E7</v>
      </c>
      <c r="K92" s="19">
        <v>100.0</v>
      </c>
      <c r="L92" s="19">
        <v>2030.0</v>
      </c>
      <c r="M92" s="19">
        <v>20.0</v>
      </c>
      <c r="N92" s="20" t="s">
        <v>25</v>
      </c>
      <c r="O92" s="19">
        <v>4.70040872E7</v>
      </c>
      <c r="P92" s="19">
        <v>5.5442735E7</v>
      </c>
      <c r="Q92" s="20" t="s">
        <v>25</v>
      </c>
      <c r="R92" s="16">
        <v>28.18796574779566</v>
      </c>
      <c r="S92" s="16" t="s">
        <v>579</v>
      </c>
      <c r="T92" s="16" t="s">
        <v>586</v>
      </c>
      <c r="U92" s="16" t="s">
        <v>704</v>
      </c>
      <c r="V92" s="16"/>
      <c r="W92" s="16"/>
      <c r="X92" s="16"/>
      <c r="Y92" s="16"/>
      <c r="Z92" s="16"/>
      <c r="AA92" s="16"/>
      <c r="AB92" s="16"/>
      <c r="AC92" s="16"/>
      <c r="AD92" s="16"/>
      <c r="AE92" s="16"/>
      <c r="AF92" s="16"/>
      <c r="AG92" s="16"/>
      <c r="AH92" s="16"/>
      <c r="AI92" s="16"/>
      <c r="AJ92" s="16"/>
      <c r="AK92" s="16"/>
      <c r="AL92" s="16"/>
      <c r="AM92" s="16"/>
      <c r="AN92" s="16"/>
      <c r="AO92" s="16"/>
    </row>
    <row r="93" ht="12.75" customHeight="1">
      <c r="A93" s="19">
        <v>77.0</v>
      </c>
      <c r="B93" s="19" t="s">
        <v>24</v>
      </c>
      <c r="C93" s="19" t="s">
        <v>26</v>
      </c>
      <c r="D93" s="19" t="s">
        <v>577</v>
      </c>
      <c r="E93" s="16" t="s">
        <v>25</v>
      </c>
      <c r="F93" s="19">
        <v>2013.0</v>
      </c>
      <c r="G93" s="16" t="s">
        <v>578</v>
      </c>
      <c r="H93" s="20">
        <v>2012.0</v>
      </c>
      <c r="I93" s="20" t="s">
        <v>25</v>
      </c>
      <c r="J93" s="19">
        <v>2005730.0</v>
      </c>
      <c r="K93" s="19">
        <v>100.0</v>
      </c>
      <c r="L93" s="19">
        <v>2020.0</v>
      </c>
      <c r="M93" s="19">
        <v>20.0</v>
      </c>
      <c r="N93" s="20" t="s">
        <v>25</v>
      </c>
      <c r="O93" s="19">
        <v>1604584.0</v>
      </c>
      <c r="P93" s="19">
        <v>1496924.0</v>
      </c>
      <c r="Q93" s="20" t="s">
        <v>25</v>
      </c>
      <c r="R93" s="16">
        <v>126.83810881823577</v>
      </c>
      <c r="S93" s="16" t="s">
        <v>579</v>
      </c>
      <c r="T93" s="16" t="s">
        <v>586</v>
      </c>
      <c r="U93" s="16" t="s">
        <v>705</v>
      </c>
      <c r="V93" s="16"/>
      <c r="W93" s="16"/>
      <c r="X93" s="16"/>
      <c r="Y93" s="16"/>
      <c r="Z93" s="16"/>
      <c r="AA93" s="16"/>
      <c r="AB93" s="16"/>
      <c r="AC93" s="16"/>
      <c r="AD93" s="16"/>
      <c r="AE93" s="16"/>
      <c r="AF93" s="16"/>
      <c r="AG93" s="16"/>
      <c r="AH93" s="16"/>
      <c r="AI93" s="16"/>
      <c r="AJ93" s="16"/>
      <c r="AK93" s="16"/>
      <c r="AL93" s="16"/>
      <c r="AM93" s="16"/>
      <c r="AN93" s="16"/>
      <c r="AO93" s="16"/>
    </row>
    <row r="94" ht="12.75" customHeight="1">
      <c r="A94" s="19">
        <v>77.0</v>
      </c>
      <c r="B94" s="19" t="s">
        <v>24</v>
      </c>
      <c r="C94" s="19" t="s">
        <v>26</v>
      </c>
      <c r="D94" s="19" t="s">
        <v>577</v>
      </c>
      <c r="E94" s="16" t="s">
        <v>25</v>
      </c>
      <c r="F94" s="19">
        <v>2002.0</v>
      </c>
      <c r="G94" s="16" t="s">
        <v>578</v>
      </c>
      <c r="H94" s="20">
        <v>2000.0</v>
      </c>
      <c r="I94" s="20" t="s">
        <v>25</v>
      </c>
      <c r="J94" s="19">
        <v>3479388.0</v>
      </c>
      <c r="K94" s="19">
        <v>100.0</v>
      </c>
      <c r="L94" s="19">
        <v>2050.0</v>
      </c>
      <c r="M94" s="19">
        <v>60.0</v>
      </c>
      <c r="N94" s="20" t="s">
        <v>25</v>
      </c>
      <c r="O94" s="19">
        <v>1391755.2</v>
      </c>
      <c r="P94" s="19">
        <v>1496924.0</v>
      </c>
      <c r="Q94" s="20" t="s">
        <v>25</v>
      </c>
      <c r="R94" s="16">
        <v>94.96229413525214</v>
      </c>
      <c r="S94" s="16" t="s">
        <v>579</v>
      </c>
      <c r="T94" s="16" t="s">
        <v>586</v>
      </c>
      <c r="U94" s="16" t="s">
        <v>706</v>
      </c>
      <c r="V94" s="16"/>
      <c r="W94" s="16"/>
      <c r="X94" s="16"/>
      <c r="Y94" s="16"/>
      <c r="Z94" s="16"/>
      <c r="AA94" s="16"/>
      <c r="AB94" s="16"/>
      <c r="AC94" s="16"/>
      <c r="AD94" s="16"/>
      <c r="AE94" s="16"/>
      <c r="AF94" s="16"/>
      <c r="AG94" s="16"/>
      <c r="AH94" s="16"/>
      <c r="AI94" s="16"/>
      <c r="AJ94" s="16"/>
      <c r="AK94" s="16"/>
      <c r="AL94" s="16"/>
      <c r="AM94" s="16"/>
      <c r="AN94" s="16"/>
      <c r="AO94" s="16"/>
    </row>
    <row r="95" ht="12.75" customHeight="1">
      <c r="A95" s="19">
        <v>78.0</v>
      </c>
      <c r="B95" s="19" t="s">
        <v>24</v>
      </c>
      <c r="C95" s="19" t="s">
        <v>26</v>
      </c>
      <c r="D95" s="19" t="s">
        <v>582</v>
      </c>
      <c r="E95" s="16" t="s">
        <v>25</v>
      </c>
      <c r="F95" s="19">
        <v>2016.0</v>
      </c>
      <c r="G95" s="16" t="s">
        <v>578</v>
      </c>
      <c r="H95" s="19">
        <v>2010.0</v>
      </c>
      <c r="I95" s="20" t="s">
        <v>25</v>
      </c>
      <c r="J95" s="19">
        <v>914050.0</v>
      </c>
      <c r="K95" s="19">
        <v>100.0</v>
      </c>
      <c r="L95" s="19">
        <v>2030.0</v>
      </c>
      <c r="M95" s="19">
        <v>40.0</v>
      </c>
      <c r="N95" s="20" t="s">
        <v>25</v>
      </c>
      <c r="O95" s="19">
        <v>548430.0</v>
      </c>
      <c r="P95" s="19">
        <v>555882.0</v>
      </c>
      <c r="Q95" s="20" t="s">
        <v>25</v>
      </c>
      <c r="R95" s="16">
        <v>97.96181828127564</v>
      </c>
      <c r="S95" s="16" t="s">
        <v>579</v>
      </c>
      <c r="T95" s="16" t="s">
        <v>586</v>
      </c>
      <c r="U95" s="16" t="s">
        <v>707</v>
      </c>
      <c r="V95" s="16"/>
      <c r="W95" s="16"/>
      <c r="X95" s="16"/>
      <c r="Y95" s="16"/>
      <c r="Z95" s="16"/>
      <c r="AA95" s="16"/>
      <c r="AB95" s="16"/>
      <c r="AC95" s="16"/>
      <c r="AD95" s="16"/>
      <c r="AE95" s="16"/>
      <c r="AF95" s="16"/>
      <c r="AG95" s="16"/>
      <c r="AH95" s="16"/>
      <c r="AI95" s="16"/>
      <c r="AJ95" s="16"/>
      <c r="AK95" s="16"/>
      <c r="AL95" s="16"/>
      <c r="AM95" s="16"/>
      <c r="AN95" s="16"/>
      <c r="AO95" s="16"/>
    </row>
    <row r="96" ht="12.75" customHeight="1">
      <c r="A96" s="19">
        <v>78.0</v>
      </c>
      <c r="B96" s="19" t="s">
        <v>24</v>
      </c>
      <c r="C96" s="19" t="s">
        <v>26</v>
      </c>
      <c r="D96" s="19" t="s">
        <v>582</v>
      </c>
      <c r="E96" s="16" t="s">
        <v>25</v>
      </c>
      <c r="F96" s="19">
        <v>2016.0</v>
      </c>
      <c r="G96" s="16" t="s">
        <v>578</v>
      </c>
      <c r="H96" s="19">
        <v>2010.0</v>
      </c>
      <c r="I96" s="20" t="s">
        <v>25</v>
      </c>
      <c r="J96" s="19">
        <v>914050.0</v>
      </c>
      <c r="K96" s="19">
        <v>100.0</v>
      </c>
      <c r="L96" s="19">
        <v>2040.0</v>
      </c>
      <c r="M96" s="19">
        <v>60.0</v>
      </c>
      <c r="N96" s="20" t="s">
        <v>25</v>
      </c>
      <c r="O96" s="19">
        <v>365620.0</v>
      </c>
      <c r="P96" s="19">
        <v>555882.0</v>
      </c>
      <c r="Q96" s="20" t="s">
        <v>25</v>
      </c>
      <c r="R96" s="16">
        <v>65.30787885418377</v>
      </c>
      <c r="S96" s="16" t="s">
        <v>579</v>
      </c>
      <c r="T96" s="16" t="s">
        <v>586</v>
      </c>
      <c r="U96" s="16" t="s">
        <v>708</v>
      </c>
      <c r="V96" s="16"/>
      <c r="W96" s="16"/>
      <c r="X96" s="16"/>
      <c r="Y96" s="16"/>
      <c r="Z96" s="16"/>
      <c r="AA96" s="16"/>
      <c r="AB96" s="16"/>
      <c r="AC96" s="16"/>
      <c r="AD96" s="16"/>
      <c r="AE96" s="16"/>
      <c r="AF96" s="16"/>
      <c r="AG96" s="16"/>
      <c r="AH96" s="16"/>
      <c r="AI96" s="16"/>
      <c r="AJ96" s="16"/>
      <c r="AK96" s="16"/>
      <c r="AL96" s="16"/>
      <c r="AM96" s="16"/>
      <c r="AN96" s="16"/>
      <c r="AO96" s="16"/>
    </row>
    <row r="97" ht="12.75" customHeight="1">
      <c r="A97" s="19">
        <v>78.0</v>
      </c>
      <c r="B97" s="19" t="s">
        <v>24</v>
      </c>
      <c r="C97" s="19" t="s">
        <v>606</v>
      </c>
      <c r="D97" s="19" t="s">
        <v>622</v>
      </c>
      <c r="E97" s="16" t="s">
        <v>25</v>
      </c>
      <c r="F97" s="19">
        <v>2016.0</v>
      </c>
      <c r="G97" s="16" t="s">
        <v>578</v>
      </c>
      <c r="H97" s="19">
        <v>2010.0</v>
      </c>
      <c r="I97" s="20" t="s">
        <v>25</v>
      </c>
      <c r="J97" s="19">
        <v>8062275.0</v>
      </c>
      <c r="K97" s="19">
        <v>100.0</v>
      </c>
      <c r="L97" s="19">
        <v>2030.0</v>
      </c>
      <c r="M97" s="19">
        <v>40.0</v>
      </c>
      <c r="N97" s="20" t="s">
        <v>25</v>
      </c>
      <c r="O97" s="19">
        <v>4837365.0</v>
      </c>
      <c r="P97" s="19">
        <v>4682492.0</v>
      </c>
      <c r="Q97" s="20" t="s">
        <v>25</v>
      </c>
      <c r="R97" s="16">
        <v>104.80239758628922</v>
      </c>
      <c r="S97" s="16" t="s">
        <v>592</v>
      </c>
      <c r="T97" s="16" t="s">
        <v>586</v>
      </c>
      <c r="U97" s="16" t="s">
        <v>709</v>
      </c>
      <c r="V97" s="16"/>
      <c r="W97" s="16"/>
      <c r="X97" s="16"/>
      <c r="Y97" s="16"/>
      <c r="Z97" s="16"/>
      <c r="AA97" s="16"/>
      <c r="AB97" s="16"/>
      <c r="AC97" s="16"/>
      <c r="AD97" s="16"/>
      <c r="AE97" s="16"/>
      <c r="AF97" s="16"/>
      <c r="AG97" s="16"/>
      <c r="AH97" s="16"/>
      <c r="AI97" s="16"/>
      <c r="AJ97" s="16"/>
      <c r="AK97" s="16"/>
      <c r="AL97" s="16"/>
      <c r="AM97" s="16"/>
      <c r="AN97" s="16"/>
      <c r="AO97" s="16"/>
    </row>
    <row r="98" ht="12.75" customHeight="1">
      <c r="A98" s="19">
        <v>79.0</v>
      </c>
      <c r="B98" s="19" t="s">
        <v>24</v>
      </c>
      <c r="C98" s="19" t="s">
        <v>26</v>
      </c>
      <c r="D98" s="19" t="s">
        <v>582</v>
      </c>
      <c r="E98" s="16" t="s">
        <v>25</v>
      </c>
      <c r="F98" s="19">
        <v>2012.0</v>
      </c>
      <c r="G98" s="16" t="s">
        <v>578</v>
      </c>
      <c r="H98" s="19">
        <v>2010.0</v>
      </c>
      <c r="I98" s="20" t="s">
        <v>25</v>
      </c>
      <c r="J98" s="19">
        <v>5422275.0</v>
      </c>
      <c r="K98" s="19">
        <v>100.0</v>
      </c>
      <c r="L98" s="19">
        <v>2020.0</v>
      </c>
      <c r="M98" s="19">
        <v>30.0</v>
      </c>
      <c r="N98" s="20" t="s">
        <v>25</v>
      </c>
      <c r="O98" s="19">
        <v>3795592.5</v>
      </c>
      <c r="P98" s="19">
        <v>4050000.0</v>
      </c>
      <c r="Q98" s="20" t="s">
        <v>25</v>
      </c>
      <c r="R98" s="16">
        <v>84.3603469023611</v>
      </c>
      <c r="S98" s="16" t="s">
        <v>579</v>
      </c>
      <c r="T98" s="16" t="s">
        <v>586</v>
      </c>
      <c r="U98" s="16" t="s">
        <v>710</v>
      </c>
      <c r="V98" s="16"/>
      <c r="W98" s="16"/>
      <c r="X98" s="16"/>
      <c r="Y98" s="16"/>
      <c r="Z98" s="16"/>
      <c r="AA98" s="16"/>
      <c r="AB98" s="16"/>
      <c r="AC98" s="16"/>
      <c r="AD98" s="16"/>
      <c r="AE98" s="16"/>
      <c r="AF98" s="16"/>
      <c r="AG98" s="16"/>
      <c r="AH98" s="16"/>
      <c r="AI98" s="16"/>
      <c r="AJ98" s="16"/>
      <c r="AK98" s="16"/>
      <c r="AL98" s="16"/>
      <c r="AM98" s="16"/>
      <c r="AN98" s="16"/>
      <c r="AO98" s="16"/>
    </row>
    <row r="99" ht="12.75" customHeight="1">
      <c r="A99" s="19">
        <v>79.0</v>
      </c>
      <c r="B99" s="19" t="s">
        <v>24</v>
      </c>
      <c r="C99" s="19" t="s">
        <v>26</v>
      </c>
      <c r="D99" s="19" t="s">
        <v>582</v>
      </c>
      <c r="E99" s="16" t="s">
        <v>25</v>
      </c>
      <c r="F99" s="19">
        <v>2018.0</v>
      </c>
      <c r="G99" s="16" t="s">
        <v>578</v>
      </c>
      <c r="H99" s="19">
        <v>2010.0</v>
      </c>
      <c r="I99" s="20" t="s">
        <v>25</v>
      </c>
      <c r="J99" s="19">
        <v>5422275.0</v>
      </c>
      <c r="K99" s="19">
        <v>100.0</v>
      </c>
      <c r="L99" s="19">
        <v>2030.0</v>
      </c>
      <c r="M99" s="19">
        <v>50.0</v>
      </c>
      <c r="N99" s="20" t="s">
        <v>25</v>
      </c>
      <c r="O99" s="19">
        <v>2711137.5</v>
      </c>
      <c r="P99" s="19">
        <v>4050000.0</v>
      </c>
      <c r="Q99" s="20" t="s">
        <v>25</v>
      </c>
      <c r="R99" s="16">
        <v>50.61620814141665</v>
      </c>
      <c r="S99" s="16" t="s">
        <v>579</v>
      </c>
      <c r="T99" s="16" t="s">
        <v>586</v>
      </c>
      <c r="U99" s="16" t="s">
        <v>711</v>
      </c>
      <c r="V99" s="16"/>
      <c r="W99" s="16"/>
      <c r="X99" s="16"/>
      <c r="Y99" s="16"/>
      <c r="Z99" s="16"/>
      <c r="AA99" s="16"/>
      <c r="AB99" s="16"/>
      <c r="AC99" s="16"/>
      <c r="AD99" s="16"/>
      <c r="AE99" s="16"/>
      <c r="AF99" s="16"/>
      <c r="AG99" s="16"/>
      <c r="AH99" s="16"/>
      <c r="AI99" s="16"/>
      <c r="AJ99" s="16"/>
      <c r="AK99" s="16"/>
      <c r="AL99" s="16"/>
      <c r="AM99" s="16"/>
      <c r="AN99" s="16"/>
      <c r="AO99" s="16"/>
    </row>
    <row r="100" ht="12.75" customHeight="1">
      <c r="A100" s="19">
        <v>80.0</v>
      </c>
      <c r="B100" s="19" t="s">
        <v>24</v>
      </c>
      <c r="C100" s="19" t="s">
        <v>26</v>
      </c>
      <c r="D100" s="19" t="s">
        <v>582</v>
      </c>
      <c r="E100" s="16" t="s">
        <v>25</v>
      </c>
      <c r="F100" s="19">
        <v>2015.0</v>
      </c>
      <c r="G100" s="16" t="s">
        <v>578</v>
      </c>
      <c r="H100" s="20">
        <v>2014.0</v>
      </c>
      <c r="I100" s="20" t="s">
        <v>25</v>
      </c>
      <c r="J100" s="19">
        <v>230637.0</v>
      </c>
      <c r="K100" s="19">
        <v>100.0</v>
      </c>
      <c r="L100" s="19">
        <v>2025.0</v>
      </c>
      <c r="M100" s="19">
        <v>30.0</v>
      </c>
      <c r="N100" s="20" t="s">
        <v>25</v>
      </c>
      <c r="O100" s="19">
        <v>161445.9</v>
      </c>
      <c r="P100" s="19">
        <v>189350.0</v>
      </c>
      <c r="Q100" s="20" t="s">
        <v>25</v>
      </c>
      <c r="R100" s="16">
        <v>59.670969243154104</v>
      </c>
      <c r="S100" s="16" t="s">
        <v>579</v>
      </c>
      <c r="T100" s="16" t="s">
        <v>595</v>
      </c>
      <c r="U100" s="16" t="s">
        <v>712</v>
      </c>
      <c r="V100" s="16"/>
      <c r="W100" s="16"/>
      <c r="X100" s="16"/>
      <c r="Y100" s="16"/>
      <c r="Z100" s="16"/>
      <c r="AA100" s="16"/>
      <c r="AB100" s="16"/>
      <c r="AC100" s="16"/>
      <c r="AD100" s="16"/>
      <c r="AE100" s="16"/>
      <c r="AF100" s="16"/>
      <c r="AG100" s="16"/>
      <c r="AH100" s="16"/>
      <c r="AI100" s="16"/>
      <c r="AJ100" s="16"/>
      <c r="AK100" s="16"/>
      <c r="AL100" s="16"/>
      <c r="AM100" s="16"/>
      <c r="AN100" s="16"/>
      <c r="AO100" s="16"/>
    </row>
    <row r="101" ht="12.75" customHeight="1">
      <c r="A101" s="19">
        <v>82.0</v>
      </c>
      <c r="B101" s="19" t="s">
        <v>24</v>
      </c>
      <c r="C101" s="19" t="s">
        <v>26</v>
      </c>
      <c r="D101" s="19" t="s">
        <v>582</v>
      </c>
      <c r="E101" s="16" t="s">
        <v>25</v>
      </c>
      <c r="F101" s="19">
        <v>2016.0</v>
      </c>
      <c r="G101" s="16" t="s">
        <v>578</v>
      </c>
      <c r="H101" s="20">
        <v>2015.0</v>
      </c>
      <c r="I101" s="20" t="s">
        <v>25</v>
      </c>
      <c r="J101" s="19">
        <v>106542.0</v>
      </c>
      <c r="K101" s="19">
        <v>100.0</v>
      </c>
      <c r="L101" s="19">
        <v>2050.0</v>
      </c>
      <c r="M101" s="19">
        <v>100.0</v>
      </c>
      <c r="N101" s="20" t="s">
        <v>25</v>
      </c>
      <c r="O101" s="19">
        <v>0.0</v>
      </c>
      <c r="P101" s="19">
        <v>140506.0</v>
      </c>
      <c r="Q101" s="20" t="s">
        <v>25</v>
      </c>
      <c r="R101" s="16">
        <v>-31.878508006232288</v>
      </c>
      <c r="S101" s="16" t="s">
        <v>592</v>
      </c>
      <c r="T101" s="16" t="s">
        <v>608</v>
      </c>
      <c r="U101" s="16" t="s">
        <v>713</v>
      </c>
      <c r="V101" s="16"/>
      <c r="W101" s="16"/>
      <c r="X101" s="16"/>
      <c r="Y101" s="16"/>
      <c r="Z101" s="16"/>
      <c r="AA101" s="16"/>
      <c r="AB101" s="16"/>
      <c r="AC101" s="16"/>
      <c r="AD101" s="16"/>
      <c r="AE101" s="16"/>
      <c r="AF101" s="16"/>
      <c r="AG101" s="16"/>
      <c r="AH101" s="16"/>
      <c r="AI101" s="16"/>
      <c r="AJ101" s="16"/>
      <c r="AK101" s="16"/>
      <c r="AL101" s="16"/>
      <c r="AM101" s="16"/>
      <c r="AN101" s="16"/>
      <c r="AO101" s="16"/>
    </row>
    <row r="102" ht="12.75" customHeight="1">
      <c r="A102" s="19">
        <v>82.0</v>
      </c>
      <c r="B102" s="19" t="s">
        <v>24</v>
      </c>
      <c r="C102" s="19" t="s">
        <v>26</v>
      </c>
      <c r="D102" s="19" t="s">
        <v>582</v>
      </c>
      <c r="E102" s="16" t="s">
        <v>25</v>
      </c>
      <c r="F102" s="19">
        <v>2016.0</v>
      </c>
      <c r="G102" s="16" t="s">
        <v>578</v>
      </c>
      <c r="H102" s="20">
        <v>2015.0</v>
      </c>
      <c r="I102" s="20" t="s">
        <v>25</v>
      </c>
      <c r="J102" s="19">
        <v>106542.0</v>
      </c>
      <c r="K102" s="19">
        <v>100.0</v>
      </c>
      <c r="L102" s="19">
        <v>2050.0</v>
      </c>
      <c r="M102" s="19">
        <v>52.0</v>
      </c>
      <c r="N102" s="20" t="s">
        <v>25</v>
      </c>
      <c r="O102" s="19">
        <v>51140.16</v>
      </c>
      <c r="P102" s="19">
        <v>140506.0</v>
      </c>
      <c r="Q102" s="20" t="s">
        <v>25</v>
      </c>
      <c r="R102" s="16">
        <v>-61.30482308890824</v>
      </c>
      <c r="S102" s="16" t="s">
        <v>714</v>
      </c>
      <c r="T102" s="16" t="s">
        <v>608</v>
      </c>
      <c r="U102" s="16" t="s">
        <v>715</v>
      </c>
      <c r="V102" s="16"/>
      <c r="W102" s="16"/>
      <c r="X102" s="16"/>
      <c r="Y102" s="16"/>
      <c r="Z102" s="16"/>
      <c r="AA102" s="16"/>
      <c r="AB102" s="16"/>
      <c r="AC102" s="16"/>
      <c r="AD102" s="16"/>
      <c r="AE102" s="16"/>
      <c r="AF102" s="16"/>
      <c r="AG102" s="16"/>
      <c r="AH102" s="16"/>
      <c r="AI102" s="16"/>
      <c r="AJ102" s="16"/>
      <c r="AK102" s="16"/>
      <c r="AL102" s="16"/>
      <c r="AM102" s="16"/>
      <c r="AN102" s="16"/>
      <c r="AO102" s="16"/>
    </row>
    <row r="103" ht="12.75" customHeight="1">
      <c r="A103" s="19">
        <v>82.0</v>
      </c>
      <c r="B103" s="19" t="s">
        <v>24</v>
      </c>
      <c r="C103" s="19" t="s">
        <v>26</v>
      </c>
      <c r="D103" s="19" t="s">
        <v>582</v>
      </c>
      <c r="E103" s="16" t="s">
        <v>25</v>
      </c>
      <c r="F103" s="19">
        <v>2016.0</v>
      </c>
      <c r="G103" s="16" t="s">
        <v>578</v>
      </c>
      <c r="H103" s="20">
        <v>2015.0</v>
      </c>
      <c r="I103" s="20" t="s">
        <v>25</v>
      </c>
      <c r="J103" s="19">
        <v>106542.0</v>
      </c>
      <c r="K103" s="19">
        <v>100.0</v>
      </c>
      <c r="L103" s="19">
        <v>2030.0</v>
      </c>
      <c r="M103" s="19">
        <v>27.0</v>
      </c>
      <c r="N103" s="20" t="s">
        <v>25</v>
      </c>
      <c r="O103" s="19">
        <v>77775.66</v>
      </c>
      <c r="P103" s="19">
        <v>140506.0</v>
      </c>
      <c r="Q103" s="20" t="s">
        <v>25</v>
      </c>
      <c r="R103" s="16">
        <v>-118.06854817123069</v>
      </c>
      <c r="S103" s="16" t="s">
        <v>714</v>
      </c>
      <c r="T103" s="16" t="s">
        <v>608</v>
      </c>
      <c r="U103" s="16" t="s">
        <v>716</v>
      </c>
      <c r="V103" s="16"/>
      <c r="W103" s="16"/>
      <c r="X103" s="16"/>
      <c r="Y103" s="16"/>
      <c r="Z103" s="16"/>
      <c r="AA103" s="16"/>
      <c r="AB103" s="16"/>
      <c r="AC103" s="16"/>
      <c r="AD103" s="16"/>
      <c r="AE103" s="16"/>
      <c r="AF103" s="16"/>
      <c r="AG103" s="16"/>
      <c r="AH103" s="16"/>
      <c r="AI103" s="16"/>
      <c r="AJ103" s="16"/>
      <c r="AK103" s="16"/>
      <c r="AL103" s="16"/>
      <c r="AM103" s="16"/>
      <c r="AN103" s="16"/>
      <c r="AO103" s="16"/>
    </row>
    <row r="104" ht="12.75" customHeight="1">
      <c r="A104" s="19">
        <v>82.0</v>
      </c>
      <c r="B104" s="19" t="s">
        <v>24</v>
      </c>
      <c r="C104" s="19" t="s">
        <v>26</v>
      </c>
      <c r="D104" s="19" t="s">
        <v>582</v>
      </c>
      <c r="E104" s="16" t="s">
        <v>25</v>
      </c>
      <c r="F104" s="19">
        <v>2019.0</v>
      </c>
      <c r="G104" s="16" t="s">
        <v>578</v>
      </c>
      <c r="H104" s="20">
        <v>2018.0</v>
      </c>
      <c r="I104" s="20" t="s">
        <v>25</v>
      </c>
      <c r="J104" s="19">
        <v>162938.0</v>
      </c>
      <c r="K104" s="19">
        <v>100.0</v>
      </c>
      <c r="L104" s="19">
        <v>2030.0</v>
      </c>
      <c r="M104" s="19">
        <v>50.0</v>
      </c>
      <c r="N104" s="20" t="s">
        <v>25</v>
      </c>
      <c r="O104" s="19">
        <v>81469.0</v>
      </c>
      <c r="P104" s="19">
        <v>140506.0</v>
      </c>
      <c r="Q104" s="20" t="s">
        <v>25</v>
      </c>
      <c r="R104" s="16">
        <v>27.534399587573187</v>
      </c>
      <c r="S104" s="16" t="s">
        <v>603</v>
      </c>
      <c r="T104" s="16" t="s">
        <v>586</v>
      </c>
      <c r="U104" s="16" t="s">
        <v>717</v>
      </c>
      <c r="V104" s="16"/>
      <c r="W104" s="16"/>
      <c r="X104" s="16"/>
      <c r="Y104" s="16"/>
      <c r="Z104" s="16"/>
      <c r="AA104" s="16"/>
      <c r="AB104" s="16"/>
      <c r="AC104" s="16"/>
      <c r="AD104" s="16"/>
      <c r="AE104" s="16"/>
      <c r="AF104" s="16"/>
      <c r="AG104" s="16"/>
      <c r="AH104" s="16"/>
      <c r="AI104" s="16"/>
      <c r="AJ104" s="16"/>
      <c r="AK104" s="16"/>
      <c r="AL104" s="16"/>
      <c r="AM104" s="16"/>
      <c r="AN104" s="16"/>
      <c r="AO104" s="16"/>
    </row>
    <row r="105" ht="12.75" customHeight="1">
      <c r="A105" s="19">
        <v>82.0</v>
      </c>
      <c r="B105" s="19" t="s">
        <v>24</v>
      </c>
      <c r="C105" s="19" t="s">
        <v>590</v>
      </c>
      <c r="D105" s="19" t="s">
        <v>718</v>
      </c>
      <c r="E105" s="16" t="s">
        <v>25</v>
      </c>
      <c r="F105" s="19">
        <v>2018.0</v>
      </c>
      <c r="G105" s="16" t="s">
        <v>578</v>
      </c>
      <c r="H105" s="20">
        <v>2018.0</v>
      </c>
      <c r="I105" s="20" t="s">
        <v>25</v>
      </c>
      <c r="J105" s="19">
        <v>67890.0</v>
      </c>
      <c r="K105" s="19">
        <v>100.0</v>
      </c>
      <c r="L105" s="19">
        <v>2030.0</v>
      </c>
      <c r="M105" s="19">
        <v>50.0</v>
      </c>
      <c r="N105" s="20" t="s">
        <v>25</v>
      </c>
      <c r="O105" s="19">
        <v>33945.0</v>
      </c>
      <c r="P105" s="19">
        <v>61544.0</v>
      </c>
      <c r="Q105" s="20" t="s">
        <v>25</v>
      </c>
      <c r="R105" s="16">
        <v>18.694947709530123</v>
      </c>
      <c r="S105" s="16" t="s">
        <v>603</v>
      </c>
      <c r="T105" s="16" t="s">
        <v>586</v>
      </c>
      <c r="U105" s="16" t="s">
        <v>719</v>
      </c>
      <c r="V105" s="16"/>
      <c r="W105" s="16"/>
      <c r="X105" s="16"/>
      <c r="Y105" s="16"/>
      <c r="Z105" s="16"/>
      <c r="AA105" s="16"/>
      <c r="AB105" s="16"/>
      <c r="AC105" s="16"/>
      <c r="AD105" s="16"/>
      <c r="AE105" s="16"/>
      <c r="AF105" s="16"/>
      <c r="AG105" s="16"/>
      <c r="AH105" s="16"/>
      <c r="AI105" s="16"/>
      <c r="AJ105" s="16"/>
      <c r="AK105" s="16"/>
      <c r="AL105" s="16"/>
      <c r="AM105" s="16"/>
      <c r="AN105" s="16"/>
      <c r="AO105" s="16"/>
    </row>
    <row r="106" ht="12.75" customHeight="1">
      <c r="A106" s="19">
        <v>84.0</v>
      </c>
      <c r="B106" s="19" t="s">
        <v>24</v>
      </c>
      <c r="C106" s="19" t="s">
        <v>26</v>
      </c>
      <c r="D106" s="19" t="s">
        <v>582</v>
      </c>
      <c r="E106" s="16" t="s">
        <v>25</v>
      </c>
      <c r="F106" s="19">
        <v>2020.0</v>
      </c>
      <c r="G106" s="16" t="s">
        <v>578</v>
      </c>
      <c r="H106" s="20">
        <v>2019.0</v>
      </c>
      <c r="I106" s="20" t="s">
        <v>25</v>
      </c>
      <c r="J106" s="19">
        <v>266578.01</v>
      </c>
      <c r="K106" s="19">
        <v>100.0</v>
      </c>
      <c r="L106" s="19">
        <v>2035.0</v>
      </c>
      <c r="M106" s="19">
        <v>68.0</v>
      </c>
      <c r="N106" s="20" t="s">
        <v>25</v>
      </c>
      <c r="O106" s="19">
        <v>85304.9632</v>
      </c>
      <c r="P106" s="19">
        <v>266578.01</v>
      </c>
      <c r="Q106" s="20" t="s">
        <v>25</v>
      </c>
      <c r="R106" s="16">
        <v>0.0</v>
      </c>
      <c r="S106" s="16" t="s">
        <v>603</v>
      </c>
      <c r="T106" s="16" t="s">
        <v>586</v>
      </c>
      <c r="U106" s="16" t="s">
        <v>720</v>
      </c>
      <c r="V106" s="16"/>
      <c r="W106" s="16"/>
      <c r="X106" s="16"/>
      <c r="Y106" s="16"/>
      <c r="Z106" s="16"/>
      <c r="AA106" s="16"/>
      <c r="AB106" s="16"/>
      <c r="AC106" s="16"/>
      <c r="AD106" s="16"/>
      <c r="AE106" s="16"/>
      <c r="AF106" s="16"/>
      <c r="AG106" s="16"/>
      <c r="AH106" s="16"/>
      <c r="AI106" s="16"/>
      <c r="AJ106" s="16"/>
      <c r="AK106" s="16"/>
      <c r="AL106" s="16"/>
      <c r="AM106" s="16"/>
      <c r="AN106" s="16"/>
      <c r="AO106" s="16"/>
    </row>
    <row r="107" ht="12.75" customHeight="1">
      <c r="A107" s="19">
        <v>84.0</v>
      </c>
      <c r="B107" s="19" t="s">
        <v>24</v>
      </c>
      <c r="C107" s="19" t="s">
        <v>619</v>
      </c>
      <c r="D107" s="19" t="s">
        <v>620</v>
      </c>
      <c r="E107" s="16" t="s">
        <v>25</v>
      </c>
      <c r="F107" s="19">
        <v>2019.0</v>
      </c>
      <c r="G107" s="16" t="s">
        <v>578</v>
      </c>
      <c r="H107" s="20">
        <v>2018.0</v>
      </c>
      <c r="I107" s="20" t="s">
        <v>25</v>
      </c>
      <c r="J107" s="19">
        <v>259394.23</v>
      </c>
      <c r="K107" s="19">
        <v>100.0</v>
      </c>
      <c r="L107" s="19">
        <v>2019.0</v>
      </c>
      <c r="M107" s="19">
        <v>1.0</v>
      </c>
      <c r="N107" s="20" t="s">
        <v>25</v>
      </c>
      <c r="O107" s="19">
        <v>256800.2877</v>
      </c>
      <c r="P107" s="19">
        <v>249714.82</v>
      </c>
      <c r="Q107" s="20" t="s">
        <v>25</v>
      </c>
      <c r="R107" s="16">
        <v>373.1544067113564</v>
      </c>
      <c r="S107" s="16" t="s">
        <v>592</v>
      </c>
      <c r="T107" s="16" t="s">
        <v>593</v>
      </c>
      <c r="U107" s="16" t="s">
        <v>721</v>
      </c>
      <c r="V107" s="16"/>
      <c r="W107" s="16"/>
      <c r="X107" s="16"/>
      <c r="Y107" s="16"/>
      <c r="Z107" s="16"/>
      <c r="AA107" s="16"/>
      <c r="AB107" s="16"/>
      <c r="AC107" s="16"/>
      <c r="AD107" s="16"/>
      <c r="AE107" s="16"/>
      <c r="AF107" s="16"/>
      <c r="AG107" s="16"/>
      <c r="AH107" s="16"/>
      <c r="AI107" s="16"/>
      <c r="AJ107" s="16"/>
      <c r="AK107" s="16"/>
      <c r="AL107" s="16"/>
      <c r="AM107" s="16"/>
      <c r="AN107" s="16"/>
      <c r="AO107" s="16"/>
    </row>
    <row r="108" ht="12.75" customHeight="1">
      <c r="A108" s="19">
        <v>87.0</v>
      </c>
      <c r="B108" s="19" t="s">
        <v>24</v>
      </c>
      <c r="C108" s="19" t="s">
        <v>26</v>
      </c>
      <c r="D108" s="19" t="s">
        <v>582</v>
      </c>
      <c r="E108" s="16" t="s">
        <v>25</v>
      </c>
      <c r="F108" s="19">
        <v>2019.0</v>
      </c>
      <c r="G108" s="16" t="s">
        <v>578</v>
      </c>
      <c r="H108" s="20">
        <v>2017.0</v>
      </c>
      <c r="I108" s="20" t="s">
        <v>25</v>
      </c>
      <c r="J108" s="19">
        <v>2567880.0</v>
      </c>
      <c r="K108" s="19">
        <v>100.0</v>
      </c>
      <c r="L108" s="19">
        <v>2030.0</v>
      </c>
      <c r="M108" s="19">
        <v>30.0</v>
      </c>
      <c r="N108" s="20" t="s">
        <v>25</v>
      </c>
      <c r="O108" s="19">
        <v>1797516.0</v>
      </c>
      <c r="P108" s="19">
        <v>2298450.0</v>
      </c>
      <c r="Q108" s="20" t="s">
        <v>25</v>
      </c>
      <c r="R108" s="16">
        <v>34.97437574964562</v>
      </c>
      <c r="S108" s="16" t="s">
        <v>579</v>
      </c>
      <c r="T108" s="16" t="s">
        <v>586</v>
      </c>
      <c r="U108" s="16" t="s">
        <v>722</v>
      </c>
      <c r="V108" s="16"/>
      <c r="W108" s="16"/>
      <c r="X108" s="16"/>
      <c r="Y108" s="16"/>
      <c r="Z108" s="16"/>
      <c r="AA108" s="16"/>
      <c r="AB108" s="16"/>
      <c r="AC108" s="16"/>
      <c r="AD108" s="16"/>
      <c r="AE108" s="16"/>
      <c r="AF108" s="16"/>
      <c r="AG108" s="16"/>
      <c r="AH108" s="16"/>
      <c r="AI108" s="16"/>
      <c r="AJ108" s="16"/>
      <c r="AK108" s="16"/>
      <c r="AL108" s="16"/>
      <c r="AM108" s="16"/>
      <c r="AN108" s="16"/>
      <c r="AO108" s="16"/>
    </row>
    <row r="109" ht="12.75" customHeight="1">
      <c r="A109" s="19">
        <v>87.0</v>
      </c>
      <c r="B109" s="19" t="s">
        <v>24</v>
      </c>
      <c r="C109" s="19" t="s">
        <v>590</v>
      </c>
      <c r="D109" s="19" t="s">
        <v>723</v>
      </c>
      <c r="E109" s="16" t="s">
        <v>25</v>
      </c>
      <c r="F109" s="19">
        <v>2019.0</v>
      </c>
      <c r="G109" s="16" t="s">
        <v>578</v>
      </c>
      <c r="H109" s="20">
        <v>2017.0</v>
      </c>
      <c r="I109" s="20" t="s">
        <v>25</v>
      </c>
      <c r="J109" s="19">
        <v>2.6939E7</v>
      </c>
      <c r="K109" s="19">
        <v>100.0</v>
      </c>
      <c r="L109" s="19">
        <v>2030.0</v>
      </c>
      <c r="M109" s="19">
        <v>30.0</v>
      </c>
      <c r="N109" s="20" t="s">
        <v>25</v>
      </c>
      <c r="O109" s="19">
        <v>1.88573E7</v>
      </c>
      <c r="P109" s="19">
        <v>2.6363E7</v>
      </c>
      <c r="Q109" s="20" t="s">
        <v>25</v>
      </c>
      <c r="R109" s="16">
        <v>7.127213333828279</v>
      </c>
      <c r="S109" s="16" t="s">
        <v>579</v>
      </c>
      <c r="T109" s="16" t="s">
        <v>586</v>
      </c>
      <c r="U109" s="16" t="s">
        <v>724</v>
      </c>
      <c r="V109" s="16"/>
      <c r="W109" s="16"/>
      <c r="X109" s="16"/>
      <c r="Y109" s="16"/>
      <c r="Z109" s="16"/>
      <c r="AA109" s="16"/>
      <c r="AB109" s="16"/>
      <c r="AC109" s="16"/>
      <c r="AD109" s="16"/>
      <c r="AE109" s="16"/>
      <c r="AF109" s="16"/>
      <c r="AG109" s="16"/>
      <c r="AH109" s="16"/>
      <c r="AI109" s="16"/>
      <c r="AJ109" s="16"/>
      <c r="AK109" s="16"/>
      <c r="AL109" s="16"/>
      <c r="AM109" s="16"/>
      <c r="AN109" s="16"/>
      <c r="AO109" s="16"/>
    </row>
    <row r="110" ht="12.75" customHeight="1">
      <c r="A110" s="19">
        <v>88.0</v>
      </c>
      <c r="B110" s="19" t="s">
        <v>24</v>
      </c>
      <c r="C110" s="19" t="s">
        <v>26</v>
      </c>
      <c r="D110" s="19" t="s">
        <v>577</v>
      </c>
      <c r="E110" s="16" t="s">
        <v>25</v>
      </c>
      <c r="F110" s="19">
        <v>2016.0</v>
      </c>
      <c r="G110" s="16" t="s">
        <v>578</v>
      </c>
      <c r="H110" s="20">
        <v>2015.0</v>
      </c>
      <c r="I110" s="20" t="s">
        <v>25</v>
      </c>
      <c r="J110" s="19">
        <v>2408435.0</v>
      </c>
      <c r="K110" s="19">
        <v>100.0</v>
      </c>
      <c r="L110" s="19">
        <v>2020.0</v>
      </c>
      <c r="M110" s="19">
        <v>15.0</v>
      </c>
      <c r="N110" s="20" t="s">
        <v>25</v>
      </c>
      <c r="O110" s="19">
        <v>2047169.75</v>
      </c>
      <c r="P110" s="19">
        <v>2034760.0</v>
      </c>
      <c r="Q110" s="20" t="s">
        <v>25</v>
      </c>
      <c r="R110" s="16">
        <v>103.43507990320131</v>
      </c>
      <c r="S110" s="16" t="s">
        <v>592</v>
      </c>
      <c r="T110" s="16" t="s">
        <v>595</v>
      </c>
      <c r="U110" s="16" t="s">
        <v>725</v>
      </c>
      <c r="V110" s="16"/>
      <c r="W110" s="16"/>
      <c r="X110" s="16"/>
      <c r="Y110" s="16"/>
      <c r="Z110" s="16"/>
      <c r="AA110" s="16"/>
      <c r="AB110" s="16"/>
      <c r="AC110" s="16"/>
      <c r="AD110" s="16"/>
      <c r="AE110" s="16"/>
      <c r="AF110" s="16"/>
      <c r="AG110" s="16"/>
      <c r="AH110" s="16"/>
      <c r="AI110" s="16"/>
      <c r="AJ110" s="16"/>
      <c r="AK110" s="16"/>
      <c r="AL110" s="16"/>
      <c r="AM110" s="16"/>
      <c r="AN110" s="16"/>
      <c r="AO110" s="16"/>
    </row>
    <row r="111" ht="12.75" customHeight="1">
      <c r="A111" s="19">
        <v>6.0</v>
      </c>
      <c r="B111" s="19" t="s">
        <v>24</v>
      </c>
      <c r="C111" s="19" t="s">
        <v>26</v>
      </c>
      <c r="D111" s="19" t="s">
        <v>577</v>
      </c>
      <c r="E111" s="16" t="s">
        <v>25</v>
      </c>
      <c r="F111" s="19">
        <v>2010.0</v>
      </c>
      <c r="G111" s="16" t="s">
        <v>578</v>
      </c>
      <c r="H111" s="20">
        <v>2007.0</v>
      </c>
      <c r="I111" s="20" t="s">
        <v>25</v>
      </c>
      <c r="J111" s="19">
        <v>188715.0</v>
      </c>
      <c r="K111" s="19">
        <v>66.0</v>
      </c>
      <c r="L111" s="19">
        <v>2020.0</v>
      </c>
      <c r="M111" s="19">
        <v>20.0</v>
      </c>
      <c r="N111" s="20" t="s">
        <v>25</v>
      </c>
      <c r="O111" s="19">
        <v>150972.0</v>
      </c>
      <c r="P111" s="19">
        <v>126094.0</v>
      </c>
      <c r="Q111" s="20" t="s">
        <v>25</v>
      </c>
      <c r="R111" s="16">
        <v>165.91420925734573</v>
      </c>
      <c r="S111" s="16" t="s">
        <v>592</v>
      </c>
      <c r="T111" s="16" t="s">
        <v>580</v>
      </c>
      <c r="U111" s="16" t="s">
        <v>726</v>
      </c>
      <c r="V111" s="16"/>
      <c r="W111" s="16"/>
      <c r="X111" s="16"/>
      <c r="Y111" s="16"/>
      <c r="Z111" s="16"/>
      <c r="AA111" s="16"/>
      <c r="AB111" s="16"/>
      <c r="AC111" s="16"/>
      <c r="AD111" s="16"/>
      <c r="AE111" s="16"/>
      <c r="AF111" s="16"/>
      <c r="AG111" s="16"/>
      <c r="AH111" s="16"/>
      <c r="AI111" s="16"/>
      <c r="AJ111" s="16"/>
      <c r="AK111" s="16"/>
      <c r="AL111" s="16"/>
      <c r="AM111" s="16"/>
      <c r="AN111" s="16"/>
      <c r="AO111" s="16"/>
    </row>
    <row r="112" ht="12.75" customHeight="1">
      <c r="A112" s="19">
        <v>29.0</v>
      </c>
      <c r="B112" s="19" t="s">
        <v>24</v>
      </c>
      <c r="C112" s="19" t="s">
        <v>606</v>
      </c>
      <c r="D112" s="19" t="s">
        <v>622</v>
      </c>
      <c r="E112" s="16" t="s">
        <v>25</v>
      </c>
      <c r="F112" s="19">
        <v>2019.0</v>
      </c>
      <c r="G112" s="16" t="s">
        <v>578</v>
      </c>
      <c r="H112" s="20">
        <v>2015.0</v>
      </c>
      <c r="I112" s="20" t="s">
        <v>25</v>
      </c>
      <c r="J112" s="19">
        <v>7.014441E7</v>
      </c>
      <c r="K112" s="19">
        <v>100.0</v>
      </c>
      <c r="L112" s="19">
        <v>2030.0</v>
      </c>
      <c r="M112" s="19">
        <v>25.0</v>
      </c>
      <c r="N112" s="20" t="s">
        <v>25</v>
      </c>
      <c r="O112" s="19">
        <v>5.26083075E7</v>
      </c>
      <c r="P112" s="19">
        <v>5.26083075E7</v>
      </c>
      <c r="Q112" s="20" t="s">
        <v>25</v>
      </c>
      <c r="R112" s="16">
        <v>100.0</v>
      </c>
      <c r="S112" s="16" t="s">
        <v>603</v>
      </c>
      <c r="T112" s="16" t="s">
        <v>586</v>
      </c>
      <c r="U112" s="16" t="s">
        <v>727</v>
      </c>
      <c r="V112" s="16"/>
      <c r="W112" s="16"/>
      <c r="X112" s="16"/>
      <c r="Y112" s="16"/>
      <c r="Z112" s="16"/>
      <c r="AA112" s="16"/>
      <c r="AB112" s="16"/>
      <c r="AC112" s="16"/>
      <c r="AD112" s="16"/>
      <c r="AE112" s="16"/>
      <c r="AF112" s="16"/>
      <c r="AG112" s="16"/>
      <c r="AH112" s="16"/>
      <c r="AI112" s="16"/>
      <c r="AJ112" s="16"/>
      <c r="AK112" s="16"/>
      <c r="AL112" s="16"/>
      <c r="AM112" s="16"/>
      <c r="AN112" s="16"/>
      <c r="AO112" s="16"/>
    </row>
    <row r="113" ht="12.75" customHeight="1">
      <c r="A113" s="19">
        <v>36.0</v>
      </c>
      <c r="B113" s="19" t="s">
        <v>24</v>
      </c>
      <c r="C113" s="19" t="s">
        <v>26</v>
      </c>
      <c r="D113" s="19" t="s">
        <v>582</v>
      </c>
      <c r="E113" s="16" t="s">
        <v>25</v>
      </c>
      <c r="F113" s="19">
        <v>2015.0</v>
      </c>
      <c r="G113" s="16" t="s">
        <v>578</v>
      </c>
      <c r="H113" s="20">
        <v>2006.0</v>
      </c>
      <c r="I113" s="20" t="s">
        <v>25</v>
      </c>
      <c r="J113" s="19">
        <v>4.21E7</v>
      </c>
      <c r="K113" s="19">
        <v>100.0</v>
      </c>
      <c r="L113" s="19">
        <v>2025.0</v>
      </c>
      <c r="M113" s="19">
        <v>0.0</v>
      </c>
      <c r="N113" s="20" t="s">
        <v>25</v>
      </c>
      <c r="O113" s="19">
        <v>4.21E7</v>
      </c>
      <c r="P113" s="19">
        <v>3.3581018E7</v>
      </c>
      <c r="Q113" s="20" t="s">
        <v>25</v>
      </c>
      <c r="R113" s="16" t="s">
        <v>25</v>
      </c>
      <c r="S113" s="16" t="s">
        <v>579</v>
      </c>
      <c r="T113" s="16" t="s">
        <v>580</v>
      </c>
      <c r="U113" s="16" t="s">
        <v>728</v>
      </c>
      <c r="V113" s="16"/>
      <c r="W113" s="16"/>
      <c r="X113" s="16"/>
      <c r="Y113" s="16"/>
      <c r="Z113" s="16"/>
      <c r="AA113" s="16"/>
      <c r="AB113" s="16"/>
      <c r="AC113" s="16"/>
      <c r="AD113" s="16"/>
      <c r="AE113" s="16"/>
      <c r="AF113" s="16"/>
      <c r="AG113" s="16"/>
      <c r="AH113" s="16"/>
      <c r="AI113" s="16"/>
      <c r="AJ113" s="16"/>
      <c r="AK113" s="16"/>
      <c r="AL113" s="16"/>
      <c r="AM113" s="16"/>
      <c r="AN113" s="16"/>
      <c r="AO113" s="16"/>
    </row>
    <row r="114" ht="12.75" customHeight="1">
      <c r="A114" s="19">
        <v>51.0</v>
      </c>
      <c r="B114" s="19" t="s">
        <v>24</v>
      </c>
      <c r="C114" s="19" t="s">
        <v>26</v>
      </c>
      <c r="D114" s="19" t="s">
        <v>577</v>
      </c>
      <c r="E114" s="16" t="s">
        <v>25</v>
      </c>
      <c r="F114" s="19">
        <v>2015.0</v>
      </c>
      <c r="G114" s="16" t="s">
        <v>578</v>
      </c>
      <c r="H114" s="19">
        <v>2010.0</v>
      </c>
      <c r="I114" s="20" t="s">
        <v>25</v>
      </c>
      <c r="J114" s="19">
        <v>3073094.0</v>
      </c>
      <c r="K114" s="19">
        <v>100.0</v>
      </c>
      <c r="L114" s="19">
        <v>2020.0</v>
      </c>
      <c r="M114" s="19">
        <v>20.0</v>
      </c>
      <c r="N114" s="20" t="s">
        <v>25</v>
      </c>
      <c r="O114" s="19">
        <v>2458475.2</v>
      </c>
      <c r="P114" s="19">
        <v>1948233.0</v>
      </c>
      <c r="Q114" s="20" t="s">
        <v>25</v>
      </c>
      <c r="R114" s="16">
        <v>183.0176688379855</v>
      </c>
      <c r="S114" s="16" t="s">
        <v>592</v>
      </c>
      <c r="T114" s="16" t="s">
        <v>593</v>
      </c>
      <c r="U114" s="16" t="s">
        <v>729</v>
      </c>
      <c r="V114" s="16"/>
      <c r="W114" s="16"/>
      <c r="X114" s="16"/>
      <c r="Y114" s="16"/>
      <c r="Z114" s="16"/>
      <c r="AA114" s="16"/>
      <c r="AB114" s="16"/>
      <c r="AC114" s="16"/>
      <c r="AD114" s="16"/>
      <c r="AE114" s="16"/>
      <c r="AF114" s="16"/>
      <c r="AG114" s="16"/>
      <c r="AH114" s="16"/>
      <c r="AI114" s="16"/>
      <c r="AJ114" s="16"/>
      <c r="AK114" s="16"/>
      <c r="AL114" s="16"/>
      <c r="AM114" s="16"/>
      <c r="AN114" s="16"/>
      <c r="AO114" s="16"/>
    </row>
    <row r="115" ht="12.75" customHeight="1">
      <c r="A115" s="19">
        <v>51.0</v>
      </c>
      <c r="B115" s="19" t="s">
        <v>24</v>
      </c>
      <c r="C115" s="19" t="s">
        <v>26</v>
      </c>
      <c r="D115" s="19" t="s">
        <v>577</v>
      </c>
      <c r="E115" s="16" t="s">
        <v>25</v>
      </c>
      <c r="F115" s="19">
        <v>2018.0</v>
      </c>
      <c r="G115" s="16" t="s">
        <v>650</v>
      </c>
      <c r="H115" s="19">
        <v>2011.0</v>
      </c>
      <c r="I115" s="20" t="s">
        <v>25</v>
      </c>
      <c r="J115" s="19">
        <v>3020011.0</v>
      </c>
      <c r="K115" s="19">
        <v>100.0</v>
      </c>
      <c r="L115" s="19">
        <v>2030.0</v>
      </c>
      <c r="M115" s="19">
        <v>39.9</v>
      </c>
      <c r="N115" s="20" t="s">
        <v>25</v>
      </c>
      <c r="O115" s="19">
        <v>1815026.611</v>
      </c>
      <c r="P115" s="19">
        <v>1948233.0</v>
      </c>
      <c r="Q115" s="20" t="s">
        <v>25</v>
      </c>
      <c r="R115" s="16">
        <v>88.94538466921168</v>
      </c>
      <c r="S115" s="16" t="s">
        <v>579</v>
      </c>
      <c r="T115" s="16" t="s">
        <v>608</v>
      </c>
      <c r="U115" s="16" t="s">
        <v>730</v>
      </c>
      <c r="V115" s="16"/>
      <c r="W115" s="16"/>
      <c r="X115" s="16"/>
      <c r="Y115" s="16"/>
      <c r="Z115" s="16"/>
      <c r="AA115" s="16"/>
      <c r="AB115" s="16"/>
      <c r="AC115" s="16"/>
      <c r="AD115" s="16"/>
      <c r="AE115" s="16"/>
      <c r="AF115" s="16"/>
      <c r="AG115" s="16"/>
      <c r="AH115" s="16"/>
      <c r="AI115" s="16"/>
      <c r="AJ115" s="16"/>
      <c r="AK115" s="16"/>
      <c r="AL115" s="16"/>
      <c r="AM115" s="16"/>
      <c r="AN115" s="16"/>
      <c r="AO115" s="16"/>
    </row>
    <row r="116" ht="12.75" customHeight="1">
      <c r="A116" s="19">
        <v>51.0</v>
      </c>
      <c r="B116" s="19" t="s">
        <v>24</v>
      </c>
      <c r="C116" s="19" t="s">
        <v>26</v>
      </c>
      <c r="D116" s="19" t="s">
        <v>577</v>
      </c>
      <c r="E116" s="16" t="s">
        <v>25</v>
      </c>
      <c r="F116" s="19">
        <v>2018.0</v>
      </c>
      <c r="G116" s="16" t="s">
        <v>578</v>
      </c>
      <c r="H116" s="19">
        <v>2011.0</v>
      </c>
      <c r="I116" s="20" t="s">
        <v>25</v>
      </c>
      <c r="J116" s="19">
        <v>3020011.0</v>
      </c>
      <c r="K116" s="19">
        <v>100.0</v>
      </c>
      <c r="L116" s="19">
        <v>2035.0</v>
      </c>
      <c r="M116" s="19">
        <v>50.4</v>
      </c>
      <c r="N116" s="20" t="s">
        <v>25</v>
      </c>
      <c r="O116" s="19">
        <v>1497925.456</v>
      </c>
      <c r="P116" s="19">
        <v>1948233.0</v>
      </c>
      <c r="Q116" s="20" t="s">
        <v>25</v>
      </c>
      <c r="R116" s="16">
        <v>70.41509619645925</v>
      </c>
      <c r="S116" s="16" t="s">
        <v>579</v>
      </c>
      <c r="T116" s="16" t="s">
        <v>608</v>
      </c>
      <c r="U116" s="16" t="s">
        <v>731</v>
      </c>
      <c r="V116" s="16"/>
      <c r="W116" s="16"/>
      <c r="X116" s="16"/>
      <c r="Y116" s="16"/>
      <c r="Z116" s="16"/>
      <c r="AA116" s="16"/>
      <c r="AB116" s="16"/>
      <c r="AC116" s="16"/>
      <c r="AD116" s="16"/>
      <c r="AE116" s="16"/>
      <c r="AF116" s="16"/>
      <c r="AG116" s="16"/>
      <c r="AH116" s="16"/>
      <c r="AI116" s="16"/>
      <c r="AJ116" s="16"/>
      <c r="AK116" s="16"/>
      <c r="AL116" s="16"/>
      <c r="AM116" s="16"/>
      <c r="AN116" s="16"/>
      <c r="AO116" s="16"/>
    </row>
    <row r="117" ht="12.75" customHeight="1">
      <c r="A117" s="19">
        <v>85.0</v>
      </c>
      <c r="B117" s="19" t="s">
        <v>24</v>
      </c>
      <c r="C117" s="19" t="s">
        <v>613</v>
      </c>
      <c r="D117" s="19" t="s">
        <v>614</v>
      </c>
      <c r="E117" s="16" t="s">
        <v>25</v>
      </c>
      <c r="F117" s="19">
        <v>2018.0</v>
      </c>
      <c r="G117" s="16" t="s">
        <v>732</v>
      </c>
      <c r="H117" s="19">
        <v>2007.0</v>
      </c>
      <c r="I117" s="20" t="s">
        <v>25</v>
      </c>
      <c r="J117" s="19">
        <v>1.56650363E8</v>
      </c>
      <c r="K117" s="19">
        <v>100.0</v>
      </c>
      <c r="L117" s="19">
        <v>2050.0</v>
      </c>
      <c r="M117" s="19">
        <v>100.0</v>
      </c>
      <c r="N117" s="20" t="s">
        <v>25</v>
      </c>
      <c r="O117" s="19">
        <v>0.0</v>
      </c>
      <c r="P117" s="19">
        <v>8.8213565E7</v>
      </c>
      <c r="Q117" s="20" t="s">
        <v>25</v>
      </c>
      <c r="R117" s="16">
        <v>43.68760894604502</v>
      </c>
      <c r="S117" s="16" t="s">
        <v>579</v>
      </c>
      <c r="T117" s="16" t="s">
        <v>608</v>
      </c>
      <c r="U117" s="16" t="s">
        <v>733</v>
      </c>
      <c r="V117" s="16"/>
      <c r="W117" s="16"/>
      <c r="X117" s="16"/>
      <c r="Y117" s="16"/>
      <c r="Z117" s="16"/>
      <c r="AA117" s="16"/>
      <c r="AB117" s="16"/>
      <c r="AC117" s="16"/>
      <c r="AD117" s="16"/>
      <c r="AE117" s="16"/>
      <c r="AF117" s="16"/>
      <c r="AG117" s="16"/>
      <c r="AH117" s="16"/>
      <c r="AI117" s="16"/>
      <c r="AJ117" s="16"/>
      <c r="AK117" s="16"/>
      <c r="AL117" s="16"/>
      <c r="AM117" s="16"/>
      <c r="AN117" s="16"/>
      <c r="AO117" s="16"/>
    </row>
    <row r="118" ht="12.75" customHeight="1">
      <c r="A118" s="19">
        <v>85.0</v>
      </c>
      <c r="B118" s="19" t="s">
        <v>24</v>
      </c>
      <c r="C118" s="19" t="s">
        <v>613</v>
      </c>
      <c r="D118" s="19" t="s">
        <v>614</v>
      </c>
      <c r="E118" s="16" t="s">
        <v>25</v>
      </c>
      <c r="F118" s="19">
        <v>2018.0</v>
      </c>
      <c r="G118" s="16" t="s">
        <v>732</v>
      </c>
      <c r="H118" s="19">
        <v>2007.0</v>
      </c>
      <c r="I118" s="20" t="s">
        <v>25</v>
      </c>
      <c r="J118" s="19">
        <v>1.56650363E8</v>
      </c>
      <c r="K118" s="19">
        <v>100.0</v>
      </c>
      <c r="L118" s="19">
        <v>2030.0</v>
      </c>
      <c r="M118" s="19">
        <v>50.0</v>
      </c>
      <c r="N118" s="20" t="s">
        <v>25</v>
      </c>
      <c r="O118" s="19">
        <v>7.83251815E7</v>
      </c>
      <c r="P118" s="19">
        <v>8.8213565E7</v>
      </c>
      <c r="Q118" s="20" t="s">
        <v>25</v>
      </c>
      <c r="R118" s="16">
        <v>87.37521789209003</v>
      </c>
      <c r="S118" s="16" t="s">
        <v>579</v>
      </c>
      <c r="T118" s="16" t="s">
        <v>608</v>
      </c>
      <c r="U118" s="16" t="s">
        <v>733</v>
      </c>
      <c r="V118" s="16"/>
      <c r="W118" s="16"/>
      <c r="X118" s="16"/>
      <c r="Y118" s="16"/>
      <c r="Z118" s="16"/>
      <c r="AA118" s="16"/>
      <c r="AB118" s="16"/>
      <c r="AC118" s="16"/>
      <c r="AD118" s="16"/>
      <c r="AE118" s="16"/>
      <c r="AF118" s="16"/>
      <c r="AG118" s="16"/>
      <c r="AH118" s="16"/>
      <c r="AI118" s="16"/>
      <c r="AJ118" s="16"/>
      <c r="AK118" s="16"/>
      <c r="AL118" s="16"/>
      <c r="AM118" s="16"/>
      <c r="AN118" s="16"/>
      <c r="AO118" s="16"/>
    </row>
    <row r="119" ht="12.75" customHeight="1">
      <c r="A119" s="19">
        <v>95.0</v>
      </c>
      <c r="B119" s="19" t="s">
        <v>24</v>
      </c>
      <c r="C119" s="19" t="s">
        <v>26</v>
      </c>
      <c r="D119" s="19" t="s">
        <v>582</v>
      </c>
      <c r="E119" s="16" t="s">
        <v>25</v>
      </c>
      <c r="F119" s="19">
        <v>2016.0</v>
      </c>
      <c r="G119" s="16" t="s">
        <v>578</v>
      </c>
      <c r="H119" s="19">
        <v>2014.0</v>
      </c>
      <c r="I119" s="20" t="s">
        <v>25</v>
      </c>
      <c r="J119" s="19">
        <v>415211.0</v>
      </c>
      <c r="K119" s="19">
        <v>100.0</v>
      </c>
      <c r="L119" s="19">
        <v>2029.0</v>
      </c>
      <c r="M119" s="19">
        <v>40.0</v>
      </c>
      <c r="N119" s="20" t="s">
        <v>25</v>
      </c>
      <c r="O119" s="19">
        <v>249126.6</v>
      </c>
      <c r="P119" s="19">
        <v>232928.0</v>
      </c>
      <c r="Q119" s="20" t="s">
        <v>25</v>
      </c>
      <c r="R119" s="16">
        <v>109.75323389794586</v>
      </c>
      <c r="S119" s="16" t="s">
        <v>592</v>
      </c>
      <c r="T119" s="16" t="s">
        <v>608</v>
      </c>
      <c r="U119" s="16" t="s">
        <v>734</v>
      </c>
      <c r="V119" s="16"/>
      <c r="W119" s="16"/>
      <c r="X119" s="16"/>
      <c r="Y119" s="16"/>
      <c r="Z119" s="16"/>
      <c r="AA119" s="16"/>
      <c r="AB119" s="16"/>
      <c r="AC119" s="16"/>
      <c r="AD119" s="16"/>
      <c r="AE119" s="16"/>
      <c r="AF119" s="16"/>
      <c r="AG119" s="16"/>
      <c r="AH119" s="16"/>
      <c r="AI119" s="16"/>
      <c r="AJ119" s="16"/>
      <c r="AK119" s="16"/>
      <c r="AL119" s="16"/>
      <c r="AM119" s="16"/>
      <c r="AN119" s="16"/>
      <c r="AO119" s="16"/>
    </row>
    <row r="120" ht="12.75" customHeight="1">
      <c r="A120" s="19">
        <v>95.0</v>
      </c>
      <c r="B120" s="19" t="s">
        <v>24</v>
      </c>
      <c r="C120" s="19" t="s">
        <v>26</v>
      </c>
      <c r="D120" s="19" t="s">
        <v>582</v>
      </c>
      <c r="E120" s="16" t="s">
        <v>25</v>
      </c>
      <c r="F120" s="19">
        <v>2016.0</v>
      </c>
      <c r="G120" s="16" t="s">
        <v>578</v>
      </c>
      <c r="H120" s="19">
        <v>2014.0</v>
      </c>
      <c r="I120" s="20" t="s">
        <v>25</v>
      </c>
      <c r="J120" s="19">
        <v>415211.0</v>
      </c>
      <c r="K120" s="19">
        <v>100.0</v>
      </c>
      <c r="L120" s="19">
        <v>2044.0</v>
      </c>
      <c r="M120" s="19">
        <v>60.0</v>
      </c>
      <c r="N120" s="20" t="s">
        <v>25</v>
      </c>
      <c r="O120" s="19">
        <v>166084.4</v>
      </c>
      <c r="P120" s="19">
        <v>232928.0</v>
      </c>
      <c r="Q120" s="20" t="s">
        <v>25</v>
      </c>
      <c r="R120" s="16">
        <v>73.16882259863058</v>
      </c>
      <c r="S120" s="16" t="s">
        <v>579</v>
      </c>
      <c r="T120" s="16" t="s">
        <v>608</v>
      </c>
      <c r="U120" s="16" t="s">
        <v>734</v>
      </c>
      <c r="V120" s="16"/>
      <c r="W120" s="16"/>
      <c r="X120" s="16"/>
      <c r="Y120" s="16"/>
      <c r="Z120" s="16"/>
      <c r="AA120" s="16"/>
      <c r="AB120" s="16"/>
      <c r="AC120" s="16"/>
      <c r="AD120" s="16"/>
      <c r="AE120" s="16"/>
      <c r="AF120" s="16"/>
      <c r="AG120" s="16"/>
      <c r="AH120" s="16"/>
      <c r="AI120" s="16"/>
      <c r="AJ120" s="16"/>
      <c r="AK120" s="16"/>
      <c r="AL120" s="16"/>
      <c r="AM120" s="16"/>
      <c r="AN120" s="16"/>
      <c r="AO120" s="16"/>
    </row>
    <row r="121" ht="12.75" customHeight="1">
      <c r="A121" s="19">
        <v>93.0</v>
      </c>
      <c r="B121" s="19" t="s">
        <v>24</v>
      </c>
      <c r="C121" s="19" t="s">
        <v>26</v>
      </c>
      <c r="D121" s="19" t="s">
        <v>582</v>
      </c>
      <c r="E121" s="16" t="s">
        <v>25</v>
      </c>
      <c r="F121" s="19">
        <v>2019.0</v>
      </c>
      <c r="G121" s="16" t="s">
        <v>735</v>
      </c>
      <c r="H121" s="19">
        <v>2017.0</v>
      </c>
      <c r="I121" s="20" t="s">
        <v>25</v>
      </c>
      <c r="J121" s="19">
        <v>95079.0</v>
      </c>
      <c r="K121" s="19">
        <v>55.0</v>
      </c>
      <c r="L121" s="19">
        <v>2023.0</v>
      </c>
      <c r="M121" s="19">
        <v>3.0</v>
      </c>
      <c r="N121" s="20" t="s">
        <v>25</v>
      </c>
      <c r="O121" s="19">
        <v>92226.63</v>
      </c>
      <c r="P121" s="19">
        <v>82785.0</v>
      </c>
      <c r="Q121" s="20" t="s">
        <v>25</v>
      </c>
      <c r="R121" s="16">
        <v>431.0100022086903</v>
      </c>
      <c r="S121" s="16" t="s">
        <v>579</v>
      </c>
      <c r="T121" s="16" t="s">
        <v>595</v>
      </c>
      <c r="U121" s="16" t="s">
        <v>736</v>
      </c>
      <c r="V121" s="16"/>
      <c r="W121" s="16"/>
      <c r="X121" s="16"/>
      <c r="Y121" s="16"/>
      <c r="Z121" s="16"/>
      <c r="AA121" s="16"/>
      <c r="AB121" s="16"/>
      <c r="AC121" s="16"/>
      <c r="AD121" s="16"/>
      <c r="AE121" s="16"/>
      <c r="AF121" s="16"/>
      <c r="AG121" s="16"/>
      <c r="AH121" s="16"/>
      <c r="AI121" s="16"/>
      <c r="AJ121" s="16"/>
      <c r="AK121" s="16"/>
      <c r="AL121" s="16"/>
      <c r="AM121" s="16"/>
      <c r="AN121" s="16"/>
      <c r="AO121" s="16"/>
    </row>
    <row r="122" ht="12.75" customHeight="1">
      <c r="A122" s="19">
        <v>94.0</v>
      </c>
      <c r="B122" s="19" t="s">
        <v>24</v>
      </c>
      <c r="C122" s="19" t="s">
        <v>26</v>
      </c>
      <c r="D122" s="19" t="s">
        <v>582</v>
      </c>
      <c r="E122" s="16" t="s">
        <v>25</v>
      </c>
      <c r="F122" s="19">
        <v>2016.0</v>
      </c>
      <c r="G122" s="16" t="s">
        <v>732</v>
      </c>
      <c r="H122" s="19">
        <v>2015.0</v>
      </c>
      <c r="I122" s="20" t="s">
        <v>25</v>
      </c>
      <c r="J122" s="19">
        <v>5636000.0</v>
      </c>
      <c r="K122" s="19">
        <v>43.0</v>
      </c>
      <c r="L122" s="19">
        <v>2025.0</v>
      </c>
      <c r="M122" s="19">
        <v>12.0</v>
      </c>
      <c r="N122" s="20" t="s">
        <v>25</v>
      </c>
      <c r="O122" s="19">
        <v>4959680.0</v>
      </c>
      <c r="P122" s="19">
        <v>5938000.0</v>
      </c>
      <c r="Q122" s="20" t="s">
        <v>25</v>
      </c>
      <c r="R122" s="16">
        <v>-44.653418500118285</v>
      </c>
      <c r="S122" s="16" t="s">
        <v>579</v>
      </c>
      <c r="T122" s="16" t="s">
        <v>608</v>
      </c>
      <c r="U122" s="16" t="s">
        <v>737</v>
      </c>
      <c r="V122" s="16"/>
      <c r="W122" s="16"/>
      <c r="X122" s="16"/>
      <c r="Y122" s="16"/>
      <c r="Z122" s="16"/>
      <c r="AA122" s="16"/>
      <c r="AB122" s="16"/>
      <c r="AC122" s="16"/>
      <c r="AD122" s="16"/>
      <c r="AE122" s="16"/>
      <c r="AF122" s="16"/>
      <c r="AG122" s="16"/>
      <c r="AH122" s="16"/>
      <c r="AI122" s="16"/>
      <c r="AJ122" s="16"/>
      <c r="AK122" s="16"/>
      <c r="AL122" s="16"/>
      <c r="AM122" s="16"/>
      <c r="AN122" s="16"/>
      <c r="AO122" s="16"/>
    </row>
    <row r="123" ht="12.75" customHeight="1">
      <c r="A123" s="19">
        <v>96.0</v>
      </c>
      <c r="B123" s="19" t="s">
        <v>24</v>
      </c>
      <c r="C123" s="19" t="s">
        <v>26</v>
      </c>
      <c r="D123" s="19" t="s">
        <v>577</v>
      </c>
      <c r="E123" s="16" t="s">
        <v>25</v>
      </c>
      <c r="F123" s="19">
        <v>2018.0</v>
      </c>
      <c r="G123" s="16" t="s">
        <v>578</v>
      </c>
      <c r="H123" s="19">
        <v>2018.0</v>
      </c>
      <c r="I123" s="20" t="s">
        <v>25</v>
      </c>
      <c r="J123" s="19">
        <v>4418820.0</v>
      </c>
      <c r="K123" s="19">
        <v>100.0</v>
      </c>
      <c r="L123" s="19">
        <v>2035.0</v>
      </c>
      <c r="M123" s="19">
        <v>100.0</v>
      </c>
      <c r="N123" s="20" t="s">
        <v>25</v>
      </c>
      <c r="O123" s="19">
        <v>0.0</v>
      </c>
      <c r="P123" s="19">
        <v>4365627.32</v>
      </c>
      <c r="Q123" s="20" t="s">
        <v>25</v>
      </c>
      <c r="R123" s="16">
        <v>1.2037756686174068</v>
      </c>
      <c r="S123" s="16" t="s">
        <v>579</v>
      </c>
      <c r="T123" s="16" t="s">
        <v>608</v>
      </c>
      <c r="U123" s="16" t="s">
        <v>738</v>
      </c>
      <c r="V123" s="16"/>
      <c r="W123" s="16"/>
      <c r="X123" s="16"/>
      <c r="Y123" s="16"/>
      <c r="Z123" s="16"/>
      <c r="AA123" s="16"/>
      <c r="AB123" s="16"/>
      <c r="AC123" s="16"/>
      <c r="AD123" s="16"/>
      <c r="AE123" s="16"/>
      <c r="AF123" s="16"/>
      <c r="AG123" s="16"/>
      <c r="AH123" s="16"/>
      <c r="AI123" s="16"/>
      <c r="AJ123" s="16"/>
      <c r="AK123" s="16"/>
      <c r="AL123" s="16"/>
      <c r="AM123" s="16"/>
      <c r="AN123" s="16"/>
      <c r="AO123" s="16"/>
    </row>
    <row r="124" ht="12.75" customHeight="1">
      <c r="A124" s="19">
        <v>96.0</v>
      </c>
      <c r="B124" s="19" t="s">
        <v>24</v>
      </c>
      <c r="C124" s="19" t="s">
        <v>619</v>
      </c>
      <c r="D124" s="19" t="s">
        <v>739</v>
      </c>
      <c r="E124" s="16" t="s">
        <v>25</v>
      </c>
      <c r="F124" s="19">
        <v>2018.0</v>
      </c>
      <c r="G124" s="16" t="s">
        <v>578</v>
      </c>
      <c r="H124" s="19">
        <v>2018.0</v>
      </c>
      <c r="I124" s="20" t="s">
        <v>25</v>
      </c>
      <c r="J124" s="19">
        <v>4033579.0</v>
      </c>
      <c r="K124" s="19">
        <v>100.0</v>
      </c>
      <c r="L124" s="19">
        <v>2025.0</v>
      </c>
      <c r="M124" s="19">
        <v>50.0</v>
      </c>
      <c r="N124" s="20" t="s">
        <v>25</v>
      </c>
      <c r="O124" s="19">
        <v>2016789.5</v>
      </c>
      <c r="P124" s="19">
        <v>4006874.47</v>
      </c>
      <c r="Q124" s="20" t="s">
        <v>25</v>
      </c>
      <c r="R124" s="16">
        <v>1.3241109198555325</v>
      </c>
      <c r="S124" s="16" t="s">
        <v>579</v>
      </c>
      <c r="T124" s="16" t="s">
        <v>593</v>
      </c>
      <c r="U124" s="16" t="s">
        <v>740</v>
      </c>
      <c r="V124" s="16"/>
      <c r="W124" s="16"/>
      <c r="X124" s="16"/>
      <c r="Y124" s="16"/>
      <c r="Z124" s="16"/>
      <c r="AA124" s="16"/>
      <c r="AB124" s="16"/>
      <c r="AC124" s="16"/>
      <c r="AD124" s="16"/>
      <c r="AE124" s="16"/>
      <c r="AF124" s="16"/>
      <c r="AG124" s="16"/>
      <c r="AH124" s="16"/>
      <c r="AI124" s="16"/>
      <c r="AJ124" s="16"/>
      <c r="AK124" s="16"/>
      <c r="AL124" s="16"/>
      <c r="AM124" s="16"/>
      <c r="AN124" s="16"/>
      <c r="AO124" s="16"/>
    </row>
    <row r="125" ht="12.75" customHeight="1">
      <c r="A125" s="19">
        <v>99.0</v>
      </c>
      <c r="B125" s="19" t="s">
        <v>24</v>
      </c>
      <c r="C125" s="19" t="s">
        <v>26</v>
      </c>
      <c r="D125" s="19" t="s">
        <v>582</v>
      </c>
      <c r="E125" s="16" t="s">
        <v>25</v>
      </c>
      <c r="F125" s="19">
        <v>2016.0</v>
      </c>
      <c r="G125" s="16" t="s">
        <v>578</v>
      </c>
      <c r="H125" s="19">
        <v>2015.0</v>
      </c>
      <c r="I125" s="20" t="s">
        <v>25</v>
      </c>
      <c r="J125" s="19">
        <v>1.9547272E7</v>
      </c>
      <c r="K125" s="19">
        <v>100.0</v>
      </c>
      <c r="L125" s="19">
        <v>2025.0</v>
      </c>
      <c r="M125" s="19">
        <v>18.0</v>
      </c>
      <c r="N125" s="20" t="s">
        <v>25</v>
      </c>
      <c r="O125" s="19">
        <v>1.602876304E7</v>
      </c>
      <c r="P125" s="19">
        <v>1.7563596E7</v>
      </c>
      <c r="Q125" s="20" t="s">
        <v>25</v>
      </c>
      <c r="R125" s="16">
        <v>56.378313159105886</v>
      </c>
      <c r="S125" s="16" t="s">
        <v>579</v>
      </c>
      <c r="T125" s="16" t="s">
        <v>586</v>
      </c>
      <c r="U125" s="16" t="s">
        <v>741</v>
      </c>
      <c r="V125" s="16"/>
      <c r="W125" s="16"/>
      <c r="X125" s="16"/>
      <c r="Y125" s="16"/>
      <c r="Z125" s="16"/>
      <c r="AA125" s="16"/>
      <c r="AB125" s="16"/>
      <c r="AC125" s="16"/>
      <c r="AD125" s="16"/>
      <c r="AE125" s="16"/>
      <c r="AF125" s="16"/>
      <c r="AG125" s="16"/>
      <c r="AH125" s="16"/>
      <c r="AI125" s="16"/>
      <c r="AJ125" s="16"/>
      <c r="AK125" s="16"/>
      <c r="AL125" s="16"/>
      <c r="AM125" s="16"/>
      <c r="AN125" s="16"/>
      <c r="AO125" s="16"/>
    </row>
    <row r="126" ht="12.75" customHeight="1">
      <c r="A126" s="19">
        <v>99.0</v>
      </c>
      <c r="B126" s="19" t="s">
        <v>24</v>
      </c>
      <c r="C126" s="19" t="s">
        <v>590</v>
      </c>
      <c r="D126" s="19" t="s">
        <v>600</v>
      </c>
      <c r="E126" s="16" t="s">
        <v>25</v>
      </c>
      <c r="F126" s="19">
        <v>2016.0</v>
      </c>
      <c r="G126" s="16" t="s">
        <v>578</v>
      </c>
      <c r="H126" s="19">
        <v>2015.0</v>
      </c>
      <c r="I126" s="20" t="s">
        <v>25</v>
      </c>
      <c r="J126" s="19">
        <v>1.0E9</v>
      </c>
      <c r="K126" s="19">
        <v>100.0</v>
      </c>
      <c r="L126" s="19">
        <v>2030.0</v>
      </c>
      <c r="M126" s="19">
        <v>100.0</v>
      </c>
      <c r="N126" s="20" t="s">
        <v>25</v>
      </c>
      <c r="O126" s="19">
        <v>0.0</v>
      </c>
      <c r="P126" s="19">
        <v>7.7E8</v>
      </c>
      <c r="Q126" s="20" t="s">
        <v>25</v>
      </c>
      <c r="R126" s="16">
        <v>23.0</v>
      </c>
      <c r="S126" s="16" t="s">
        <v>579</v>
      </c>
      <c r="T126" s="16" t="s">
        <v>586</v>
      </c>
      <c r="U126" s="16" t="s">
        <v>742</v>
      </c>
      <c r="V126" s="16"/>
      <c r="W126" s="16"/>
      <c r="X126" s="16"/>
      <c r="Y126" s="16"/>
      <c r="Z126" s="16"/>
      <c r="AA126" s="16"/>
      <c r="AB126" s="16"/>
      <c r="AC126" s="16"/>
      <c r="AD126" s="16"/>
      <c r="AE126" s="16"/>
      <c r="AF126" s="16"/>
      <c r="AG126" s="16"/>
      <c r="AH126" s="16"/>
      <c r="AI126" s="16"/>
      <c r="AJ126" s="16"/>
      <c r="AK126" s="16"/>
      <c r="AL126" s="16"/>
      <c r="AM126" s="16"/>
      <c r="AN126" s="16"/>
      <c r="AO126" s="16"/>
    </row>
    <row r="127" ht="12.75" customHeight="1">
      <c r="A127" s="19">
        <v>90.0</v>
      </c>
      <c r="B127" s="19" t="s">
        <v>24</v>
      </c>
      <c r="C127" s="19" t="s">
        <v>26</v>
      </c>
      <c r="D127" s="19" t="s">
        <v>582</v>
      </c>
      <c r="E127" s="16" t="s">
        <v>25</v>
      </c>
      <c r="F127" s="19">
        <v>2013.0</v>
      </c>
      <c r="G127" s="16" t="s">
        <v>578</v>
      </c>
      <c r="H127" s="19">
        <v>2012.0</v>
      </c>
      <c r="I127" s="20" t="s">
        <v>25</v>
      </c>
      <c r="J127" s="19">
        <v>1742927.0</v>
      </c>
      <c r="K127" s="19">
        <v>100.0</v>
      </c>
      <c r="L127" s="19">
        <v>2020.0</v>
      </c>
      <c r="M127" s="19">
        <v>50.0</v>
      </c>
      <c r="N127" s="20" t="s">
        <v>25</v>
      </c>
      <c r="O127" s="19">
        <v>871463.5</v>
      </c>
      <c r="P127" s="19">
        <v>925998.0</v>
      </c>
      <c r="Q127" s="20" t="s">
        <v>25</v>
      </c>
      <c r="R127" s="16">
        <v>93.74219344814786</v>
      </c>
      <c r="S127" s="16" t="s">
        <v>579</v>
      </c>
      <c r="T127" s="16" t="s">
        <v>608</v>
      </c>
      <c r="U127" s="16" t="s">
        <v>743</v>
      </c>
      <c r="V127" s="16"/>
      <c r="W127" s="16"/>
      <c r="X127" s="16"/>
      <c r="Y127" s="16"/>
      <c r="Z127" s="16"/>
      <c r="AA127" s="16"/>
      <c r="AB127" s="16"/>
      <c r="AC127" s="16"/>
      <c r="AD127" s="16"/>
      <c r="AE127" s="16"/>
      <c r="AF127" s="16"/>
      <c r="AG127" s="16"/>
      <c r="AH127" s="16"/>
      <c r="AI127" s="16"/>
      <c r="AJ127" s="16"/>
      <c r="AK127" s="16"/>
      <c r="AL127" s="16"/>
      <c r="AM127" s="16"/>
      <c r="AN127" s="16"/>
      <c r="AO127" s="16"/>
    </row>
    <row r="128" ht="12.75" customHeight="1">
      <c r="A128" s="19">
        <v>100.0</v>
      </c>
      <c r="B128" s="19" t="s">
        <v>24</v>
      </c>
      <c r="C128" s="19" t="s">
        <v>606</v>
      </c>
      <c r="D128" s="19" t="s">
        <v>658</v>
      </c>
      <c r="E128" s="16" t="s">
        <v>25</v>
      </c>
      <c r="F128" s="19">
        <v>2008.0</v>
      </c>
      <c r="G128" s="16"/>
      <c r="H128" s="19">
        <v>2008.0</v>
      </c>
      <c r="I128" s="20" t="s">
        <v>25</v>
      </c>
      <c r="J128" s="19">
        <v>1953466.0</v>
      </c>
      <c r="K128" s="19">
        <v>100.0</v>
      </c>
      <c r="L128" s="19">
        <v>2020.0</v>
      </c>
      <c r="M128" s="19">
        <v>45.0</v>
      </c>
      <c r="N128" s="20" t="s">
        <v>25</v>
      </c>
      <c r="O128" s="19">
        <v>1074406.3</v>
      </c>
      <c r="P128" s="19">
        <v>941597.0</v>
      </c>
      <c r="Q128" s="20" t="s">
        <v>25</v>
      </c>
      <c r="R128" s="16">
        <v>115.10810926720904</v>
      </c>
      <c r="S128" s="16" t="s">
        <v>592</v>
      </c>
      <c r="T128" s="16" t="s">
        <v>580</v>
      </c>
      <c r="U128" s="16" t="s">
        <v>744</v>
      </c>
      <c r="V128" s="16"/>
      <c r="W128" s="16"/>
      <c r="X128" s="16"/>
      <c r="Y128" s="16"/>
      <c r="Z128" s="16"/>
      <c r="AA128" s="16"/>
      <c r="AB128" s="16"/>
      <c r="AC128" s="16"/>
      <c r="AD128" s="16"/>
      <c r="AE128" s="16"/>
      <c r="AF128" s="16"/>
      <c r="AG128" s="16"/>
      <c r="AH128" s="16"/>
      <c r="AI128" s="16"/>
      <c r="AJ128" s="16"/>
      <c r="AK128" s="16"/>
      <c r="AL128" s="16"/>
      <c r="AM128" s="16"/>
      <c r="AN128" s="16"/>
      <c r="AO128" s="16"/>
    </row>
    <row r="129" ht="12.75" customHeight="1">
      <c r="A129" s="19">
        <v>1.0</v>
      </c>
      <c r="B129" s="19" t="s">
        <v>745</v>
      </c>
      <c r="C129" s="19" t="s">
        <v>26</v>
      </c>
      <c r="D129" s="19" t="s">
        <v>577</v>
      </c>
      <c r="E129" s="16" t="s">
        <v>746</v>
      </c>
      <c r="F129" s="19">
        <v>2015.0</v>
      </c>
      <c r="G129" s="16"/>
      <c r="H129" s="19">
        <v>2015.0</v>
      </c>
      <c r="I129" s="19">
        <v>937.0</v>
      </c>
      <c r="J129" s="20" t="s">
        <v>25</v>
      </c>
      <c r="K129" s="19">
        <v>50.0</v>
      </c>
      <c r="L129" s="19">
        <v>2025.0</v>
      </c>
      <c r="M129" s="19">
        <v>30.0</v>
      </c>
      <c r="N129" s="19">
        <v>655.9</v>
      </c>
      <c r="O129" s="20" t="s">
        <v>25</v>
      </c>
      <c r="P129" s="20" t="s">
        <v>25</v>
      </c>
      <c r="Q129" s="19">
        <v>907.0</v>
      </c>
      <c r="R129" s="16">
        <v>10.672358591248665</v>
      </c>
      <c r="S129" s="16" t="s">
        <v>579</v>
      </c>
      <c r="T129" s="16" t="s">
        <v>580</v>
      </c>
      <c r="U129" s="16" t="s">
        <v>747</v>
      </c>
      <c r="V129" s="16"/>
      <c r="W129" s="16"/>
      <c r="X129" s="16"/>
      <c r="Y129" s="16"/>
      <c r="Z129" s="16"/>
      <c r="AA129" s="16"/>
      <c r="AB129" s="16"/>
      <c r="AC129" s="16"/>
      <c r="AD129" s="16"/>
      <c r="AE129" s="16"/>
      <c r="AF129" s="16"/>
      <c r="AG129" s="16"/>
      <c r="AH129" s="16"/>
      <c r="AI129" s="16"/>
      <c r="AJ129" s="16"/>
      <c r="AK129" s="16"/>
      <c r="AL129" s="16"/>
      <c r="AM129" s="16"/>
      <c r="AN129" s="16"/>
      <c r="AO129" s="16"/>
    </row>
    <row r="130" ht="12.75" customHeight="1">
      <c r="A130" s="19">
        <v>2.0</v>
      </c>
      <c r="B130" s="19" t="s">
        <v>745</v>
      </c>
      <c r="C130" s="19" t="s">
        <v>26</v>
      </c>
      <c r="D130" s="19" t="s">
        <v>577</v>
      </c>
      <c r="E130" s="16" t="s">
        <v>748</v>
      </c>
      <c r="F130" s="19">
        <v>2012.0</v>
      </c>
      <c r="G130" s="16" t="s">
        <v>578</v>
      </c>
      <c r="H130" s="19">
        <v>2010.0</v>
      </c>
      <c r="I130" s="19">
        <v>5.34E-5</v>
      </c>
      <c r="J130" s="20" t="s">
        <v>25</v>
      </c>
      <c r="K130" s="19">
        <v>100.0</v>
      </c>
      <c r="L130" s="19">
        <v>2020.0</v>
      </c>
      <c r="M130" s="19">
        <v>40.0</v>
      </c>
      <c r="N130" s="19">
        <v>3.204E-5</v>
      </c>
      <c r="O130" s="20" t="s">
        <v>25</v>
      </c>
      <c r="P130" s="20" t="s">
        <v>25</v>
      </c>
      <c r="Q130" s="19">
        <v>3.04E-5</v>
      </c>
      <c r="R130" s="16">
        <v>107.67790262172284</v>
      </c>
      <c r="S130" s="16" t="s">
        <v>592</v>
      </c>
      <c r="T130" s="16" t="s">
        <v>580</v>
      </c>
      <c r="U130" s="16" t="s">
        <v>749</v>
      </c>
      <c r="V130" s="16"/>
      <c r="W130" s="16"/>
      <c r="X130" s="16"/>
      <c r="Y130" s="16"/>
      <c r="Z130" s="16"/>
      <c r="AA130" s="16"/>
      <c r="AB130" s="16"/>
      <c r="AC130" s="16"/>
      <c r="AD130" s="16"/>
      <c r="AE130" s="16"/>
      <c r="AF130" s="16"/>
      <c r="AG130" s="16"/>
      <c r="AH130" s="16"/>
      <c r="AI130" s="16"/>
      <c r="AJ130" s="16"/>
      <c r="AK130" s="16"/>
      <c r="AL130" s="16"/>
      <c r="AM130" s="16"/>
      <c r="AN130" s="16"/>
      <c r="AO130" s="16"/>
    </row>
    <row r="131" ht="12.75" customHeight="1">
      <c r="A131" s="19">
        <v>5.0</v>
      </c>
      <c r="B131" s="19" t="s">
        <v>745</v>
      </c>
      <c r="C131" s="19" t="s">
        <v>590</v>
      </c>
      <c r="D131" s="19" t="s">
        <v>638</v>
      </c>
      <c r="E131" s="16" t="s">
        <v>750</v>
      </c>
      <c r="F131" s="19">
        <v>2016.0</v>
      </c>
      <c r="G131" s="16" t="s">
        <v>578</v>
      </c>
      <c r="H131" s="19">
        <v>2015.0</v>
      </c>
      <c r="I131" s="19">
        <v>4.0</v>
      </c>
      <c r="J131" s="20" t="s">
        <v>25</v>
      </c>
      <c r="K131" s="19">
        <v>100.0</v>
      </c>
      <c r="L131" s="19">
        <v>2025.0</v>
      </c>
      <c r="M131" s="19">
        <v>5.0</v>
      </c>
      <c r="N131" s="19">
        <v>3.8</v>
      </c>
      <c r="O131" s="20" t="s">
        <v>25</v>
      </c>
      <c r="P131" s="20" t="s">
        <v>25</v>
      </c>
      <c r="Q131" s="19">
        <v>3.9</v>
      </c>
      <c r="R131" s="16">
        <v>50.0</v>
      </c>
      <c r="S131" s="16" t="s">
        <v>579</v>
      </c>
      <c r="T131" s="16" t="s">
        <v>751</v>
      </c>
      <c r="U131" s="16" t="s">
        <v>752</v>
      </c>
      <c r="V131" s="16"/>
      <c r="W131" s="16"/>
      <c r="X131" s="16"/>
      <c r="Y131" s="16"/>
      <c r="Z131" s="16"/>
      <c r="AA131" s="16"/>
      <c r="AB131" s="16"/>
      <c r="AC131" s="16"/>
      <c r="AD131" s="16"/>
      <c r="AE131" s="16"/>
      <c r="AF131" s="16"/>
      <c r="AG131" s="16"/>
      <c r="AH131" s="16"/>
      <c r="AI131" s="16"/>
      <c r="AJ131" s="16"/>
      <c r="AK131" s="16"/>
      <c r="AL131" s="16"/>
      <c r="AM131" s="16"/>
      <c r="AN131" s="16"/>
      <c r="AO131" s="16"/>
    </row>
    <row r="132" ht="12.75" customHeight="1">
      <c r="A132" s="19">
        <v>5.0</v>
      </c>
      <c r="B132" s="19" t="s">
        <v>745</v>
      </c>
      <c r="C132" s="19" t="s">
        <v>590</v>
      </c>
      <c r="D132" s="19" t="s">
        <v>718</v>
      </c>
      <c r="E132" s="16" t="s">
        <v>753</v>
      </c>
      <c r="F132" s="19">
        <v>2016.0</v>
      </c>
      <c r="G132" s="16" t="s">
        <v>578</v>
      </c>
      <c r="H132" s="19">
        <v>2015.0</v>
      </c>
      <c r="I132" s="19">
        <v>0.003574</v>
      </c>
      <c r="J132" s="20" t="s">
        <v>25</v>
      </c>
      <c r="K132" s="19">
        <v>100.0</v>
      </c>
      <c r="L132" s="19">
        <v>2025.0</v>
      </c>
      <c r="M132" s="19">
        <v>15.0</v>
      </c>
      <c r="N132" s="19">
        <v>0.0030379</v>
      </c>
      <c r="O132" s="20" t="s">
        <v>25</v>
      </c>
      <c r="P132" s="20" t="s">
        <v>25</v>
      </c>
      <c r="Q132" s="19">
        <v>0.003026</v>
      </c>
      <c r="R132" s="16">
        <v>102.21973512404404</v>
      </c>
      <c r="S132" s="16" t="s">
        <v>579</v>
      </c>
      <c r="T132" s="16" t="s">
        <v>751</v>
      </c>
      <c r="U132" s="16" t="s">
        <v>754</v>
      </c>
      <c r="V132" s="16"/>
      <c r="W132" s="16"/>
      <c r="X132" s="16"/>
      <c r="Y132" s="16"/>
      <c r="Z132" s="16"/>
      <c r="AA132" s="16"/>
      <c r="AB132" s="16"/>
      <c r="AC132" s="16"/>
      <c r="AD132" s="16"/>
      <c r="AE132" s="16"/>
      <c r="AF132" s="16"/>
      <c r="AG132" s="16"/>
      <c r="AH132" s="16"/>
      <c r="AI132" s="16"/>
      <c r="AJ132" s="16"/>
      <c r="AK132" s="16"/>
      <c r="AL132" s="16"/>
      <c r="AM132" s="16"/>
      <c r="AN132" s="16"/>
      <c r="AO132" s="16"/>
    </row>
    <row r="133" ht="12.75" customHeight="1">
      <c r="A133" s="19">
        <v>11.0</v>
      </c>
      <c r="B133" s="19" t="s">
        <v>745</v>
      </c>
      <c r="C133" s="19" t="s">
        <v>619</v>
      </c>
      <c r="D133" s="19" t="s">
        <v>739</v>
      </c>
      <c r="E133" s="16" t="s">
        <v>753</v>
      </c>
      <c r="F133" s="19">
        <v>2012.0</v>
      </c>
      <c r="G133" s="16" t="s">
        <v>611</v>
      </c>
      <c r="H133" s="19">
        <v>2011.0</v>
      </c>
      <c r="I133" s="19">
        <v>14.16</v>
      </c>
      <c r="J133" s="20" t="s">
        <v>25</v>
      </c>
      <c r="K133" s="19">
        <v>83.0</v>
      </c>
      <c r="L133" s="19">
        <v>2023.0</v>
      </c>
      <c r="M133" s="19">
        <v>30.0</v>
      </c>
      <c r="N133" s="19">
        <v>9.911999999999999</v>
      </c>
      <c r="O133" s="20" t="s">
        <v>25</v>
      </c>
      <c r="P133" s="20" t="s">
        <v>25</v>
      </c>
      <c r="Q133" s="19">
        <v>8.48</v>
      </c>
      <c r="R133" s="16">
        <v>133.70998116760825</v>
      </c>
      <c r="S133" s="16" t="s">
        <v>592</v>
      </c>
      <c r="T133" s="16" t="s">
        <v>580</v>
      </c>
      <c r="U133" s="16" t="s">
        <v>755</v>
      </c>
      <c r="V133" s="16"/>
      <c r="W133" s="16"/>
      <c r="X133" s="16"/>
      <c r="Y133" s="16"/>
      <c r="Z133" s="16"/>
      <c r="AA133" s="16"/>
      <c r="AB133" s="16"/>
      <c r="AC133" s="16"/>
      <c r="AD133" s="16"/>
      <c r="AE133" s="16"/>
      <c r="AF133" s="16"/>
      <c r="AG133" s="16"/>
      <c r="AH133" s="16"/>
      <c r="AI133" s="16"/>
      <c r="AJ133" s="16"/>
      <c r="AK133" s="16"/>
      <c r="AL133" s="16"/>
      <c r="AM133" s="16"/>
      <c r="AN133" s="16"/>
      <c r="AO133" s="16"/>
    </row>
    <row r="134" ht="12.75" customHeight="1">
      <c r="A134" s="19">
        <v>15.0</v>
      </c>
      <c r="B134" s="19" t="s">
        <v>745</v>
      </c>
      <c r="C134" s="19" t="s">
        <v>756</v>
      </c>
      <c r="D134" s="19" t="s">
        <v>757</v>
      </c>
      <c r="E134" s="16" t="s">
        <v>758</v>
      </c>
      <c r="F134" s="19">
        <v>2015.0</v>
      </c>
      <c r="G134" s="16" t="s">
        <v>578</v>
      </c>
      <c r="H134" s="19"/>
      <c r="I134" s="19"/>
      <c r="J134" s="20" t="s">
        <v>25</v>
      </c>
      <c r="K134" s="19"/>
      <c r="L134" s="19">
        <v>2025.0</v>
      </c>
      <c r="M134" s="19"/>
      <c r="N134" s="19">
        <v>0.0</v>
      </c>
      <c r="O134" s="20" t="s">
        <v>25</v>
      </c>
      <c r="P134" s="20" t="s">
        <v>25</v>
      </c>
      <c r="Q134" s="19"/>
      <c r="R134" s="16"/>
      <c r="S134" s="16" t="s">
        <v>579</v>
      </c>
      <c r="T134" s="16" t="s">
        <v>593</v>
      </c>
      <c r="U134" s="16" t="s">
        <v>759</v>
      </c>
      <c r="V134" s="16"/>
      <c r="W134" s="16"/>
      <c r="X134" s="16"/>
      <c r="Y134" s="16"/>
      <c r="Z134" s="16"/>
      <c r="AA134" s="16"/>
      <c r="AB134" s="16"/>
      <c r="AC134" s="16"/>
      <c r="AD134" s="16"/>
      <c r="AE134" s="16"/>
      <c r="AF134" s="16"/>
      <c r="AG134" s="16"/>
      <c r="AH134" s="16"/>
      <c r="AI134" s="16"/>
      <c r="AJ134" s="16"/>
      <c r="AK134" s="16"/>
      <c r="AL134" s="16"/>
      <c r="AM134" s="16"/>
      <c r="AN134" s="16"/>
      <c r="AO134" s="16"/>
    </row>
    <row r="135" ht="12.75" customHeight="1">
      <c r="A135" s="19">
        <v>19.0</v>
      </c>
      <c r="B135" s="19" t="s">
        <v>745</v>
      </c>
      <c r="C135" s="19" t="s">
        <v>619</v>
      </c>
      <c r="D135" s="19" t="s">
        <v>739</v>
      </c>
      <c r="E135" s="16" t="s">
        <v>750</v>
      </c>
      <c r="F135" s="19">
        <v>2013.0</v>
      </c>
      <c r="G135" s="16" t="s">
        <v>760</v>
      </c>
      <c r="H135" s="19">
        <v>2011.0</v>
      </c>
      <c r="I135" s="19">
        <v>2.91</v>
      </c>
      <c r="J135" s="20" t="s">
        <v>25</v>
      </c>
      <c r="K135" s="19">
        <v>12.0</v>
      </c>
      <c r="L135" s="19">
        <v>2023.0</v>
      </c>
      <c r="M135" s="19">
        <v>30.0</v>
      </c>
      <c r="N135" s="19">
        <v>2.037</v>
      </c>
      <c r="O135" s="20" t="s">
        <v>25</v>
      </c>
      <c r="P135" s="20" t="s">
        <v>25</v>
      </c>
      <c r="Q135" s="19">
        <v>0.79</v>
      </c>
      <c r="R135" s="16">
        <v>242.84077892325308</v>
      </c>
      <c r="S135" s="16" t="s">
        <v>592</v>
      </c>
      <c r="T135" s="16" t="s">
        <v>593</v>
      </c>
      <c r="U135" s="16" t="s">
        <v>761</v>
      </c>
      <c r="V135" s="16"/>
      <c r="W135" s="16"/>
      <c r="X135" s="16"/>
      <c r="Y135" s="16"/>
      <c r="Z135" s="16"/>
      <c r="AA135" s="16"/>
      <c r="AB135" s="16"/>
      <c r="AC135" s="16"/>
      <c r="AD135" s="16"/>
      <c r="AE135" s="16"/>
      <c r="AF135" s="16"/>
      <c r="AG135" s="16"/>
      <c r="AH135" s="16"/>
      <c r="AI135" s="16"/>
      <c r="AJ135" s="16"/>
      <c r="AK135" s="16"/>
      <c r="AL135" s="16"/>
      <c r="AM135" s="16"/>
      <c r="AN135" s="16"/>
      <c r="AO135" s="16"/>
    </row>
    <row r="136" ht="12.75" customHeight="1">
      <c r="A136" s="19">
        <v>19.0</v>
      </c>
      <c r="B136" s="19" t="s">
        <v>745</v>
      </c>
      <c r="C136" s="19" t="s">
        <v>26</v>
      </c>
      <c r="D136" s="19" t="s">
        <v>577</v>
      </c>
      <c r="E136" s="16" t="s">
        <v>750</v>
      </c>
      <c r="F136" s="19">
        <v>2016.0</v>
      </c>
      <c r="G136" s="16" t="s">
        <v>578</v>
      </c>
      <c r="H136" s="19">
        <v>2014.0</v>
      </c>
      <c r="I136" s="19">
        <v>2.59</v>
      </c>
      <c r="J136" s="20" t="s">
        <v>25</v>
      </c>
      <c r="K136" s="19">
        <v>100.0</v>
      </c>
      <c r="L136" s="19">
        <v>2020.0</v>
      </c>
      <c r="M136" s="19">
        <v>45.0</v>
      </c>
      <c r="N136" s="19">
        <v>1.4245</v>
      </c>
      <c r="O136" s="20" t="s">
        <v>25</v>
      </c>
      <c r="P136" s="20" t="s">
        <v>25</v>
      </c>
      <c r="Q136" s="19">
        <v>1.58</v>
      </c>
      <c r="R136" s="16">
        <v>86.65808665808666</v>
      </c>
      <c r="S136" s="16" t="s">
        <v>579</v>
      </c>
      <c r="T136" s="16" t="s">
        <v>593</v>
      </c>
      <c r="U136" s="16" t="s">
        <v>762</v>
      </c>
      <c r="V136" s="16"/>
      <c r="W136" s="16"/>
      <c r="X136" s="16"/>
      <c r="Y136" s="16"/>
      <c r="Z136" s="16"/>
      <c r="AA136" s="16"/>
      <c r="AB136" s="16"/>
      <c r="AC136" s="16"/>
      <c r="AD136" s="16"/>
      <c r="AE136" s="16"/>
      <c r="AF136" s="16"/>
      <c r="AG136" s="16"/>
      <c r="AH136" s="16"/>
      <c r="AI136" s="16"/>
      <c r="AJ136" s="16"/>
      <c r="AK136" s="16"/>
      <c r="AL136" s="16"/>
      <c r="AM136" s="16"/>
      <c r="AN136" s="16"/>
      <c r="AO136" s="16"/>
    </row>
    <row r="137" ht="12.75" customHeight="1">
      <c r="A137" s="19">
        <v>19.0</v>
      </c>
      <c r="B137" s="19" t="s">
        <v>745</v>
      </c>
      <c r="C137" s="19" t="s">
        <v>590</v>
      </c>
      <c r="D137" s="19" t="s">
        <v>638</v>
      </c>
      <c r="E137" s="16" t="s">
        <v>750</v>
      </c>
      <c r="F137" s="19">
        <v>2016.0</v>
      </c>
      <c r="G137" s="16" t="s">
        <v>578</v>
      </c>
      <c r="H137" s="19">
        <v>2014.0</v>
      </c>
      <c r="I137" s="19">
        <v>3.42</v>
      </c>
      <c r="J137" s="20" t="s">
        <v>25</v>
      </c>
      <c r="K137" s="19">
        <v>98.0</v>
      </c>
      <c r="L137" s="19">
        <v>2020.0</v>
      </c>
      <c r="M137" s="19">
        <v>20.0</v>
      </c>
      <c r="N137" s="19">
        <v>2.736</v>
      </c>
      <c r="O137" s="20" t="s">
        <v>25</v>
      </c>
      <c r="P137" s="20" t="s">
        <v>25</v>
      </c>
      <c r="Q137" s="19">
        <v>2.34</v>
      </c>
      <c r="R137" s="16">
        <v>157.89473684210535</v>
      </c>
      <c r="S137" s="16" t="s">
        <v>579</v>
      </c>
      <c r="T137" s="16" t="s">
        <v>593</v>
      </c>
      <c r="U137" s="16" t="s">
        <v>763</v>
      </c>
      <c r="V137" s="16"/>
      <c r="W137" s="16"/>
      <c r="X137" s="16"/>
      <c r="Y137" s="16"/>
      <c r="Z137" s="16"/>
      <c r="AA137" s="16"/>
      <c r="AB137" s="16"/>
      <c r="AC137" s="16"/>
      <c r="AD137" s="16"/>
      <c r="AE137" s="16"/>
      <c r="AF137" s="16"/>
      <c r="AG137" s="16"/>
      <c r="AH137" s="16"/>
      <c r="AI137" s="16"/>
      <c r="AJ137" s="16"/>
      <c r="AK137" s="16"/>
      <c r="AL137" s="16"/>
      <c r="AM137" s="16"/>
      <c r="AN137" s="16"/>
      <c r="AO137" s="16"/>
    </row>
    <row r="138" ht="12.75" customHeight="1">
      <c r="A138" s="19">
        <v>32.0</v>
      </c>
      <c r="B138" s="19" t="s">
        <v>745</v>
      </c>
      <c r="C138" s="19" t="s">
        <v>26</v>
      </c>
      <c r="D138" s="19" t="s">
        <v>577</v>
      </c>
      <c r="E138" s="16" t="s">
        <v>764</v>
      </c>
      <c r="F138" s="19">
        <v>2017.0</v>
      </c>
      <c r="G138" s="16" t="s">
        <v>578</v>
      </c>
      <c r="H138" s="19">
        <v>2017.0</v>
      </c>
      <c r="I138" s="19">
        <v>39.1</v>
      </c>
      <c r="J138" s="20" t="s">
        <v>25</v>
      </c>
      <c r="K138" s="19">
        <v>99.0</v>
      </c>
      <c r="L138" s="19">
        <v>2030.0</v>
      </c>
      <c r="M138" s="19">
        <v>10.0</v>
      </c>
      <c r="N138" s="19">
        <v>35.190000000000005</v>
      </c>
      <c r="O138" s="20" t="s">
        <v>25</v>
      </c>
      <c r="P138" s="20" t="s">
        <v>25</v>
      </c>
      <c r="Q138" s="19">
        <v>35.9</v>
      </c>
      <c r="R138" s="16">
        <v>81.84143222506408</v>
      </c>
      <c r="S138" s="16" t="s">
        <v>579</v>
      </c>
      <c r="T138" s="16" t="s">
        <v>595</v>
      </c>
      <c r="U138" s="16" t="s">
        <v>765</v>
      </c>
      <c r="V138" s="16"/>
      <c r="W138" s="16"/>
      <c r="X138" s="16"/>
      <c r="Y138" s="16"/>
      <c r="Z138" s="16"/>
      <c r="AA138" s="16"/>
      <c r="AB138" s="16"/>
      <c r="AC138" s="16"/>
      <c r="AD138" s="16"/>
      <c r="AE138" s="16"/>
      <c r="AF138" s="16"/>
      <c r="AG138" s="16"/>
      <c r="AH138" s="16"/>
      <c r="AI138" s="16"/>
      <c r="AJ138" s="16"/>
      <c r="AK138" s="16"/>
      <c r="AL138" s="16"/>
      <c r="AM138" s="16"/>
      <c r="AN138" s="16"/>
      <c r="AO138" s="16"/>
    </row>
    <row r="139" ht="12.75" customHeight="1">
      <c r="A139" s="19">
        <v>39.0</v>
      </c>
      <c r="B139" s="19" t="s">
        <v>745</v>
      </c>
      <c r="C139" s="19" t="s">
        <v>26</v>
      </c>
      <c r="D139" s="19" t="s">
        <v>766</v>
      </c>
      <c r="E139" s="16" t="s">
        <v>753</v>
      </c>
      <c r="F139" s="19">
        <v>2013.0</v>
      </c>
      <c r="G139" s="16" t="s">
        <v>578</v>
      </c>
      <c r="H139" s="19">
        <v>2012.0</v>
      </c>
      <c r="I139" s="19">
        <v>0.0415</v>
      </c>
      <c r="J139" s="20" t="s">
        <v>25</v>
      </c>
      <c r="K139" s="19">
        <v>100.0</v>
      </c>
      <c r="L139" s="19">
        <v>2020.0</v>
      </c>
      <c r="M139" s="19">
        <v>20.0</v>
      </c>
      <c r="N139" s="19">
        <v>0.0332</v>
      </c>
      <c r="O139" s="20" t="s">
        <v>25</v>
      </c>
      <c r="P139" s="20" t="s">
        <v>25</v>
      </c>
      <c r="Q139" s="19">
        <v>0.0348</v>
      </c>
      <c r="R139" s="16">
        <v>80.7228915662651</v>
      </c>
      <c r="S139" s="16" t="s">
        <v>579</v>
      </c>
      <c r="T139" s="16" t="s">
        <v>595</v>
      </c>
      <c r="U139" s="16" t="s">
        <v>767</v>
      </c>
      <c r="V139" s="16"/>
      <c r="W139" s="16"/>
      <c r="X139" s="16"/>
      <c r="Y139" s="16"/>
      <c r="Z139" s="16"/>
      <c r="AA139" s="16"/>
      <c r="AB139" s="16"/>
      <c r="AC139" s="16"/>
      <c r="AD139" s="16"/>
      <c r="AE139" s="16"/>
      <c r="AF139" s="16"/>
      <c r="AG139" s="16"/>
      <c r="AH139" s="16"/>
      <c r="AI139" s="16"/>
      <c r="AJ139" s="16"/>
      <c r="AK139" s="16"/>
      <c r="AL139" s="16"/>
      <c r="AM139" s="16"/>
      <c r="AN139" s="16"/>
      <c r="AO139" s="16"/>
    </row>
    <row r="140" ht="12.75" customHeight="1">
      <c r="A140" s="19">
        <v>44.0</v>
      </c>
      <c r="B140" s="19" t="s">
        <v>745</v>
      </c>
      <c r="C140" s="19" t="s">
        <v>613</v>
      </c>
      <c r="D140" s="19" t="s">
        <v>614</v>
      </c>
      <c r="E140" s="16" t="s">
        <v>768</v>
      </c>
      <c r="F140" s="19">
        <v>2011.0</v>
      </c>
      <c r="G140" s="16" t="s">
        <v>650</v>
      </c>
      <c r="H140" s="19">
        <v>2005.0</v>
      </c>
      <c r="I140" s="19">
        <v>1.51</v>
      </c>
      <c r="J140" s="20" t="s">
        <v>25</v>
      </c>
      <c r="K140" s="19">
        <v>82.0</v>
      </c>
      <c r="L140" s="19">
        <v>2020.0</v>
      </c>
      <c r="M140" s="19">
        <v>30.0</v>
      </c>
      <c r="N140" s="19">
        <v>1.057</v>
      </c>
      <c r="O140" s="20" t="s">
        <v>25</v>
      </c>
      <c r="P140" s="20" t="s">
        <v>25</v>
      </c>
      <c r="Q140" s="19">
        <v>1.1476</v>
      </c>
      <c r="R140" s="16">
        <v>80.0</v>
      </c>
      <c r="S140" s="16" t="s">
        <v>579</v>
      </c>
      <c r="T140" s="16" t="s">
        <v>580</v>
      </c>
      <c r="U140" s="16" t="s">
        <v>769</v>
      </c>
      <c r="V140" s="16"/>
      <c r="W140" s="16"/>
      <c r="X140" s="16"/>
      <c r="Y140" s="16"/>
      <c r="Z140" s="16"/>
      <c r="AA140" s="16"/>
      <c r="AB140" s="16"/>
      <c r="AC140" s="16"/>
      <c r="AD140" s="16"/>
      <c r="AE140" s="16"/>
      <c r="AF140" s="16"/>
      <c r="AG140" s="16"/>
      <c r="AH140" s="16"/>
      <c r="AI140" s="16"/>
      <c r="AJ140" s="16"/>
      <c r="AK140" s="16"/>
      <c r="AL140" s="16"/>
      <c r="AM140" s="16"/>
      <c r="AN140" s="16"/>
      <c r="AO140" s="16"/>
    </row>
    <row r="141" ht="12.75" customHeight="1">
      <c r="A141" s="19">
        <v>45.0</v>
      </c>
      <c r="B141" s="19" t="s">
        <v>745</v>
      </c>
      <c r="C141" s="19" t="s">
        <v>590</v>
      </c>
      <c r="D141" s="19" t="s">
        <v>641</v>
      </c>
      <c r="E141" s="16" t="s">
        <v>770</v>
      </c>
      <c r="F141" s="19">
        <v>2020.0</v>
      </c>
      <c r="G141" s="16" t="s">
        <v>611</v>
      </c>
      <c r="H141" s="19">
        <v>2019.0</v>
      </c>
      <c r="I141" s="19"/>
      <c r="J141" s="20" t="s">
        <v>25</v>
      </c>
      <c r="K141" s="19"/>
      <c r="L141" s="19"/>
      <c r="M141" s="19"/>
      <c r="N141" s="19">
        <v>0.0</v>
      </c>
      <c r="O141" s="20" t="s">
        <v>25</v>
      </c>
      <c r="P141" s="20" t="s">
        <v>25</v>
      </c>
      <c r="Q141" s="19"/>
      <c r="R141" s="16"/>
      <c r="S141" s="16" t="s">
        <v>603</v>
      </c>
      <c r="T141" s="16" t="s">
        <v>580</v>
      </c>
      <c r="U141" s="16" t="s">
        <v>771</v>
      </c>
      <c r="V141" s="16"/>
      <c r="W141" s="16"/>
      <c r="X141" s="16"/>
      <c r="Y141" s="16"/>
      <c r="Z141" s="16"/>
      <c r="AA141" s="16"/>
      <c r="AB141" s="16"/>
      <c r="AC141" s="16"/>
      <c r="AD141" s="16"/>
      <c r="AE141" s="16"/>
      <c r="AF141" s="16"/>
      <c r="AG141" s="16"/>
      <c r="AH141" s="16"/>
      <c r="AI141" s="16"/>
      <c r="AJ141" s="16"/>
      <c r="AK141" s="16"/>
      <c r="AL141" s="16"/>
      <c r="AM141" s="16"/>
      <c r="AN141" s="16"/>
      <c r="AO141" s="16"/>
    </row>
    <row r="142" ht="12.75" customHeight="1">
      <c r="A142" s="19">
        <v>52.0</v>
      </c>
      <c r="B142" s="19" t="s">
        <v>745</v>
      </c>
      <c r="C142" s="19" t="s">
        <v>26</v>
      </c>
      <c r="D142" s="19" t="s">
        <v>577</v>
      </c>
      <c r="E142" s="16" t="s">
        <v>748</v>
      </c>
      <c r="F142" s="19">
        <v>2019.0</v>
      </c>
      <c r="G142" s="16" t="s">
        <v>578</v>
      </c>
      <c r="H142" s="19">
        <v>2018.0</v>
      </c>
      <c r="I142" s="19">
        <v>6.04754E-5</v>
      </c>
      <c r="J142" s="20" t="s">
        <v>25</v>
      </c>
      <c r="K142" s="19">
        <v>0.0</v>
      </c>
      <c r="L142" s="19">
        <v>2023.0</v>
      </c>
      <c r="M142" s="19">
        <v>10.0</v>
      </c>
      <c r="N142" s="19">
        <v>5.442786E-5</v>
      </c>
      <c r="O142" s="20" t="s">
        <v>25</v>
      </c>
      <c r="P142" s="20" t="s">
        <v>25</v>
      </c>
      <c r="Q142" s="19">
        <v>5.5644E-5</v>
      </c>
      <c r="R142" s="16">
        <v>79.890335574465</v>
      </c>
      <c r="S142" s="16" t="s">
        <v>603</v>
      </c>
      <c r="T142" s="16" t="s">
        <v>595</v>
      </c>
      <c r="U142" s="16" t="s">
        <v>772</v>
      </c>
      <c r="V142" s="16"/>
      <c r="W142" s="16"/>
      <c r="X142" s="16"/>
      <c r="Y142" s="16"/>
      <c r="Z142" s="16"/>
      <c r="AA142" s="16"/>
      <c r="AB142" s="16"/>
      <c r="AC142" s="16"/>
      <c r="AD142" s="16"/>
      <c r="AE142" s="16"/>
      <c r="AF142" s="16"/>
      <c r="AG142" s="16"/>
      <c r="AH142" s="16"/>
      <c r="AI142" s="16"/>
      <c r="AJ142" s="16"/>
      <c r="AK142" s="16"/>
      <c r="AL142" s="16"/>
      <c r="AM142" s="16"/>
      <c r="AN142" s="16"/>
      <c r="AO142" s="16"/>
    </row>
    <row r="143" ht="12.75" customHeight="1">
      <c r="A143" s="19">
        <v>54.0</v>
      </c>
      <c r="B143" s="19" t="s">
        <v>745</v>
      </c>
      <c r="C143" s="19" t="s">
        <v>613</v>
      </c>
      <c r="D143" s="19" t="s">
        <v>614</v>
      </c>
      <c r="E143" s="16" t="s">
        <v>773</v>
      </c>
      <c r="F143" s="19">
        <v>2010.0</v>
      </c>
      <c r="G143" s="16" t="s">
        <v>578</v>
      </c>
      <c r="H143" s="19">
        <v>2010.0</v>
      </c>
      <c r="I143" s="19">
        <v>100.0</v>
      </c>
      <c r="J143" s="20" t="s">
        <v>25</v>
      </c>
      <c r="K143" s="19">
        <v>75.0</v>
      </c>
      <c r="L143" s="19">
        <v>2020.0</v>
      </c>
      <c r="M143" s="19">
        <v>10.0</v>
      </c>
      <c r="N143" s="19">
        <v>90.0</v>
      </c>
      <c r="O143" s="20" t="s">
        <v>25</v>
      </c>
      <c r="P143" s="20" t="s">
        <v>25</v>
      </c>
      <c r="Q143" s="19">
        <v>61.0</v>
      </c>
      <c r="R143" s="16">
        <v>390.0</v>
      </c>
      <c r="S143" s="16" t="s">
        <v>592</v>
      </c>
      <c r="T143" s="16" t="s">
        <v>580</v>
      </c>
      <c r="U143" s="16" t="s">
        <v>774</v>
      </c>
      <c r="V143" s="16"/>
      <c r="W143" s="16"/>
      <c r="X143" s="16"/>
      <c r="Y143" s="16"/>
      <c r="Z143" s="16"/>
      <c r="AA143" s="16"/>
      <c r="AB143" s="16"/>
      <c r="AC143" s="16"/>
      <c r="AD143" s="16"/>
      <c r="AE143" s="16"/>
      <c r="AF143" s="16"/>
      <c r="AG143" s="16"/>
      <c r="AH143" s="16"/>
      <c r="AI143" s="16"/>
      <c r="AJ143" s="16"/>
      <c r="AK143" s="16"/>
      <c r="AL143" s="16"/>
      <c r="AM143" s="16"/>
      <c r="AN143" s="16"/>
      <c r="AO143" s="16"/>
    </row>
    <row r="144" ht="12.75" customHeight="1">
      <c r="A144" s="19">
        <v>62.0</v>
      </c>
      <c r="B144" s="19" t="s">
        <v>745</v>
      </c>
      <c r="C144" s="19" t="s">
        <v>590</v>
      </c>
      <c r="D144" s="19" t="s">
        <v>775</v>
      </c>
      <c r="E144" s="16" t="s">
        <v>776</v>
      </c>
      <c r="F144" s="19">
        <v>2018.0</v>
      </c>
      <c r="G144" s="16" t="s">
        <v>578</v>
      </c>
      <c r="H144" s="19">
        <v>2015.0</v>
      </c>
      <c r="I144" s="19">
        <v>8.14</v>
      </c>
      <c r="J144" s="20" t="s">
        <v>25</v>
      </c>
      <c r="K144" s="19">
        <v>80.44</v>
      </c>
      <c r="L144" s="19">
        <v>2030.0</v>
      </c>
      <c r="M144" s="19">
        <v>31.0</v>
      </c>
      <c r="N144" s="19">
        <v>5.6166</v>
      </c>
      <c r="O144" s="20" t="s">
        <v>25</v>
      </c>
      <c r="P144" s="20" t="s">
        <v>25</v>
      </c>
      <c r="Q144" s="19">
        <v>8.07</v>
      </c>
      <c r="R144" s="16">
        <v>2.774035032099559</v>
      </c>
      <c r="S144" s="16" t="s">
        <v>579</v>
      </c>
      <c r="T144" s="16" t="s">
        <v>751</v>
      </c>
      <c r="U144" s="16" t="s">
        <v>777</v>
      </c>
      <c r="V144" s="16"/>
      <c r="W144" s="16"/>
      <c r="X144" s="16"/>
      <c r="Y144" s="16"/>
      <c r="Z144" s="16"/>
      <c r="AA144" s="16"/>
      <c r="AB144" s="16"/>
      <c r="AC144" s="16"/>
      <c r="AD144" s="16"/>
      <c r="AE144" s="16"/>
      <c r="AF144" s="16"/>
      <c r="AG144" s="16"/>
      <c r="AH144" s="16"/>
      <c r="AI144" s="16"/>
      <c r="AJ144" s="16"/>
      <c r="AK144" s="16"/>
      <c r="AL144" s="16"/>
      <c r="AM144" s="16"/>
      <c r="AN144" s="16"/>
      <c r="AO144" s="16"/>
    </row>
    <row r="145" ht="12.75" customHeight="1">
      <c r="A145" s="19">
        <v>63.0</v>
      </c>
      <c r="B145" s="19" t="s">
        <v>745</v>
      </c>
      <c r="C145" s="19" t="s">
        <v>26</v>
      </c>
      <c r="D145" s="19" t="s">
        <v>582</v>
      </c>
      <c r="E145" s="16" t="s">
        <v>748</v>
      </c>
      <c r="F145" s="19">
        <v>2013.0</v>
      </c>
      <c r="G145" s="16" t="s">
        <v>578</v>
      </c>
      <c r="H145" s="19">
        <v>2013.0</v>
      </c>
      <c r="I145" s="19">
        <v>15.24</v>
      </c>
      <c r="J145" s="20" t="s">
        <v>25</v>
      </c>
      <c r="K145" s="19">
        <v>100.0</v>
      </c>
      <c r="L145" s="19">
        <v>2020.0</v>
      </c>
      <c r="M145" s="19">
        <v>15.0</v>
      </c>
      <c r="N145" s="19">
        <v>12.954</v>
      </c>
      <c r="O145" s="20" t="s">
        <v>25</v>
      </c>
      <c r="P145" s="20" t="s">
        <v>25</v>
      </c>
      <c r="Q145" s="19">
        <v>9.7</v>
      </c>
      <c r="R145" s="16">
        <v>242.34470691163614</v>
      </c>
      <c r="S145" s="16" t="s">
        <v>592</v>
      </c>
      <c r="T145" s="16" t="s">
        <v>580</v>
      </c>
      <c r="U145" s="16" t="s">
        <v>778</v>
      </c>
      <c r="V145" s="16"/>
      <c r="W145" s="16"/>
      <c r="X145" s="16"/>
      <c r="Y145" s="16"/>
      <c r="Z145" s="16"/>
      <c r="AA145" s="16"/>
      <c r="AB145" s="16"/>
      <c r="AC145" s="16"/>
      <c r="AD145" s="16"/>
      <c r="AE145" s="16"/>
      <c r="AF145" s="16"/>
      <c r="AG145" s="16"/>
      <c r="AH145" s="16"/>
      <c r="AI145" s="16"/>
      <c r="AJ145" s="16"/>
      <c r="AK145" s="16"/>
      <c r="AL145" s="16"/>
      <c r="AM145" s="16"/>
      <c r="AN145" s="16"/>
      <c r="AO145" s="16"/>
    </row>
    <row r="146" ht="12.75" customHeight="1">
      <c r="A146" s="19">
        <v>71.0</v>
      </c>
      <c r="B146" s="19" t="s">
        <v>745</v>
      </c>
      <c r="C146" s="19" t="s">
        <v>606</v>
      </c>
      <c r="D146" s="19" t="s">
        <v>585</v>
      </c>
      <c r="E146" s="16" t="s">
        <v>773</v>
      </c>
      <c r="F146" s="19">
        <v>2015.0</v>
      </c>
      <c r="G146" s="16" t="s">
        <v>779</v>
      </c>
      <c r="H146" s="19">
        <v>2015.0</v>
      </c>
      <c r="I146" s="19">
        <v>1.89</v>
      </c>
      <c r="J146" s="20" t="s">
        <v>25</v>
      </c>
      <c r="K146" s="19">
        <v>95.0</v>
      </c>
      <c r="L146" s="19">
        <v>2020.0</v>
      </c>
      <c r="M146" s="19">
        <v>25.0</v>
      </c>
      <c r="N146" s="19">
        <v>1.4175</v>
      </c>
      <c r="O146" s="20" t="s">
        <v>25</v>
      </c>
      <c r="P146" s="20" t="s">
        <v>25</v>
      </c>
      <c r="Q146" s="19">
        <v>1.94</v>
      </c>
      <c r="R146" s="16">
        <v>-10.582010582010593</v>
      </c>
      <c r="S146" s="16" t="s">
        <v>579</v>
      </c>
      <c r="T146" s="16" t="s">
        <v>593</v>
      </c>
      <c r="U146" s="16" t="s">
        <v>780</v>
      </c>
      <c r="V146" s="16"/>
      <c r="W146" s="16"/>
      <c r="X146" s="16"/>
      <c r="Y146" s="16"/>
      <c r="Z146" s="16"/>
      <c r="AA146" s="16"/>
      <c r="AB146" s="16"/>
      <c r="AC146" s="16"/>
      <c r="AD146" s="16"/>
      <c r="AE146" s="16"/>
      <c r="AF146" s="16"/>
      <c r="AG146" s="16"/>
      <c r="AH146" s="16"/>
      <c r="AI146" s="16"/>
      <c r="AJ146" s="16"/>
      <c r="AK146" s="16"/>
      <c r="AL146" s="16"/>
      <c r="AM146" s="16"/>
      <c r="AN146" s="16"/>
      <c r="AO146" s="16"/>
    </row>
    <row r="147" ht="12.75" customHeight="1">
      <c r="A147" s="19">
        <v>71.0</v>
      </c>
      <c r="B147" s="19" t="s">
        <v>745</v>
      </c>
      <c r="C147" s="19" t="s">
        <v>590</v>
      </c>
      <c r="D147" s="19" t="s">
        <v>781</v>
      </c>
      <c r="E147" s="16" t="s">
        <v>782</v>
      </c>
      <c r="F147" s="19">
        <v>2015.0</v>
      </c>
      <c r="G147" s="16" t="s">
        <v>783</v>
      </c>
      <c r="H147" s="19">
        <v>2015.0</v>
      </c>
      <c r="I147" s="19">
        <v>4.78</v>
      </c>
      <c r="J147" s="20" t="s">
        <v>25</v>
      </c>
      <c r="K147" s="19">
        <v>80.0</v>
      </c>
      <c r="L147" s="19">
        <v>2020.0</v>
      </c>
      <c r="M147" s="19">
        <v>35.0</v>
      </c>
      <c r="N147" s="19">
        <v>3.107</v>
      </c>
      <c r="O147" s="20" t="s">
        <v>25</v>
      </c>
      <c r="P147" s="20" t="s">
        <v>25</v>
      </c>
      <c r="Q147" s="19">
        <v>4.06</v>
      </c>
      <c r="R147" s="16">
        <v>43.036461446503324</v>
      </c>
      <c r="S147" s="16" t="s">
        <v>579</v>
      </c>
      <c r="T147" s="16" t="s">
        <v>593</v>
      </c>
      <c r="U147" s="16" t="s">
        <v>784</v>
      </c>
      <c r="V147" s="16"/>
      <c r="W147" s="16"/>
      <c r="X147" s="16"/>
      <c r="Y147" s="16"/>
      <c r="Z147" s="16"/>
      <c r="AA147" s="16"/>
      <c r="AB147" s="16"/>
      <c r="AC147" s="16"/>
      <c r="AD147" s="16"/>
      <c r="AE147" s="16"/>
      <c r="AF147" s="16"/>
      <c r="AG147" s="16"/>
      <c r="AH147" s="16"/>
      <c r="AI147" s="16"/>
      <c r="AJ147" s="16"/>
      <c r="AK147" s="16"/>
      <c r="AL147" s="16"/>
      <c r="AM147" s="16"/>
      <c r="AN147" s="16"/>
      <c r="AO147" s="16"/>
    </row>
    <row r="148" ht="12.75" customHeight="1">
      <c r="A148" s="19">
        <v>72.0</v>
      </c>
      <c r="B148" s="19" t="s">
        <v>745</v>
      </c>
      <c r="C148" s="19" t="s">
        <v>26</v>
      </c>
      <c r="D148" s="19" t="s">
        <v>582</v>
      </c>
      <c r="E148" s="16" t="s">
        <v>785</v>
      </c>
      <c r="F148" s="19">
        <v>2015.0</v>
      </c>
      <c r="G148" s="16" t="s">
        <v>578</v>
      </c>
      <c r="H148" s="19">
        <v>2014.0</v>
      </c>
      <c r="I148" s="19">
        <v>4.525</v>
      </c>
      <c r="J148" s="20" t="s">
        <v>25</v>
      </c>
      <c r="K148" s="19">
        <v>100.0</v>
      </c>
      <c r="L148" s="19">
        <v>2020.0</v>
      </c>
      <c r="M148" s="19">
        <v>15.0</v>
      </c>
      <c r="N148" s="19">
        <v>3.8462500000000004</v>
      </c>
      <c r="O148" s="20" t="s">
        <v>25</v>
      </c>
      <c r="P148" s="20" t="s">
        <v>25</v>
      </c>
      <c r="Q148" s="19">
        <v>3.841</v>
      </c>
      <c r="R148" s="16">
        <v>100.77348066298346</v>
      </c>
      <c r="S148" s="16" t="s">
        <v>592</v>
      </c>
      <c r="T148" s="16" t="s">
        <v>580</v>
      </c>
      <c r="U148" s="16" t="s">
        <v>786</v>
      </c>
      <c r="V148" s="16"/>
      <c r="W148" s="16"/>
      <c r="X148" s="16"/>
      <c r="Y148" s="16"/>
      <c r="Z148" s="16"/>
      <c r="AA148" s="16"/>
      <c r="AB148" s="16"/>
      <c r="AC148" s="16"/>
      <c r="AD148" s="16"/>
      <c r="AE148" s="16"/>
      <c r="AF148" s="16"/>
      <c r="AG148" s="16"/>
      <c r="AH148" s="16"/>
      <c r="AI148" s="16"/>
      <c r="AJ148" s="16"/>
      <c r="AK148" s="16"/>
      <c r="AL148" s="16"/>
      <c r="AM148" s="16"/>
      <c r="AN148" s="16"/>
      <c r="AO148" s="16"/>
    </row>
    <row r="149" ht="12.75" customHeight="1">
      <c r="A149" s="19">
        <v>73.0</v>
      </c>
      <c r="B149" s="19" t="s">
        <v>745</v>
      </c>
      <c r="C149" s="19" t="s">
        <v>613</v>
      </c>
      <c r="D149" s="19" t="s">
        <v>614</v>
      </c>
      <c r="E149" s="16" t="s">
        <v>787</v>
      </c>
      <c r="F149" s="19">
        <v>2018.0</v>
      </c>
      <c r="G149" s="16" t="s">
        <v>732</v>
      </c>
      <c r="H149" s="19">
        <v>2017.0</v>
      </c>
      <c r="I149" s="19">
        <v>0.06</v>
      </c>
      <c r="J149" s="20" t="s">
        <v>25</v>
      </c>
      <c r="K149" s="19">
        <v>100.0</v>
      </c>
      <c r="L149" s="19">
        <v>2025.0</v>
      </c>
      <c r="M149" s="19">
        <v>13.0</v>
      </c>
      <c r="N149" s="19">
        <v>0.052199999999999996</v>
      </c>
      <c r="O149" s="20" t="s">
        <v>25</v>
      </c>
      <c r="P149" s="20" t="s">
        <v>25</v>
      </c>
      <c r="Q149" s="19"/>
      <c r="R149" s="16">
        <v>769.230769230769</v>
      </c>
      <c r="S149" s="16" t="s">
        <v>603</v>
      </c>
      <c r="T149" s="16" t="s">
        <v>595</v>
      </c>
      <c r="U149" s="16" t="s">
        <v>788</v>
      </c>
      <c r="V149" s="16"/>
      <c r="W149" s="16"/>
      <c r="X149" s="16"/>
      <c r="Y149" s="16"/>
      <c r="Z149" s="16"/>
      <c r="AA149" s="16"/>
      <c r="AB149" s="16"/>
      <c r="AC149" s="16"/>
      <c r="AD149" s="16"/>
      <c r="AE149" s="16"/>
      <c r="AF149" s="16"/>
      <c r="AG149" s="16"/>
      <c r="AH149" s="16"/>
      <c r="AI149" s="16"/>
      <c r="AJ149" s="16"/>
      <c r="AK149" s="16"/>
      <c r="AL149" s="16"/>
      <c r="AM149" s="16"/>
      <c r="AN149" s="16"/>
      <c r="AO149" s="16"/>
    </row>
    <row r="150" ht="12.75" customHeight="1">
      <c r="A150" s="19">
        <v>73.0</v>
      </c>
      <c r="B150" s="19" t="s">
        <v>745</v>
      </c>
      <c r="C150" s="19" t="s">
        <v>613</v>
      </c>
      <c r="D150" s="19" t="s">
        <v>614</v>
      </c>
      <c r="E150" s="16" t="s">
        <v>789</v>
      </c>
      <c r="F150" s="19">
        <v>2017.0</v>
      </c>
      <c r="G150" s="16" t="s">
        <v>732</v>
      </c>
      <c r="H150" s="19">
        <v>2018.0</v>
      </c>
      <c r="I150" s="19">
        <v>0.113</v>
      </c>
      <c r="J150" s="20" t="s">
        <v>25</v>
      </c>
      <c r="K150" s="19"/>
      <c r="L150" s="19">
        <v>2025.0</v>
      </c>
      <c r="M150" s="19">
        <v>21.0</v>
      </c>
      <c r="N150" s="19">
        <v>0.08927</v>
      </c>
      <c r="O150" s="20" t="s">
        <v>25</v>
      </c>
      <c r="P150" s="20" t="s">
        <v>25</v>
      </c>
      <c r="Q150" s="19"/>
      <c r="R150" s="16">
        <v>476.1904761904762</v>
      </c>
      <c r="S150" s="16" t="s">
        <v>579</v>
      </c>
      <c r="T150" s="16" t="s">
        <v>595</v>
      </c>
      <c r="U150" s="16" t="s">
        <v>790</v>
      </c>
      <c r="V150" s="16"/>
      <c r="W150" s="16"/>
      <c r="X150" s="16"/>
      <c r="Y150" s="16"/>
      <c r="Z150" s="16"/>
      <c r="AA150" s="16"/>
      <c r="AB150" s="16"/>
      <c r="AC150" s="16"/>
      <c r="AD150" s="16"/>
      <c r="AE150" s="16"/>
      <c r="AF150" s="16"/>
      <c r="AG150" s="16"/>
      <c r="AH150" s="16"/>
      <c r="AI150" s="16"/>
      <c r="AJ150" s="16"/>
      <c r="AK150" s="16"/>
      <c r="AL150" s="16"/>
      <c r="AM150" s="16"/>
      <c r="AN150" s="16"/>
      <c r="AO150" s="16"/>
    </row>
    <row r="151" ht="12.75" customHeight="1">
      <c r="A151" s="19">
        <v>73.0</v>
      </c>
      <c r="B151" s="19" t="s">
        <v>745</v>
      </c>
      <c r="C151" s="19" t="s">
        <v>26</v>
      </c>
      <c r="D151" s="19" t="s">
        <v>577</v>
      </c>
      <c r="E151" s="16" t="s">
        <v>776</v>
      </c>
      <c r="F151" s="19">
        <v>2020.0</v>
      </c>
      <c r="G151" s="16" t="s">
        <v>650</v>
      </c>
      <c r="H151" s="19">
        <v>2013.0</v>
      </c>
      <c r="I151" s="19">
        <v>0.665</v>
      </c>
      <c r="J151" s="20" t="s">
        <v>25</v>
      </c>
      <c r="K151" s="19">
        <v>77.0</v>
      </c>
      <c r="L151" s="19">
        <v>2025.0</v>
      </c>
      <c r="M151" s="19">
        <v>4.65</v>
      </c>
      <c r="N151" s="19">
        <v>0.6340775000000001</v>
      </c>
      <c r="O151" s="20" t="s">
        <v>25</v>
      </c>
      <c r="P151" s="20" t="s">
        <v>25</v>
      </c>
      <c r="Q151" s="19"/>
      <c r="R151" s="16">
        <v>2150.537634408605</v>
      </c>
      <c r="S151" s="16" t="s">
        <v>603</v>
      </c>
      <c r="T151" s="16" t="s">
        <v>595</v>
      </c>
      <c r="U151" s="16" t="s">
        <v>791</v>
      </c>
      <c r="V151" s="16"/>
      <c r="W151" s="16"/>
      <c r="X151" s="16"/>
      <c r="Y151" s="16"/>
      <c r="Z151" s="16"/>
      <c r="AA151" s="16"/>
      <c r="AB151" s="16"/>
      <c r="AC151" s="16"/>
      <c r="AD151" s="16"/>
      <c r="AE151" s="16"/>
      <c r="AF151" s="16"/>
      <c r="AG151" s="16"/>
      <c r="AH151" s="16"/>
      <c r="AI151" s="16"/>
      <c r="AJ151" s="16"/>
      <c r="AK151" s="16"/>
      <c r="AL151" s="16"/>
      <c r="AM151" s="16"/>
      <c r="AN151" s="16"/>
      <c r="AO151" s="16"/>
    </row>
    <row r="152" ht="12.75" customHeight="1">
      <c r="A152" s="19">
        <v>74.0</v>
      </c>
      <c r="B152" s="19" t="s">
        <v>745</v>
      </c>
      <c r="C152" s="19" t="s">
        <v>26</v>
      </c>
      <c r="D152" s="19" t="s">
        <v>582</v>
      </c>
      <c r="E152" s="16" t="s">
        <v>792</v>
      </c>
      <c r="F152" s="19">
        <v>2018.0</v>
      </c>
      <c r="G152" s="16" t="s">
        <v>578</v>
      </c>
      <c r="H152" s="19">
        <v>2015.0</v>
      </c>
      <c r="I152" s="19">
        <v>0.431</v>
      </c>
      <c r="J152" s="20" t="s">
        <v>25</v>
      </c>
      <c r="K152" s="19">
        <v>100.0</v>
      </c>
      <c r="L152" s="19">
        <v>2025.0</v>
      </c>
      <c r="M152" s="19">
        <v>55.0</v>
      </c>
      <c r="N152" s="19">
        <v>0.19394999999999998</v>
      </c>
      <c r="O152" s="20" t="s">
        <v>25</v>
      </c>
      <c r="P152" s="20" t="s">
        <v>25</v>
      </c>
      <c r="Q152" s="19">
        <v>0.25</v>
      </c>
      <c r="R152" s="16">
        <v>76.3551993250369</v>
      </c>
      <c r="S152" s="16" t="s">
        <v>579</v>
      </c>
      <c r="T152" s="16" t="s">
        <v>593</v>
      </c>
      <c r="U152" s="16" t="s">
        <v>793</v>
      </c>
      <c r="V152" s="16"/>
      <c r="W152" s="16"/>
      <c r="X152" s="16"/>
      <c r="Y152" s="16"/>
      <c r="Z152" s="16"/>
      <c r="AA152" s="16"/>
      <c r="AB152" s="16"/>
      <c r="AC152" s="16"/>
      <c r="AD152" s="16"/>
      <c r="AE152" s="16"/>
      <c r="AF152" s="16"/>
      <c r="AG152" s="16"/>
      <c r="AH152" s="16"/>
      <c r="AI152" s="16"/>
      <c r="AJ152" s="16"/>
      <c r="AK152" s="16"/>
      <c r="AL152" s="16"/>
      <c r="AM152" s="16"/>
      <c r="AN152" s="16"/>
      <c r="AO152" s="16"/>
    </row>
    <row r="153" ht="12.75" customHeight="1">
      <c r="A153" s="19">
        <v>78.0</v>
      </c>
      <c r="B153" s="19" t="s">
        <v>745</v>
      </c>
      <c r="C153" s="19" t="s">
        <v>606</v>
      </c>
      <c r="D153" s="19" t="s">
        <v>794</v>
      </c>
      <c r="E153" s="16" t="s">
        <v>795</v>
      </c>
      <c r="F153" s="19">
        <v>2012.0</v>
      </c>
      <c r="G153" s="16" t="s">
        <v>578</v>
      </c>
      <c r="H153" s="19">
        <v>2010.0</v>
      </c>
      <c r="I153" s="19">
        <v>8706.0</v>
      </c>
      <c r="J153" s="20" t="s">
        <v>25</v>
      </c>
      <c r="K153" s="19">
        <v>100.0</v>
      </c>
      <c r="L153" s="19">
        <v>2020.0</v>
      </c>
      <c r="M153" s="19">
        <v>30.0</v>
      </c>
      <c r="N153" s="19">
        <v>6094.2</v>
      </c>
      <c r="O153" s="20" t="s">
        <v>25</v>
      </c>
      <c r="P153" s="20" t="s">
        <v>25</v>
      </c>
      <c r="Q153" s="19">
        <v>5917.0</v>
      </c>
      <c r="R153" s="16">
        <v>106.78459300099547</v>
      </c>
      <c r="S153" s="16" t="s">
        <v>592</v>
      </c>
      <c r="T153" s="16" t="s">
        <v>593</v>
      </c>
      <c r="U153" s="16" t="s">
        <v>796</v>
      </c>
      <c r="V153" s="16"/>
      <c r="W153" s="16"/>
      <c r="X153" s="16"/>
      <c r="Y153" s="16"/>
      <c r="Z153" s="16"/>
      <c r="AA153" s="16"/>
      <c r="AB153" s="16"/>
      <c r="AC153" s="16"/>
      <c r="AD153" s="16"/>
      <c r="AE153" s="16"/>
      <c r="AF153" s="16"/>
      <c r="AG153" s="16"/>
      <c r="AH153" s="16"/>
      <c r="AI153" s="16"/>
      <c r="AJ153" s="16"/>
      <c r="AK153" s="16"/>
      <c r="AL153" s="16"/>
      <c r="AM153" s="16"/>
      <c r="AN153" s="16"/>
      <c r="AO153" s="16"/>
    </row>
    <row r="154" ht="12.75" customHeight="1">
      <c r="A154" s="19">
        <v>29.0</v>
      </c>
      <c r="B154" s="19" t="s">
        <v>745</v>
      </c>
      <c r="C154" s="19" t="s">
        <v>606</v>
      </c>
      <c r="D154" s="19" t="s">
        <v>794</v>
      </c>
      <c r="E154" s="16" t="s">
        <v>797</v>
      </c>
      <c r="F154" s="19">
        <v>2013.0</v>
      </c>
      <c r="G154" s="16" t="s">
        <v>578</v>
      </c>
      <c r="H154" s="19">
        <v>2010.0</v>
      </c>
      <c r="I154" s="19">
        <v>452.0</v>
      </c>
      <c r="J154" s="20" t="s">
        <v>25</v>
      </c>
      <c r="K154" s="19">
        <v>100.0</v>
      </c>
      <c r="L154" s="19">
        <v>2020.0</v>
      </c>
      <c r="M154" s="19">
        <v>25.0</v>
      </c>
      <c r="N154" s="19">
        <v>339.0</v>
      </c>
      <c r="O154" s="20" t="s">
        <v>25</v>
      </c>
      <c r="P154" s="20" t="s">
        <v>25</v>
      </c>
      <c r="Q154" s="19">
        <v>345.0</v>
      </c>
      <c r="R154" s="16">
        <v>94.69026548672566</v>
      </c>
      <c r="S154" s="16" t="s">
        <v>579</v>
      </c>
      <c r="T154" s="16" t="s">
        <v>593</v>
      </c>
      <c r="U154" s="16" t="s">
        <v>798</v>
      </c>
      <c r="V154" s="16"/>
      <c r="W154" s="16"/>
      <c r="X154" s="16"/>
      <c r="Y154" s="16"/>
      <c r="Z154" s="16"/>
      <c r="AA154" s="16"/>
      <c r="AB154" s="16"/>
      <c r="AC154" s="16"/>
      <c r="AD154" s="16"/>
      <c r="AE154" s="16"/>
      <c r="AF154" s="16"/>
      <c r="AG154" s="16"/>
      <c r="AH154" s="16"/>
      <c r="AI154" s="16"/>
      <c r="AJ154" s="16"/>
      <c r="AK154" s="16"/>
      <c r="AL154" s="16"/>
      <c r="AM154" s="16"/>
      <c r="AN154" s="16"/>
      <c r="AO154" s="16"/>
    </row>
    <row r="155" ht="12.75" customHeight="1">
      <c r="A155" s="19">
        <v>58.0</v>
      </c>
      <c r="B155" s="19" t="s">
        <v>745</v>
      </c>
      <c r="C155" s="19" t="s">
        <v>26</v>
      </c>
      <c r="D155" s="19" t="s">
        <v>577</v>
      </c>
      <c r="E155" s="16" t="s">
        <v>776</v>
      </c>
      <c r="F155" s="19">
        <v>2016.0</v>
      </c>
      <c r="G155" s="16" t="s">
        <v>578</v>
      </c>
      <c r="H155" s="19">
        <v>2015.0</v>
      </c>
      <c r="I155" s="19">
        <v>0.17</v>
      </c>
      <c r="J155" s="20" t="s">
        <v>25</v>
      </c>
      <c r="K155" s="19">
        <v>100.0</v>
      </c>
      <c r="L155" s="19">
        <v>2020.0</v>
      </c>
      <c r="M155" s="19">
        <v>15.0</v>
      </c>
      <c r="N155" s="19">
        <v>0.14450000000000002</v>
      </c>
      <c r="O155" s="20" t="s">
        <v>25</v>
      </c>
      <c r="P155" s="20" t="s">
        <v>25</v>
      </c>
      <c r="Q155" s="19">
        <v>0.185</v>
      </c>
      <c r="R155" s="16">
        <v>-58.82352941176466</v>
      </c>
      <c r="S155" s="16" t="s">
        <v>579</v>
      </c>
      <c r="T155" s="16" t="s">
        <v>580</v>
      </c>
      <c r="U155" s="16" t="s">
        <v>799</v>
      </c>
      <c r="V155" s="16"/>
      <c r="W155" s="16"/>
      <c r="X155" s="16"/>
      <c r="Y155" s="16"/>
      <c r="Z155" s="16"/>
      <c r="AA155" s="16"/>
      <c r="AB155" s="16"/>
      <c r="AC155" s="16"/>
      <c r="AD155" s="16"/>
      <c r="AE155" s="16"/>
      <c r="AF155" s="16"/>
      <c r="AG155" s="16"/>
      <c r="AH155" s="16"/>
      <c r="AI155" s="16"/>
      <c r="AJ155" s="16"/>
      <c r="AK155" s="16"/>
      <c r="AL155" s="16"/>
      <c r="AM155" s="16"/>
      <c r="AN155" s="16"/>
      <c r="AO155" s="16"/>
    </row>
    <row r="156" ht="12.75" customHeight="1">
      <c r="A156" s="19">
        <v>92.0</v>
      </c>
      <c r="B156" s="19" t="s">
        <v>745</v>
      </c>
      <c r="C156" s="19" t="s">
        <v>613</v>
      </c>
      <c r="D156" s="19" t="s">
        <v>614</v>
      </c>
      <c r="E156" s="16" t="s">
        <v>800</v>
      </c>
      <c r="F156" s="19">
        <v>2018.0</v>
      </c>
      <c r="G156" s="16" t="s">
        <v>578</v>
      </c>
      <c r="H156" s="19">
        <v>2017.0</v>
      </c>
      <c r="I156" s="19">
        <v>0.001237</v>
      </c>
      <c r="J156" s="20" t="s">
        <v>25</v>
      </c>
      <c r="K156" s="19">
        <v>93.0</v>
      </c>
      <c r="L156" s="19">
        <v>2020.0</v>
      </c>
      <c r="M156" s="19">
        <v>1.5</v>
      </c>
      <c r="N156" s="19">
        <v>0.001218445</v>
      </c>
      <c r="O156" s="20" t="s">
        <v>25</v>
      </c>
      <c r="P156" s="20" t="s">
        <v>25</v>
      </c>
      <c r="Q156" s="19">
        <v>0.01245</v>
      </c>
      <c r="R156" s="16">
        <v>-60431.15063325262</v>
      </c>
      <c r="S156" s="16" t="s">
        <v>579</v>
      </c>
      <c r="T156" s="16" t="s">
        <v>580</v>
      </c>
      <c r="U156" s="16" t="s">
        <v>801</v>
      </c>
      <c r="V156" s="16"/>
      <c r="W156" s="16"/>
      <c r="X156" s="16"/>
      <c r="Y156" s="16"/>
      <c r="Z156" s="16"/>
      <c r="AA156" s="16"/>
      <c r="AB156" s="16"/>
      <c r="AC156" s="16"/>
      <c r="AD156" s="16"/>
      <c r="AE156" s="16"/>
      <c r="AF156" s="16"/>
      <c r="AG156" s="16"/>
      <c r="AH156" s="16"/>
      <c r="AI156" s="16"/>
      <c r="AJ156" s="16"/>
      <c r="AK156" s="16"/>
      <c r="AL156" s="16"/>
      <c r="AM156" s="16"/>
      <c r="AN156" s="16"/>
      <c r="AO156" s="16"/>
    </row>
    <row r="157" ht="12.75" customHeight="1">
      <c r="A157" s="19">
        <v>94.0</v>
      </c>
      <c r="B157" s="19" t="s">
        <v>745</v>
      </c>
      <c r="C157" s="19" t="s">
        <v>26</v>
      </c>
      <c r="D157" s="19" t="s">
        <v>582</v>
      </c>
      <c r="E157" s="16" t="s">
        <v>802</v>
      </c>
      <c r="F157" s="19">
        <v>2010.0</v>
      </c>
      <c r="G157" s="16" t="s">
        <v>650</v>
      </c>
      <c r="H157" s="19">
        <v>2007.0</v>
      </c>
      <c r="I157" s="19">
        <v>1.94</v>
      </c>
      <c r="J157" s="20" t="s">
        <v>25</v>
      </c>
      <c r="K157" s="19">
        <v>95.0</v>
      </c>
      <c r="L157" s="19">
        <v>2020.0</v>
      </c>
      <c r="M157" s="19">
        <v>20.0</v>
      </c>
      <c r="N157" s="19">
        <v>1.552</v>
      </c>
      <c r="O157" s="20" t="s">
        <v>25</v>
      </c>
      <c r="P157" s="20" t="s">
        <v>25</v>
      </c>
      <c r="Q157" s="19">
        <v>1.6</v>
      </c>
      <c r="R157" s="16">
        <v>87.62886597938143</v>
      </c>
      <c r="S157" s="16" t="s">
        <v>579</v>
      </c>
      <c r="T157" s="16" t="s">
        <v>593</v>
      </c>
      <c r="U157" s="16" t="s">
        <v>803</v>
      </c>
      <c r="V157" s="16"/>
      <c r="W157" s="16"/>
      <c r="X157" s="16"/>
      <c r="Y157" s="16"/>
      <c r="Z157" s="16"/>
      <c r="AA157" s="16"/>
      <c r="AB157" s="16"/>
      <c r="AC157" s="16"/>
      <c r="AD157" s="16"/>
      <c r="AE157" s="16"/>
      <c r="AF157" s="16"/>
      <c r="AG157" s="16"/>
      <c r="AH157" s="16"/>
      <c r="AI157" s="16"/>
      <c r="AJ157" s="16"/>
      <c r="AK157" s="16"/>
      <c r="AL157" s="16"/>
      <c r="AM157" s="16"/>
      <c r="AN157" s="16"/>
      <c r="AO157" s="16"/>
    </row>
    <row r="158" ht="12.75" customHeight="1">
      <c r="A158" s="19">
        <v>94.0</v>
      </c>
      <c r="B158" s="19" t="s">
        <v>745</v>
      </c>
      <c r="C158" s="19" t="s">
        <v>613</v>
      </c>
      <c r="D158" s="19" t="s">
        <v>614</v>
      </c>
      <c r="E158" s="16" t="s">
        <v>804</v>
      </c>
      <c r="F158" s="19">
        <v>2008.0</v>
      </c>
      <c r="G158" s="16" t="s">
        <v>650</v>
      </c>
      <c r="H158" s="19">
        <v>2005.0</v>
      </c>
      <c r="I158" s="19">
        <v>1.54</v>
      </c>
      <c r="J158" s="20" t="s">
        <v>25</v>
      </c>
      <c r="K158" s="19">
        <v>59.0</v>
      </c>
      <c r="L158" s="19">
        <v>2020.0</v>
      </c>
      <c r="M158" s="19">
        <v>20.0</v>
      </c>
      <c r="N158" s="19">
        <v>1.2320000000000002</v>
      </c>
      <c r="O158" s="20" t="s">
        <v>25</v>
      </c>
      <c r="P158" s="20" t="s">
        <v>25</v>
      </c>
      <c r="Q158" s="19">
        <v>1.34</v>
      </c>
      <c r="R158" s="16">
        <v>64.93506493506496</v>
      </c>
      <c r="S158" s="16" t="s">
        <v>579</v>
      </c>
      <c r="T158" s="16" t="s">
        <v>593</v>
      </c>
      <c r="U158" s="16" t="s">
        <v>805</v>
      </c>
      <c r="V158" s="16"/>
      <c r="W158" s="16"/>
      <c r="X158" s="16"/>
      <c r="Y158" s="16"/>
      <c r="Z158" s="16"/>
      <c r="AA158" s="16"/>
      <c r="AB158" s="16"/>
      <c r="AC158" s="16"/>
      <c r="AD158" s="16"/>
      <c r="AE158" s="16"/>
      <c r="AF158" s="16"/>
      <c r="AG158" s="16"/>
      <c r="AH158" s="16"/>
      <c r="AI158" s="16"/>
      <c r="AJ158" s="16"/>
      <c r="AK158" s="16"/>
      <c r="AL158" s="16"/>
      <c r="AM158" s="16"/>
      <c r="AN158" s="16"/>
      <c r="AO158" s="16"/>
    </row>
    <row r="159" ht="12.75" customHeight="1">
      <c r="A159" s="19">
        <v>96.0</v>
      </c>
      <c r="B159" s="19" t="s">
        <v>745</v>
      </c>
      <c r="C159" s="19" t="s">
        <v>26</v>
      </c>
      <c r="D159" s="19" t="s">
        <v>577</v>
      </c>
      <c r="E159" s="16" t="s">
        <v>806</v>
      </c>
      <c r="F159" s="19">
        <v>2010.0</v>
      </c>
      <c r="G159" s="16" t="s">
        <v>578</v>
      </c>
      <c r="H159" s="19">
        <v>2009.0</v>
      </c>
      <c r="I159" s="19">
        <v>0.118996</v>
      </c>
      <c r="J159" s="20" t="s">
        <v>25</v>
      </c>
      <c r="K159" s="19">
        <v>100.0</v>
      </c>
      <c r="L159" s="19">
        <v>2020.0</v>
      </c>
      <c r="M159" s="19">
        <v>50.0</v>
      </c>
      <c r="N159" s="19">
        <v>0.059498</v>
      </c>
      <c r="O159" s="20" t="s">
        <v>25</v>
      </c>
      <c r="P159" s="20" t="s">
        <v>25</v>
      </c>
      <c r="Q159" s="19">
        <v>0.0550841436</v>
      </c>
      <c r="R159" s="16">
        <v>107.41849541161046</v>
      </c>
      <c r="S159" s="16" t="s">
        <v>714</v>
      </c>
      <c r="T159" s="16" t="s">
        <v>593</v>
      </c>
      <c r="U159" s="16" t="s">
        <v>807</v>
      </c>
      <c r="V159" s="16"/>
      <c r="W159" s="16"/>
      <c r="X159" s="16"/>
      <c r="Y159" s="16"/>
      <c r="Z159" s="16"/>
      <c r="AA159" s="16"/>
      <c r="AB159" s="16"/>
      <c r="AC159" s="16"/>
      <c r="AD159" s="16"/>
      <c r="AE159" s="16"/>
      <c r="AF159" s="16"/>
      <c r="AG159" s="16"/>
      <c r="AH159" s="16"/>
      <c r="AI159" s="16"/>
      <c r="AJ159" s="16"/>
      <c r="AK159" s="16"/>
      <c r="AL159" s="16"/>
      <c r="AM159" s="16"/>
      <c r="AN159" s="16"/>
      <c r="AO159" s="16"/>
    </row>
    <row r="160" ht="12.75" customHeight="1">
      <c r="A160" s="19">
        <v>96.0</v>
      </c>
      <c r="B160" s="19" t="s">
        <v>745</v>
      </c>
      <c r="C160" s="19" t="s">
        <v>26</v>
      </c>
      <c r="D160" s="19" t="s">
        <v>577</v>
      </c>
      <c r="E160" s="16" t="s">
        <v>808</v>
      </c>
      <c r="F160" s="19">
        <v>2016.0</v>
      </c>
      <c r="G160" s="16" t="s">
        <v>578</v>
      </c>
      <c r="H160" s="19">
        <v>2016.0</v>
      </c>
      <c r="I160" s="19">
        <v>0.051919</v>
      </c>
      <c r="J160" s="20" t="s">
        <v>25</v>
      </c>
      <c r="K160" s="19">
        <v>100.0</v>
      </c>
      <c r="L160" s="19">
        <v>2025.0</v>
      </c>
      <c r="M160" s="19">
        <v>50.0</v>
      </c>
      <c r="N160" s="19">
        <v>0.0259595</v>
      </c>
      <c r="O160" s="20" t="s">
        <v>25</v>
      </c>
      <c r="P160" s="20" t="s">
        <v>25</v>
      </c>
      <c r="Q160" s="19">
        <v>0.02457</v>
      </c>
      <c r="R160" s="16">
        <v>105.35256842389104</v>
      </c>
      <c r="S160" s="16" t="s">
        <v>592</v>
      </c>
      <c r="T160" s="16" t="s">
        <v>593</v>
      </c>
      <c r="U160" s="16" t="s">
        <v>809</v>
      </c>
      <c r="V160" s="16"/>
      <c r="W160" s="16"/>
      <c r="X160" s="16"/>
      <c r="Y160" s="16"/>
      <c r="Z160" s="16"/>
      <c r="AA160" s="16"/>
      <c r="AB160" s="16"/>
      <c r="AC160" s="16"/>
      <c r="AD160" s="16"/>
      <c r="AE160" s="16"/>
      <c r="AF160" s="16"/>
      <c r="AG160" s="16"/>
      <c r="AH160" s="16"/>
      <c r="AI160" s="16"/>
      <c r="AJ160" s="16"/>
      <c r="AK160" s="16"/>
      <c r="AL160" s="16"/>
      <c r="AM160" s="16"/>
      <c r="AN160" s="16"/>
      <c r="AO160" s="16"/>
    </row>
    <row r="161" ht="12.75" customHeight="1">
      <c r="A161" s="19">
        <v>98.0</v>
      </c>
      <c r="B161" s="19" t="s">
        <v>745</v>
      </c>
      <c r="C161" s="19" t="s">
        <v>26</v>
      </c>
      <c r="D161" s="19" t="s">
        <v>577</v>
      </c>
      <c r="E161" s="16" t="s">
        <v>753</v>
      </c>
      <c r="F161" s="19">
        <v>2012.0</v>
      </c>
      <c r="G161" s="16" t="s">
        <v>650</v>
      </c>
      <c r="H161" s="19">
        <v>2011.0</v>
      </c>
      <c r="I161" s="19">
        <v>0.039602</v>
      </c>
      <c r="J161" s="20" t="s">
        <v>25</v>
      </c>
      <c r="K161" s="19">
        <v>50.0</v>
      </c>
      <c r="L161" s="19">
        <v>2020.0</v>
      </c>
      <c r="M161" s="19">
        <v>20.0</v>
      </c>
      <c r="N161" s="19">
        <v>0.0316816</v>
      </c>
      <c r="O161" s="20" t="s">
        <v>25</v>
      </c>
      <c r="P161" s="20" t="s">
        <v>25</v>
      </c>
      <c r="Q161" s="19">
        <v>0.033163</v>
      </c>
      <c r="R161" s="16">
        <v>81.29639917175899</v>
      </c>
      <c r="S161" s="16" t="s">
        <v>579</v>
      </c>
      <c r="T161" s="16" t="s">
        <v>580</v>
      </c>
      <c r="U161" s="16" t="s">
        <v>810</v>
      </c>
      <c r="V161" s="16"/>
      <c r="W161" s="16"/>
      <c r="X161" s="16"/>
      <c r="Y161" s="16"/>
      <c r="Z161" s="16"/>
      <c r="AA161" s="16"/>
      <c r="AB161" s="16"/>
      <c r="AC161" s="16"/>
      <c r="AD161" s="16"/>
      <c r="AE161" s="16"/>
      <c r="AF161" s="16"/>
      <c r="AG161" s="16"/>
      <c r="AH161" s="16"/>
      <c r="AI161" s="16"/>
      <c r="AJ161" s="16"/>
      <c r="AK161" s="16"/>
      <c r="AL161" s="16"/>
      <c r="AM161" s="16"/>
      <c r="AN161" s="16"/>
      <c r="AO161" s="16"/>
    </row>
    <row r="162" ht="12.75" customHeight="1">
      <c r="A162" s="19"/>
      <c r="B162" s="19"/>
      <c r="C162" s="19"/>
      <c r="D162" s="19"/>
      <c r="E162" s="16"/>
      <c r="F162" s="19"/>
      <c r="G162" s="16"/>
      <c r="H162" s="16"/>
      <c r="I162" s="16"/>
      <c r="J162" s="16"/>
      <c r="K162" s="19"/>
      <c r="L162" s="19"/>
      <c r="M162" s="19"/>
      <c r="N162" s="19"/>
      <c r="O162" s="19"/>
      <c r="P162" s="19"/>
      <c r="Q162" s="19"/>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row>
    <row r="163" ht="12.75" customHeight="1">
      <c r="A163" s="19"/>
      <c r="B163" s="19"/>
      <c r="C163" s="19"/>
      <c r="D163" s="19"/>
      <c r="E163" s="16"/>
      <c r="F163" s="19"/>
      <c r="G163" s="16"/>
      <c r="H163" s="16"/>
      <c r="I163" s="16"/>
      <c r="J163" s="16"/>
      <c r="K163" s="19"/>
      <c r="L163" s="19"/>
      <c r="M163" s="19"/>
      <c r="N163" s="19"/>
      <c r="O163" s="19"/>
      <c r="P163" s="19"/>
      <c r="Q163" s="19"/>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row>
    <row r="164" ht="12.75" customHeight="1">
      <c r="A164" s="19"/>
      <c r="B164" s="19"/>
      <c r="C164" s="19"/>
      <c r="D164" s="19"/>
      <c r="E164" s="16"/>
      <c r="F164" s="19"/>
      <c r="G164" s="16"/>
      <c r="H164" s="16"/>
      <c r="I164" s="16"/>
      <c r="J164" s="16"/>
      <c r="K164" s="19"/>
      <c r="L164" s="19"/>
      <c r="M164" s="19"/>
      <c r="N164" s="19"/>
      <c r="O164" s="19"/>
      <c r="P164" s="19"/>
      <c r="Q164" s="19"/>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row>
    <row r="165" ht="12.75" customHeight="1">
      <c r="A165" s="19"/>
      <c r="B165" s="19"/>
      <c r="C165" s="19"/>
      <c r="D165" s="19"/>
      <c r="E165" s="16"/>
      <c r="F165" s="19"/>
      <c r="G165" s="16"/>
      <c r="H165" s="16"/>
      <c r="I165" s="16"/>
      <c r="J165" s="16"/>
      <c r="K165" s="19"/>
      <c r="L165" s="19"/>
      <c r="M165" s="19"/>
      <c r="N165" s="19"/>
      <c r="O165" s="19"/>
      <c r="P165" s="19"/>
      <c r="Q165" s="19"/>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row>
    <row r="166" ht="12.75" customHeight="1">
      <c r="A166" s="19"/>
      <c r="B166" s="19"/>
      <c r="C166" s="19"/>
      <c r="D166" s="19"/>
      <c r="E166" s="16"/>
      <c r="F166" s="19"/>
      <c r="G166" s="16"/>
      <c r="H166" s="16"/>
      <c r="I166" s="16"/>
      <c r="J166" s="16"/>
      <c r="K166" s="19"/>
      <c r="L166" s="19"/>
      <c r="M166" s="19"/>
      <c r="N166" s="19"/>
      <c r="O166" s="19"/>
      <c r="P166" s="19"/>
      <c r="Q166" s="19"/>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row>
    <row r="167" ht="12.75" customHeight="1">
      <c r="A167" s="19"/>
      <c r="B167" s="19"/>
      <c r="C167" s="19"/>
      <c r="D167" s="19"/>
      <c r="E167" s="16"/>
      <c r="F167" s="19"/>
      <c r="G167" s="16"/>
      <c r="H167" s="16"/>
      <c r="I167" s="16"/>
      <c r="J167" s="16"/>
      <c r="K167" s="19"/>
      <c r="L167" s="19"/>
      <c r="M167" s="19"/>
      <c r="N167" s="19"/>
      <c r="O167" s="19"/>
      <c r="P167" s="19"/>
      <c r="Q167" s="19"/>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row>
    <row r="168" ht="12.75" customHeight="1">
      <c r="A168" s="19"/>
      <c r="B168" s="19"/>
      <c r="C168" s="19"/>
      <c r="D168" s="19"/>
      <c r="E168" s="16"/>
      <c r="F168" s="19"/>
      <c r="G168" s="16"/>
      <c r="H168" s="16"/>
      <c r="I168" s="16"/>
      <c r="J168" s="16"/>
      <c r="K168" s="19"/>
      <c r="L168" s="19"/>
      <c r="M168" s="19"/>
      <c r="N168" s="19"/>
      <c r="O168" s="19"/>
      <c r="P168" s="19"/>
      <c r="Q168" s="19"/>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row>
    <row r="169" ht="12.75" customHeight="1">
      <c r="A169" s="19"/>
      <c r="B169" s="19"/>
      <c r="C169" s="19"/>
      <c r="D169" s="19"/>
      <c r="E169" s="16"/>
      <c r="F169" s="19"/>
      <c r="G169" s="16"/>
      <c r="H169" s="16"/>
      <c r="I169" s="16"/>
      <c r="J169" s="16"/>
      <c r="K169" s="19"/>
      <c r="L169" s="19"/>
      <c r="M169" s="19"/>
      <c r="N169" s="19"/>
      <c r="O169" s="19"/>
      <c r="P169" s="19"/>
      <c r="Q169" s="19"/>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row>
    <row r="170" ht="12.75" customHeight="1">
      <c r="A170" s="19"/>
      <c r="B170" s="19"/>
      <c r="C170" s="19"/>
      <c r="D170" s="19"/>
      <c r="E170" s="16"/>
      <c r="F170" s="19"/>
      <c r="G170" s="16"/>
      <c r="H170" s="16"/>
      <c r="I170" s="16"/>
      <c r="J170" s="16"/>
      <c r="K170" s="19"/>
      <c r="L170" s="19"/>
      <c r="M170" s="19"/>
      <c r="N170" s="19"/>
      <c r="O170" s="19"/>
      <c r="P170" s="19"/>
      <c r="Q170" s="19"/>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row>
    <row r="171" ht="12.75" customHeight="1">
      <c r="A171" s="19"/>
      <c r="B171" s="19"/>
      <c r="C171" s="19"/>
      <c r="D171" s="19"/>
      <c r="E171" s="16"/>
      <c r="F171" s="19"/>
      <c r="G171" s="16"/>
      <c r="H171" s="16"/>
      <c r="I171" s="16"/>
      <c r="J171" s="16"/>
      <c r="K171" s="19"/>
      <c r="L171" s="19"/>
      <c r="M171" s="19"/>
      <c r="N171" s="19"/>
      <c r="O171" s="19"/>
      <c r="P171" s="19"/>
      <c r="Q171" s="19"/>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row>
    <row r="172" ht="12.75" customHeight="1">
      <c r="A172" s="19"/>
      <c r="B172" s="19"/>
      <c r="C172" s="19"/>
      <c r="D172" s="19"/>
      <c r="E172" s="16"/>
      <c r="F172" s="19"/>
      <c r="G172" s="16"/>
      <c r="H172" s="16"/>
      <c r="I172" s="16"/>
      <c r="J172" s="16"/>
      <c r="K172" s="19"/>
      <c r="L172" s="19"/>
      <c r="M172" s="19"/>
      <c r="N172" s="19"/>
      <c r="O172" s="19"/>
      <c r="P172" s="19"/>
      <c r="Q172" s="19"/>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row>
    <row r="173" ht="12.75" customHeight="1">
      <c r="A173" s="19"/>
      <c r="B173" s="19"/>
      <c r="C173" s="19"/>
      <c r="D173" s="19"/>
      <c r="E173" s="16"/>
      <c r="F173" s="19"/>
      <c r="G173" s="16"/>
      <c r="H173" s="16"/>
      <c r="I173" s="16"/>
      <c r="J173" s="16"/>
      <c r="K173" s="19"/>
      <c r="L173" s="19"/>
      <c r="M173" s="19"/>
      <c r="N173" s="19"/>
      <c r="O173" s="19"/>
      <c r="P173" s="19"/>
      <c r="Q173" s="19"/>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row>
    <row r="174" ht="12.75" customHeight="1">
      <c r="A174" s="19"/>
      <c r="B174" s="19"/>
      <c r="C174" s="19"/>
      <c r="D174" s="19"/>
      <c r="E174" s="16"/>
      <c r="F174" s="19"/>
      <c r="G174" s="16"/>
      <c r="H174" s="16"/>
      <c r="I174" s="16"/>
      <c r="J174" s="16"/>
      <c r="K174" s="16"/>
      <c r="L174" s="19"/>
      <c r="M174" s="19"/>
      <c r="N174" s="19"/>
      <c r="O174" s="19"/>
      <c r="P174" s="19"/>
      <c r="Q174" s="19"/>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row>
    <row r="175" ht="12.75" customHeight="1">
      <c r="A175" s="19"/>
      <c r="B175" s="19"/>
      <c r="C175" s="19"/>
      <c r="D175" s="19"/>
      <c r="E175" s="16"/>
      <c r="F175" s="19"/>
      <c r="G175" s="16"/>
      <c r="H175" s="16"/>
      <c r="I175" s="16"/>
      <c r="J175" s="16"/>
      <c r="K175" s="16"/>
      <c r="L175" s="19"/>
      <c r="M175" s="19"/>
      <c r="N175" s="19"/>
      <c r="O175" s="19"/>
      <c r="P175" s="19"/>
      <c r="Q175" s="19"/>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row>
    <row r="176" ht="12.75" customHeight="1">
      <c r="A176" s="19"/>
      <c r="B176" s="19"/>
      <c r="C176" s="19"/>
      <c r="D176" s="19"/>
      <c r="E176" s="16"/>
      <c r="F176" s="19"/>
      <c r="G176" s="16"/>
      <c r="H176" s="16"/>
      <c r="I176" s="16"/>
      <c r="J176" s="16"/>
      <c r="K176" s="16"/>
      <c r="L176" s="19"/>
      <c r="M176" s="19"/>
      <c r="N176" s="19"/>
      <c r="O176" s="19"/>
      <c r="P176" s="19"/>
      <c r="Q176" s="19"/>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row>
    <row r="177" ht="12.75" customHeight="1">
      <c r="A177" s="21"/>
      <c r="B177" s="21"/>
      <c r="C177" s="21"/>
      <c r="D177" s="21"/>
      <c r="E177" s="22"/>
      <c r="F177" s="21"/>
      <c r="G177" s="22"/>
      <c r="H177" s="22"/>
      <c r="I177" s="22"/>
      <c r="J177" s="22"/>
      <c r="K177" s="22"/>
      <c r="L177" s="21"/>
      <c r="M177" s="21"/>
      <c r="N177" s="21"/>
      <c r="O177" s="21"/>
      <c r="P177" s="21"/>
      <c r="Q177" s="21"/>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row>
    <row r="178" ht="12.75" customHeight="1">
      <c r="A178" s="21"/>
      <c r="B178" s="21"/>
      <c r="C178" s="21"/>
      <c r="D178" s="21"/>
      <c r="E178" s="22"/>
      <c r="F178" s="21"/>
      <c r="G178" s="22"/>
      <c r="H178" s="22"/>
      <c r="I178" s="22"/>
      <c r="J178" s="22"/>
      <c r="K178" s="22"/>
      <c r="L178" s="21"/>
      <c r="M178" s="21"/>
      <c r="N178" s="21"/>
      <c r="O178" s="21"/>
      <c r="P178" s="21"/>
      <c r="Q178" s="21"/>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row>
    <row r="179" ht="12.75" customHeight="1">
      <c r="A179" s="21"/>
      <c r="B179" s="21"/>
      <c r="C179" s="21"/>
      <c r="D179" s="21"/>
      <c r="E179" s="22"/>
      <c r="F179" s="21"/>
      <c r="G179" s="22"/>
      <c r="H179" s="22"/>
      <c r="I179" s="22"/>
      <c r="J179" s="22"/>
      <c r="K179" s="22"/>
      <c r="L179" s="21"/>
      <c r="M179" s="21"/>
      <c r="N179" s="21"/>
      <c r="O179" s="21"/>
      <c r="P179" s="21"/>
      <c r="Q179" s="21"/>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row>
    <row r="180" ht="12.75" customHeight="1">
      <c r="A180" s="21"/>
      <c r="B180" s="21"/>
      <c r="C180" s="21"/>
      <c r="D180" s="21"/>
      <c r="E180" s="22"/>
      <c r="F180" s="21"/>
      <c r="G180" s="22"/>
      <c r="H180" s="22"/>
      <c r="I180" s="22"/>
      <c r="J180" s="22"/>
      <c r="K180" s="22"/>
      <c r="L180" s="21"/>
      <c r="M180" s="21"/>
      <c r="N180" s="21"/>
      <c r="O180" s="21"/>
      <c r="P180" s="21"/>
      <c r="Q180" s="21"/>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row>
    <row r="181" ht="12.75" customHeight="1">
      <c r="A181" s="21"/>
      <c r="B181" s="21"/>
      <c r="C181" s="21"/>
      <c r="D181" s="21"/>
      <c r="E181" s="22"/>
      <c r="F181" s="21"/>
      <c r="G181" s="22"/>
      <c r="H181" s="22"/>
      <c r="I181" s="22"/>
      <c r="J181" s="22"/>
      <c r="K181" s="22"/>
      <c r="L181" s="21"/>
      <c r="M181" s="21"/>
      <c r="N181" s="21"/>
      <c r="O181" s="21"/>
      <c r="P181" s="21"/>
      <c r="Q181" s="21"/>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row>
    <row r="182" ht="12.75" customHeight="1">
      <c r="A182" s="21"/>
      <c r="B182" s="21"/>
      <c r="C182" s="21"/>
      <c r="D182" s="21"/>
      <c r="E182" s="22"/>
      <c r="F182" s="21"/>
      <c r="G182" s="22"/>
      <c r="H182" s="22"/>
      <c r="I182" s="22"/>
      <c r="J182" s="22"/>
      <c r="K182" s="22"/>
      <c r="L182" s="21"/>
      <c r="M182" s="21"/>
      <c r="N182" s="21"/>
      <c r="O182" s="21"/>
      <c r="P182" s="21"/>
      <c r="Q182" s="21"/>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row>
    <row r="183" ht="12.75" customHeight="1">
      <c r="A183" s="21"/>
      <c r="B183" s="21"/>
      <c r="C183" s="21"/>
      <c r="D183" s="21"/>
      <c r="E183" s="22"/>
      <c r="F183" s="21"/>
      <c r="G183" s="22"/>
      <c r="H183" s="22"/>
      <c r="I183" s="22"/>
      <c r="J183" s="22"/>
      <c r="K183" s="22"/>
      <c r="L183" s="21"/>
      <c r="M183" s="21"/>
      <c r="N183" s="21"/>
      <c r="O183" s="21"/>
      <c r="P183" s="21"/>
      <c r="Q183" s="21"/>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row>
    <row r="184" ht="12.75" customHeight="1">
      <c r="A184" s="21"/>
      <c r="B184" s="21"/>
      <c r="C184" s="21"/>
      <c r="D184" s="21"/>
      <c r="E184" s="22"/>
      <c r="F184" s="21"/>
      <c r="G184" s="22"/>
      <c r="H184" s="22"/>
      <c r="I184" s="22"/>
      <c r="J184" s="22"/>
      <c r="K184" s="22"/>
      <c r="L184" s="21"/>
      <c r="M184" s="21"/>
      <c r="N184" s="21"/>
      <c r="O184" s="21"/>
      <c r="P184" s="21"/>
      <c r="Q184" s="21"/>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row>
    <row r="185" ht="12.75" customHeight="1">
      <c r="A185" s="21"/>
      <c r="B185" s="21"/>
      <c r="C185" s="21"/>
      <c r="D185" s="21"/>
      <c r="E185" s="22"/>
      <c r="F185" s="21"/>
      <c r="G185" s="22"/>
      <c r="H185" s="22"/>
      <c r="I185" s="22"/>
      <c r="J185" s="22"/>
      <c r="K185" s="22"/>
      <c r="L185" s="21"/>
      <c r="M185" s="21"/>
      <c r="N185" s="21"/>
      <c r="O185" s="21"/>
      <c r="P185" s="21"/>
      <c r="Q185" s="21"/>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row>
    <row r="186" ht="12.75" customHeight="1">
      <c r="A186" s="21"/>
      <c r="B186" s="21"/>
      <c r="C186" s="21"/>
      <c r="D186" s="21"/>
      <c r="E186" s="22"/>
      <c r="F186" s="21"/>
      <c r="G186" s="22"/>
      <c r="H186" s="22"/>
      <c r="I186" s="22"/>
      <c r="J186" s="22"/>
      <c r="K186" s="22"/>
      <c r="L186" s="21"/>
      <c r="M186" s="21"/>
      <c r="N186" s="21"/>
      <c r="O186" s="21"/>
      <c r="P186" s="21"/>
      <c r="Q186" s="21"/>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row>
    <row r="187" ht="12.75" customHeight="1">
      <c r="A187" s="21"/>
      <c r="B187" s="21"/>
      <c r="C187" s="21"/>
      <c r="D187" s="21"/>
      <c r="E187" s="22"/>
      <c r="F187" s="21"/>
      <c r="G187" s="22"/>
      <c r="H187" s="22"/>
      <c r="I187" s="22"/>
      <c r="J187" s="22"/>
      <c r="K187" s="22"/>
      <c r="L187" s="21"/>
      <c r="M187" s="21"/>
      <c r="N187" s="21"/>
      <c r="O187" s="21"/>
      <c r="P187" s="21"/>
      <c r="Q187" s="21"/>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row>
    <row r="188" ht="12.75" customHeight="1">
      <c r="A188" s="21"/>
      <c r="B188" s="21"/>
      <c r="C188" s="21"/>
      <c r="D188" s="21"/>
      <c r="E188" s="22"/>
      <c r="F188" s="21"/>
      <c r="G188" s="22"/>
      <c r="H188" s="22"/>
      <c r="I188" s="22"/>
      <c r="J188" s="22"/>
      <c r="K188" s="22"/>
      <c r="L188" s="21"/>
      <c r="M188" s="21"/>
      <c r="N188" s="21"/>
      <c r="O188" s="21"/>
      <c r="P188" s="21"/>
      <c r="Q188" s="21"/>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row>
    <row r="189" ht="12.75" customHeight="1">
      <c r="A189" s="21"/>
      <c r="B189" s="21"/>
      <c r="C189" s="21"/>
      <c r="D189" s="21"/>
      <c r="E189" s="22"/>
      <c r="F189" s="21"/>
      <c r="G189" s="22"/>
      <c r="H189" s="22"/>
      <c r="I189" s="22"/>
      <c r="J189" s="22"/>
      <c r="K189" s="22"/>
      <c r="L189" s="21"/>
      <c r="M189" s="21"/>
      <c r="N189" s="21"/>
      <c r="O189" s="21"/>
      <c r="P189" s="21"/>
      <c r="Q189" s="21"/>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row>
    <row r="190" ht="12.75" customHeight="1">
      <c r="A190" s="21"/>
      <c r="B190" s="21"/>
      <c r="C190" s="21"/>
      <c r="D190" s="21"/>
      <c r="E190" s="22"/>
      <c r="F190" s="21"/>
      <c r="G190" s="22"/>
      <c r="H190" s="22"/>
      <c r="I190" s="22"/>
      <c r="J190" s="22"/>
      <c r="K190" s="22"/>
      <c r="L190" s="21"/>
      <c r="M190" s="21"/>
      <c r="N190" s="21"/>
      <c r="O190" s="21"/>
      <c r="P190" s="21"/>
      <c r="Q190" s="21"/>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row>
    <row r="191" ht="12.75" customHeight="1">
      <c r="A191" s="21"/>
      <c r="B191" s="21"/>
      <c r="C191" s="21"/>
      <c r="D191" s="21"/>
      <c r="E191" s="22"/>
      <c r="F191" s="21"/>
      <c r="G191" s="22"/>
      <c r="H191" s="22"/>
      <c r="I191" s="22"/>
      <c r="J191" s="22"/>
      <c r="K191" s="22"/>
      <c r="L191" s="21"/>
      <c r="M191" s="21"/>
      <c r="N191" s="21"/>
      <c r="O191" s="21"/>
      <c r="P191" s="21"/>
      <c r="Q191" s="21"/>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row>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U$161"/>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43"/>
    <col customWidth="1" min="2" max="12" width="13.86"/>
    <col customWidth="1" min="13" max="26" width="8.71"/>
  </cols>
  <sheetData>
    <row r="1" ht="12.75" customHeight="1">
      <c r="A1" s="15" t="s">
        <v>2</v>
      </c>
      <c r="B1" s="15" t="s">
        <v>811</v>
      </c>
      <c r="C1" s="15" t="s">
        <v>812</v>
      </c>
      <c r="D1" s="15" t="s">
        <v>813</v>
      </c>
      <c r="E1" s="15" t="s">
        <v>814</v>
      </c>
      <c r="F1" s="15" t="s">
        <v>815</v>
      </c>
      <c r="G1" s="15" t="s">
        <v>816</v>
      </c>
      <c r="H1" s="15" t="s">
        <v>817</v>
      </c>
      <c r="I1" s="15" t="s">
        <v>818</v>
      </c>
      <c r="J1" s="15" t="s">
        <v>819</v>
      </c>
      <c r="K1" s="15" t="s">
        <v>820</v>
      </c>
      <c r="L1" s="15" t="s">
        <v>821</v>
      </c>
    </row>
    <row r="2" ht="12.75" customHeight="1">
      <c r="A2" s="17">
        <v>1.0</v>
      </c>
      <c r="B2" s="16" t="s">
        <v>822</v>
      </c>
      <c r="C2" s="16" t="s">
        <v>822</v>
      </c>
      <c r="D2" s="16" t="s">
        <v>823</v>
      </c>
      <c r="E2" s="16" t="s">
        <v>824</v>
      </c>
      <c r="F2" s="16" t="s">
        <v>825</v>
      </c>
      <c r="G2" s="16" t="s">
        <v>826</v>
      </c>
      <c r="H2" s="16" t="s">
        <v>827</v>
      </c>
      <c r="I2" s="16" t="s">
        <v>49</v>
      </c>
      <c r="J2" s="16" t="s">
        <v>48</v>
      </c>
      <c r="K2" s="16" t="s">
        <v>828</v>
      </c>
      <c r="L2" s="13">
        <v>285.0</v>
      </c>
    </row>
    <row r="3" ht="12.75" customHeight="1">
      <c r="A3" s="17">
        <v>2.0</v>
      </c>
      <c r="B3" s="16" t="s">
        <v>829</v>
      </c>
      <c r="C3" s="16" t="s">
        <v>829</v>
      </c>
      <c r="D3" s="16" t="s">
        <v>823</v>
      </c>
      <c r="E3" s="16" t="s">
        <v>830</v>
      </c>
      <c r="F3" s="16" t="s">
        <v>831</v>
      </c>
      <c r="G3" s="16" t="s">
        <v>831</v>
      </c>
      <c r="H3" s="16" t="s">
        <v>832</v>
      </c>
      <c r="I3" s="16" t="s">
        <v>833</v>
      </c>
      <c r="J3" s="16" t="s">
        <v>834</v>
      </c>
      <c r="K3" s="16" t="s">
        <v>835</v>
      </c>
      <c r="L3" s="13">
        <v>64.0</v>
      </c>
    </row>
    <row r="4" ht="12.75" customHeight="1">
      <c r="A4" s="17">
        <v>3.0</v>
      </c>
      <c r="B4" s="16" t="s">
        <v>829</v>
      </c>
      <c r="C4" s="16" t="s">
        <v>829</v>
      </c>
      <c r="D4" s="16" t="s">
        <v>823</v>
      </c>
      <c r="E4" s="16" t="s">
        <v>836</v>
      </c>
      <c r="F4" s="16" t="s">
        <v>837</v>
      </c>
      <c r="G4" s="16" t="s">
        <v>837</v>
      </c>
      <c r="H4" s="16" t="s">
        <v>838</v>
      </c>
      <c r="I4" s="16" t="s">
        <v>839</v>
      </c>
      <c r="J4" s="16" t="s">
        <v>834</v>
      </c>
      <c r="K4" s="16" t="s">
        <v>835</v>
      </c>
      <c r="L4" s="13">
        <v>45103.0</v>
      </c>
    </row>
    <row r="5" ht="12.75" customHeight="1">
      <c r="A5" s="17">
        <v>4.0</v>
      </c>
      <c r="B5" s="16" t="s">
        <v>840</v>
      </c>
      <c r="C5" s="16" t="s">
        <v>840</v>
      </c>
      <c r="D5" s="16" t="s">
        <v>841</v>
      </c>
      <c r="E5" s="16" t="s">
        <v>842</v>
      </c>
      <c r="F5" s="16" t="s">
        <v>843</v>
      </c>
      <c r="G5" s="16" t="s">
        <v>843</v>
      </c>
      <c r="H5" s="16" t="s">
        <v>844</v>
      </c>
      <c r="I5" s="16" t="s">
        <v>845</v>
      </c>
      <c r="J5" s="16" t="s">
        <v>846</v>
      </c>
      <c r="K5" s="16" t="s">
        <v>835</v>
      </c>
      <c r="L5" s="13">
        <v>21318.0</v>
      </c>
    </row>
    <row r="6" ht="12.75" customHeight="1">
      <c r="A6" s="17">
        <v>5.0</v>
      </c>
      <c r="B6" s="16" t="s">
        <v>840</v>
      </c>
      <c r="C6" s="16" t="s">
        <v>840</v>
      </c>
      <c r="D6" s="16" t="s">
        <v>823</v>
      </c>
      <c r="E6" s="16" t="s">
        <v>847</v>
      </c>
      <c r="F6" s="16" t="s">
        <v>848</v>
      </c>
      <c r="G6" s="16" t="s">
        <v>848</v>
      </c>
      <c r="H6" s="16" t="s">
        <v>849</v>
      </c>
      <c r="I6" s="16" t="s">
        <v>845</v>
      </c>
      <c r="J6" s="16" t="s">
        <v>846</v>
      </c>
      <c r="K6" s="16" t="s">
        <v>835</v>
      </c>
      <c r="L6" s="13">
        <v>333.0</v>
      </c>
    </row>
    <row r="7" ht="12.75" customHeight="1">
      <c r="A7" s="17">
        <v>6.0</v>
      </c>
      <c r="B7" s="16" t="s">
        <v>850</v>
      </c>
      <c r="C7" s="16" t="s">
        <v>850</v>
      </c>
      <c r="D7" s="16" t="s">
        <v>823</v>
      </c>
      <c r="E7" s="16" t="s">
        <v>851</v>
      </c>
      <c r="F7" s="16" t="s">
        <v>852</v>
      </c>
      <c r="G7" s="16" t="s">
        <v>852</v>
      </c>
      <c r="H7" s="16" t="s">
        <v>853</v>
      </c>
      <c r="I7" s="16" t="s">
        <v>854</v>
      </c>
      <c r="J7" s="16" t="s">
        <v>846</v>
      </c>
      <c r="K7" s="16" t="s">
        <v>835</v>
      </c>
      <c r="L7" s="13">
        <v>582.0</v>
      </c>
    </row>
    <row r="8" ht="12.75" customHeight="1">
      <c r="A8" s="17">
        <v>7.0</v>
      </c>
      <c r="B8" s="16" t="s">
        <v>855</v>
      </c>
      <c r="C8" s="16" t="s">
        <v>855</v>
      </c>
      <c r="D8" s="16" t="s">
        <v>823</v>
      </c>
      <c r="E8" s="16" t="s">
        <v>856</v>
      </c>
      <c r="F8" s="16" t="s">
        <v>857</v>
      </c>
      <c r="G8" s="16" t="s">
        <v>857</v>
      </c>
      <c r="H8" s="16" t="s">
        <v>858</v>
      </c>
      <c r="I8" s="16" t="s">
        <v>859</v>
      </c>
      <c r="J8" s="16" t="s">
        <v>846</v>
      </c>
      <c r="K8" s="16" t="s">
        <v>835</v>
      </c>
      <c r="L8" s="13">
        <v>7616.0</v>
      </c>
    </row>
    <row r="9" ht="12.75" customHeight="1">
      <c r="A9" s="17">
        <v>8.0</v>
      </c>
      <c r="B9" s="16" t="s">
        <v>860</v>
      </c>
      <c r="C9" s="16" t="s">
        <v>860</v>
      </c>
      <c r="D9" s="16" t="s">
        <v>823</v>
      </c>
      <c r="E9" s="16" t="s">
        <v>861</v>
      </c>
      <c r="F9" s="16" t="s">
        <v>862</v>
      </c>
      <c r="G9" s="16" t="s">
        <v>862</v>
      </c>
      <c r="H9" s="16" t="s">
        <v>863</v>
      </c>
      <c r="I9" s="16" t="s">
        <v>864</v>
      </c>
      <c r="J9" s="16" t="s">
        <v>865</v>
      </c>
      <c r="K9" s="16" t="s">
        <v>828</v>
      </c>
      <c r="L9" s="13">
        <v>628.0</v>
      </c>
    </row>
    <row r="10" ht="12.75" customHeight="1">
      <c r="A10" s="17">
        <v>9.0</v>
      </c>
      <c r="B10" s="16"/>
      <c r="C10" s="16"/>
      <c r="D10" s="16"/>
      <c r="E10" s="16"/>
      <c r="F10" s="16"/>
      <c r="G10" s="16" t="s">
        <v>866</v>
      </c>
      <c r="H10" s="16"/>
      <c r="I10" s="16"/>
      <c r="J10" s="16"/>
      <c r="K10" s="16"/>
      <c r="L10" s="13">
        <v>0.0</v>
      </c>
    </row>
    <row r="11" ht="12.75" customHeight="1">
      <c r="A11" s="17">
        <v>10.0</v>
      </c>
      <c r="B11" s="16" t="s">
        <v>850</v>
      </c>
      <c r="C11" s="16" t="s">
        <v>850</v>
      </c>
      <c r="D11" s="16" t="s">
        <v>823</v>
      </c>
      <c r="E11" s="16" t="s">
        <v>867</v>
      </c>
      <c r="F11" s="16" t="s">
        <v>866</v>
      </c>
      <c r="G11" s="16" t="s">
        <v>852</v>
      </c>
      <c r="H11" s="16" t="s">
        <v>868</v>
      </c>
      <c r="I11" s="16" t="s">
        <v>854</v>
      </c>
      <c r="J11" s="16" t="s">
        <v>846</v>
      </c>
      <c r="K11" s="16" t="s">
        <v>835</v>
      </c>
      <c r="L11" s="13">
        <v>692.0</v>
      </c>
    </row>
    <row r="12" ht="12.75" customHeight="1">
      <c r="A12" s="17">
        <v>11.0</v>
      </c>
      <c r="B12" s="16" t="s">
        <v>850</v>
      </c>
      <c r="C12" s="16" t="s">
        <v>850</v>
      </c>
      <c r="D12" s="16" t="s">
        <v>823</v>
      </c>
      <c r="E12" s="16" t="s">
        <v>851</v>
      </c>
      <c r="F12" s="16" t="s">
        <v>852</v>
      </c>
      <c r="G12" s="16" t="s">
        <v>869</v>
      </c>
      <c r="H12" s="16" t="s">
        <v>853</v>
      </c>
      <c r="I12" s="16" t="s">
        <v>854</v>
      </c>
      <c r="J12" s="16" t="s">
        <v>846</v>
      </c>
      <c r="K12" s="16" t="s">
        <v>835</v>
      </c>
      <c r="L12" s="13">
        <v>699.0</v>
      </c>
    </row>
    <row r="13" ht="12.75" customHeight="1">
      <c r="A13" s="17">
        <v>12.0</v>
      </c>
      <c r="B13" s="16" t="s">
        <v>870</v>
      </c>
      <c r="C13" s="16" t="s">
        <v>870</v>
      </c>
      <c r="D13" s="16" t="s">
        <v>823</v>
      </c>
      <c r="E13" s="16" t="s">
        <v>871</v>
      </c>
      <c r="F13" s="16" t="s">
        <v>869</v>
      </c>
      <c r="G13" s="16" t="s">
        <v>837</v>
      </c>
      <c r="H13" s="16" t="s">
        <v>872</v>
      </c>
      <c r="I13" s="16" t="s">
        <v>873</v>
      </c>
      <c r="J13" s="16" t="s">
        <v>874</v>
      </c>
      <c r="K13" s="16" t="s">
        <v>875</v>
      </c>
      <c r="L13" s="13">
        <v>706.0</v>
      </c>
    </row>
    <row r="14" ht="12.75" customHeight="1">
      <c r="A14" s="17">
        <v>13.0</v>
      </c>
      <c r="B14" s="16" t="s">
        <v>829</v>
      </c>
      <c r="C14" s="16" t="s">
        <v>829</v>
      </c>
      <c r="D14" s="16" t="s">
        <v>823</v>
      </c>
      <c r="E14" s="16" t="s">
        <v>876</v>
      </c>
      <c r="F14" s="16" t="s">
        <v>837</v>
      </c>
      <c r="G14" s="16" t="s">
        <v>877</v>
      </c>
      <c r="H14" s="16" t="s">
        <v>878</v>
      </c>
      <c r="I14" s="16" t="s">
        <v>839</v>
      </c>
      <c r="J14" s="16" t="s">
        <v>834</v>
      </c>
      <c r="K14" s="16" t="s">
        <v>835</v>
      </c>
      <c r="L14" s="13">
        <v>716.0</v>
      </c>
    </row>
    <row r="15" ht="12.75" customHeight="1">
      <c r="A15" s="17">
        <v>14.0</v>
      </c>
      <c r="B15" s="16" t="s">
        <v>840</v>
      </c>
      <c r="C15" s="16" t="s">
        <v>840</v>
      </c>
      <c r="D15" s="16" t="s">
        <v>823</v>
      </c>
      <c r="E15" s="16" t="s">
        <v>879</v>
      </c>
      <c r="F15" s="16" t="s">
        <v>877</v>
      </c>
      <c r="G15" s="16" t="s">
        <v>880</v>
      </c>
      <c r="H15" s="16" t="s">
        <v>881</v>
      </c>
      <c r="I15" s="16" t="s">
        <v>882</v>
      </c>
      <c r="J15" s="16" t="s">
        <v>883</v>
      </c>
      <c r="K15" s="16" t="s">
        <v>828</v>
      </c>
      <c r="L15" s="13">
        <v>865.0</v>
      </c>
    </row>
    <row r="16" ht="12.75" customHeight="1">
      <c r="A16" s="17">
        <v>15.0</v>
      </c>
      <c r="B16" s="16" t="s">
        <v>855</v>
      </c>
      <c r="C16" s="16" t="s">
        <v>855</v>
      </c>
      <c r="D16" s="16" t="s">
        <v>823</v>
      </c>
      <c r="E16" s="16" t="s">
        <v>884</v>
      </c>
      <c r="F16" s="16" t="s">
        <v>880</v>
      </c>
      <c r="G16" s="16" t="s">
        <v>852</v>
      </c>
      <c r="H16" s="16" t="s">
        <v>885</v>
      </c>
      <c r="I16" s="16" t="s">
        <v>886</v>
      </c>
      <c r="J16" s="16" t="s">
        <v>846</v>
      </c>
      <c r="K16" s="16" t="s">
        <v>828</v>
      </c>
      <c r="L16" s="13">
        <v>1113.0</v>
      </c>
    </row>
    <row r="17" ht="12.75" customHeight="1">
      <c r="A17" s="17">
        <v>16.0</v>
      </c>
      <c r="B17" s="16" t="s">
        <v>850</v>
      </c>
      <c r="C17" s="16" t="s">
        <v>850</v>
      </c>
      <c r="D17" s="16" t="s">
        <v>823</v>
      </c>
      <c r="E17" s="16" t="s">
        <v>887</v>
      </c>
      <c r="F17" s="16" t="s">
        <v>852</v>
      </c>
      <c r="G17" s="16" t="s">
        <v>837</v>
      </c>
      <c r="H17" s="16" t="s">
        <v>868</v>
      </c>
      <c r="I17" s="16" t="s">
        <v>854</v>
      </c>
      <c r="J17" s="16" t="s">
        <v>846</v>
      </c>
      <c r="K17" s="16" t="s">
        <v>888</v>
      </c>
      <c r="L17" s="13">
        <v>1452.0</v>
      </c>
    </row>
    <row r="18" ht="12.75" customHeight="1">
      <c r="A18" s="17">
        <v>17.0</v>
      </c>
      <c r="B18" s="16"/>
      <c r="C18" s="16"/>
      <c r="D18" s="16"/>
      <c r="E18" s="16"/>
      <c r="F18" s="16"/>
      <c r="G18" s="16" t="s">
        <v>852</v>
      </c>
      <c r="H18" s="16"/>
      <c r="I18" s="16"/>
      <c r="J18" s="16"/>
      <c r="K18" s="16"/>
      <c r="L18" s="13">
        <v>0.0</v>
      </c>
    </row>
    <row r="19" ht="12.75" customHeight="1">
      <c r="A19" s="17">
        <v>18.0</v>
      </c>
      <c r="B19" s="16" t="s">
        <v>829</v>
      </c>
      <c r="C19" s="16" t="s">
        <v>829</v>
      </c>
      <c r="D19" s="16" t="s">
        <v>823</v>
      </c>
      <c r="E19" s="16" t="s">
        <v>876</v>
      </c>
      <c r="F19" s="16" t="s">
        <v>837</v>
      </c>
      <c r="G19" s="16" t="s">
        <v>889</v>
      </c>
      <c r="H19" s="16" t="s">
        <v>878</v>
      </c>
      <c r="I19" s="16" t="s">
        <v>839</v>
      </c>
      <c r="J19" s="16" t="s">
        <v>834</v>
      </c>
      <c r="K19" s="16" t="s">
        <v>835</v>
      </c>
      <c r="L19" s="13">
        <v>1857.0</v>
      </c>
    </row>
    <row r="20" ht="12.75" customHeight="1">
      <c r="A20" s="17">
        <v>19.0</v>
      </c>
      <c r="B20" s="16" t="s">
        <v>850</v>
      </c>
      <c r="C20" s="16" t="s">
        <v>850</v>
      </c>
      <c r="D20" s="16" t="s">
        <v>823</v>
      </c>
      <c r="E20" s="16" t="s">
        <v>890</v>
      </c>
      <c r="F20" s="16" t="s">
        <v>852</v>
      </c>
      <c r="G20" s="16" t="s">
        <v>837</v>
      </c>
      <c r="H20" s="16" t="s">
        <v>891</v>
      </c>
      <c r="I20" s="16" t="s">
        <v>854</v>
      </c>
      <c r="J20" s="16" t="s">
        <v>846</v>
      </c>
      <c r="K20" s="16" t="s">
        <v>835</v>
      </c>
      <c r="L20" s="13">
        <v>1875.0</v>
      </c>
    </row>
    <row r="21" ht="12.75" customHeight="1">
      <c r="A21" s="17">
        <v>20.0</v>
      </c>
      <c r="B21" s="16" t="s">
        <v>822</v>
      </c>
      <c r="C21" s="16" t="s">
        <v>822</v>
      </c>
      <c r="D21" s="16" t="s">
        <v>823</v>
      </c>
      <c r="E21" s="16" t="s">
        <v>892</v>
      </c>
      <c r="F21" s="16" t="s">
        <v>889</v>
      </c>
      <c r="G21" s="16" t="s">
        <v>852</v>
      </c>
      <c r="H21" s="16" t="s">
        <v>893</v>
      </c>
      <c r="I21" s="16" t="s">
        <v>894</v>
      </c>
      <c r="J21" s="16" t="s">
        <v>883</v>
      </c>
      <c r="K21" s="16" t="s">
        <v>828</v>
      </c>
      <c r="L21" s="13">
        <v>2017.0</v>
      </c>
    </row>
    <row r="22" ht="12.75" customHeight="1">
      <c r="A22" s="17">
        <v>21.0</v>
      </c>
      <c r="B22" s="16"/>
      <c r="C22" s="16"/>
      <c r="D22" s="16"/>
      <c r="E22" s="16"/>
      <c r="F22" s="16"/>
      <c r="G22" s="16" t="s">
        <v>895</v>
      </c>
      <c r="H22" s="16"/>
      <c r="I22" s="16"/>
      <c r="J22" s="16"/>
      <c r="K22" s="16"/>
      <c r="L22" s="13">
        <v>0.0</v>
      </c>
    </row>
    <row r="23" ht="12.75" customHeight="1">
      <c r="A23" s="17">
        <v>22.0</v>
      </c>
      <c r="B23" s="16" t="s">
        <v>829</v>
      </c>
      <c r="C23" s="16" t="s">
        <v>829</v>
      </c>
      <c r="D23" s="16" t="s">
        <v>823</v>
      </c>
      <c r="E23" s="16" t="s">
        <v>836</v>
      </c>
      <c r="F23" s="16" t="s">
        <v>837</v>
      </c>
      <c r="G23" s="16" t="s">
        <v>852</v>
      </c>
      <c r="H23" s="16" t="s">
        <v>838</v>
      </c>
      <c r="I23" s="16" t="s">
        <v>839</v>
      </c>
      <c r="J23" s="16" t="s">
        <v>834</v>
      </c>
      <c r="K23" s="16" t="s">
        <v>835</v>
      </c>
      <c r="L23" s="13">
        <v>2191.0</v>
      </c>
    </row>
    <row r="24" ht="12.75" customHeight="1">
      <c r="A24" s="17">
        <v>23.0</v>
      </c>
      <c r="B24" s="16" t="s">
        <v>850</v>
      </c>
      <c r="C24" s="16" t="s">
        <v>850</v>
      </c>
      <c r="D24" s="16" t="s">
        <v>823</v>
      </c>
      <c r="E24" s="16" t="s">
        <v>896</v>
      </c>
      <c r="F24" s="16" t="s">
        <v>852</v>
      </c>
      <c r="G24" s="16" t="s">
        <v>897</v>
      </c>
      <c r="H24" s="16" t="s">
        <v>868</v>
      </c>
      <c r="I24" s="16" t="s">
        <v>854</v>
      </c>
      <c r="J24" s="16" t="s">
        <v>846</v>
      </c>
      <c r="K24" s="16" t="s">
        <v>835</v>
      </c>
      <c r="L24" s="13">
        <v>2695.0</v>
      </c>
    </row>
    <row r="25" ht="12.75" customHeight="1">
      <c r="A25" s="17">
        <v>24.0</v>
      </c>
      <c r="B25" s="16"/>
      <c r="C25" s="16"/>
      <c r="D25" s="16"/>
      <c r="E25" s="16"/>
      <c r="F25" s="16"/>
      <c r="G25" s="16" t="s">
        <v>898</v>
      </c>
      <c r="H25" s="16"/>
      <c r="I25" s="16"/>
      <c r="J25" s="16"/>
      <c r="K25" s="16"/>
      <c r="L25" s="13">
        <v>0.0</v>
      </c>
    </row>
    <row r="26" ht="12.75" customHeight="1">
      <c r="A26" s="17">
        <v>25.0</v>
      </c>
      <c r="B26" s="16"/>
      <c r="C26" s="16"/>
      <c r="D26" s="16"/>
      <c r="E26" s="16"/>
      <c r="F26" s="16"/>
      <c r="G26" s="16" t="s">
        <v>899</v>
      </c>
      <c r="H26" s="16"/>
      <c r="I26" s="16"/>
      <c r="J26" s="16"/>
      <c r="K26" s="16"/>
      <c r="L26" s="13">
        <v>0.0</v>
      </c>
    </row>
    <row r="27" ht="12.75" customHeight="1">
      <c r="A27" s="17">
        <v>26.0</v>
      </c>
      <c r="B27" s="16"/>
      <c r="C27" s="16"/>
      <c r="D27" s="16"/>
      <c r="E27" s="16"/>
      <c r="F27" s="16"/>
      <c r="G27" s="16" t="s">
        <v>900</v>
      </c>
      <c r="H27" s="16"/>
      <c r="I27" s="16"/>
      <c r="J27" s="16"/>
      <c r="K27" s="16"/>
      <c r="L27" s="13">
        <v>0.0</v>
      </c>
    </row>
    <row r="28" ht="12.75" customHeight="1">
      <c r="A28" s="17">
        <v>27.0</v>
      </c>
      <c r="B28" s="16" t="s">
        <v>840</v>
      </c>
      <c r="C28" s="16" t="s">
        <v>840</v>
      </c>
      <c r="D28" s="16" t="s">
        <v>823</v>
      </c>
      <c r="E28" s="16" t="s">
        <v>901</v>
      </c>
      <c r="F28" s="16" t="s">
        <v>895</v>
      </c>
      <c r="G28" s="16" t="s">
        <v>902</v>
      </c>
      <c r="H28" s="16" t="s">
        <v>849</v>
      </c>
      <c r="I28" s="16" t="s">
        <v>845</v>
      </c>
      <c r="J28" s="16" t="s">
        <v>846</v>
      </c>
      <c r="K28" s="16" t="s">
        <v>828</v>
      </c>
      <c r="L28" s="13">
        <v>3329.0</v>
      </c>
    </row>
    <row r="29" ht="12.75" customHeight="1">
      <c r="A29" s="17">
        <v>28.0</v>
      </c>
      <c r="B29" s="16" t="s">
        <v>850</v>
      </c>
      <c r="C29" s="16" t="s">
        <v>850</v>
      </c>
      <c r="D29" s="16" t="s">
        <v>823</v>
      </c>
      <c r="E29" s="16" t="s">
        <v>887</v>
      </c>
      <c r="F29" s="16" t="s">
        <v>852</v>
      </c>
      <c r="G29" s="16" t="s">
        <v>903</v>
      </c>
      <c r="H29" s="16" t="s">
        <v>868</v>
      </c>
      <c r="I29" s="16" t="s">
        <v>854</v>
      </c>
      <c r="J29" s="16" t="s">
        <v>846</v>
      </c>
      <c r="K29" s="16" t="s">
        <v>828</v>
      </c>
      <c r="L29" s="13">
        <v>3398.0</v>
      </c>
    </row>
    <row r="30" ht="12.75" customHeight="1">
      <c r="A30" s="17">
        <v>29.0</v>
      </c>
      <c r="B30" s="16" t="s">
        <v>860</v>
      </c>
      <c r="C30" s="16" t="s">
        <v>860</v>
      </c>
      <c r="D30" s="16" t="s">
        <v>823</v>
      </c>
      <c r="E30" s="16" t="s">
        <v>904</v>
      </c>
      <c r="F30" s="16" t="s">
        <v>897</v>
      </c>
      <c r="G30" s="16" t="s">
        <v>905</v>
      </c>
      <c r="H30" s="16" t="s">
        <v>906</v>
      </c>
      <c r="I30" s="16" t="s">
        <v>907</v>
      </c>
      <c r="J30" s="16" t="s">
        <v>865</v>
      </c>
      <c r="K30" s="16" t="s">
        <v>828</v>
      </c>
      <c r="L30" s="13">
        <v>3564.0</v>
      </c>
    </row>
    <row r="31" ht="12.75" customHeight="1">
      <c r="A31" s="17">
        <v>30.0</v>
      </c>
      <c r="B31" s="16" t="s">
        <v>860</v>
      </c>
      <c r="C31" s="16" t="s">
        <v>860</v>
      </c>
      <c r="D31" s="16" t="s">
        <v>823</v>
      </c>
      <c r="E31" s="16" t="s">
        <v>908</v>
      </c>
      <c r="F31" s="16" t="s">
        <v>898</v>
      </c>
      <c r="G31" s="16" t="s">
        <v>909</v>
      </c>
      <c r="H31" s="16" t="s">
        <v>910</v>
      </c>
      <c r="I31" s="16" t="s">
        <v>49</v>
      </c>
      <c r="J31" s="16" t="s">
        <v>48</v>
      </c>
      <c r="K31" s="16" t="s">
        <v>828</v>
      </c>
      <c r="L31" s="13">
        <v>3551.0</v>
      </c>
    </row>
    <row r="32" ht="12.75" customHeight="1">
      <c r="A32" s="17">
        <v>31.0</v>
      </c>
      <c r="B32" s="16" t="s">
        <v>855</v>
      </c>
      <c r="C32" s="16" t="s">
        <v>855</v>
      </c>
      <c r="D32" s="16" t="s">
        <v>823</v>
      </c>
      <c r="E32" s="16" t="s">
        <v>911</v>
      </c>
      <c r="F32" s="16" t="s">
        <v>899</v>
      </c>
      <c r="G32" s="16" t="s">
        <v>912</v>
      </c>
      <c r="H32" s="16" t="s">
        <v>913</v>
      </c>
      <c r="I32" s="16" t="s">
        <v>886</v>
      </c>
      <c r="J32" s="16" t="s">
        <v>846</v>
      </c>
      <c r="K32" s="16" t="s">
        <v>835</v>
      </c>
      <c r="L32" s="13">
        <v>3635.0</v>
      </c>
    </row>
    <row r="33" ht="12.75" customHeight="1">
      <c r="A33" s="17">
        <v>32.0</v>
      </c>
      <c r="B33" s="16" t="s">
        <v>914</v>
      </c>
      <c r="C33" s="16" t="s">
        <v>914</v>
      </c>
      <c r="D33" s="16" t="s">
        <v>823</v>
      </c>
      <c r="E33" s="16" t="s">
        <v>915</v>
      </c>
      <c r="F33" s="16" t="s">
        <v>900</v>
      </c>
      <c r="G33" s="16" t="s">
        <v>837</v>
      </c>
      <c r="H33" s="16" t="s">
        <v>916</v>
      </c>
      <c r="I33" s="16" t="s">
        <v>917</v>
      </c>
      <c r="J33" s="16" t="s">
        <v>918</v>
      </c>
      <c r="K33" s="16" t="s">
        <v>828</v>
      </c>
      <c r="L33" s="13">
        <v>3751.0</v>
      </c>
    </row>
    <row r="34" ht="12.75" customHeight="1">
      <c r="A34" s="17">
        <v>33.0</v>
      </c>
      <c r="B34" s="16" t="s">
        <v>860</v>
      </c>
      <c r="C34" s="16" t="s">
        <v>860</v>
      </c>
      <c r="D34" s="16" t="s">
        <v>823</v>
      </c>
      <c r="E34" s="16" t="s">
        <v>919</v>
      </c>
      <c r="F34" s="16" t="s">
        <v>902</v>
      </c>
      <c r="G34" s="16" t="s">
        <v>920</v>
      </c>
      <c r="H34" s="16" t="s">
        <v>921</v>
      </c>
      <c r="I34" s="16" t="s">
        <v>922</v>
      </c>
      <c r="J34" s="16" t="s">
        <v>923</v>
      </c>
      <c r="K34" s="16" t="s">
        <v>924</v>
      </c>
      <c r="L34" s="13">
        <v>3944.0</v>
      </c>
    </row>
    <row r="35" ht="12.75" customHeight="1">
      <c r="A35" s="17">
        <v>34.0</v>
      </c>
      <c r="B35" s="16" t="s">
        <v>829</v>
      </c>
      <c r="C35" s="16" t="s">
        <v>829</v>
      </c>
      <c r="D35" s="16" t="s">
        <v>823</v>
      </c>
      <c r="E35" s="16" t="s">
        <v>925</v>
      </c>
      <c r="F35" s="16" t="s">
        <v>903</v>
      </c>
      <c r="G35" s="16" t="s">
        <v>926</v>
      </c>
      <c r="H35" s="16" t="s">
        <v>927</v>
      </c>
      <c r="I35" s="16" t="s">
        <v>833</v>
      </c>
      <c r="J35" s="16" t="s">
        <v>834</v>
      </c>
      <c r="K35" s="16" t="s">
        <v>875</v>
      </c>
      <c r="L35" s="13">
        <v>4151.0</v>
      </c>
    </row>
    <row r="36" ht="12.75" customHeight="1">
      <c r="A36" s="17">
        <v>35.0</v>
      </c>
      <c r="B36" s="16"/>
      <c r="C36" s="16"/>
      <c r="D36" s="16"/>
      <c r="E36" s="16"/>
      <c r="F36" s="16"/>
      <c r="G36" s="16" t="s">
        <v>928</v>
      </c>
      <c r="H36" s="16"/>
      <c r="I36" s="16"/>
      <c r="J36" s="16"/>
      <c r="K36" s="16"/>
      <c r="L36" s="13">
        <v>0.0</v>
      </c>
    </row>
    <row r="37" ht="12.75" customHeight="1">
      <c r="A37" s="17">
        <v>36.0</v>
      </c>
      <c r="B37" s="16" t="s">
        <v>48</v>
      </c>
      <c r="C37" s="16" t="s">
        <v>48</v>
      </c>
      <c r="D37" s="16" t="s">
        <v>823</v>
      </c>
      <c r="E37" s="16" t="s">
        <v>929</v>
      </c>
      <c r="F37" s="16" t="s">
        <v>905</v>
      </c>
      <c r="G37" s="16" t="s">
        <v>930</v>
      </c>
      <c r="H37" s="16" t="s">
        <v>931</v>
      </c>
      <c r="I37" s="16" t="s">
        <v>49</v>
      </c>
      <c r="J37" s="16" t="s">
        <v>48</v>
      </c>
      <c r="K37" s="16" t="s">
        <v>835</v>
      </c>
      <c r="L37" s="13">
        <v>4826.0</v>
      </c>
    </row>
    <row r="38" ht="12.75" customHeight="1">
      <c r="A38" s="17">
        <v>37.0</v>
      </c>
      <c r="B38" s="16" t="s">
        <v>932</v>
      </c>
      <c r="C38" s="16" t="s">
        <v>932</v>
      </c>
      <c r="D38" s="16" t="s">
        <v>823</v>
      </c>
      <c r="E38" s="16" t="s">
        <v>933</v>
      </c>
      <c r="F38" s="16" t="s">
        <v>909</v>
      </c>
      <c r="G38" s="16" t="s">
        <v>934</v>
      </c>
      <c r="H38" s="16" t="s">
        <v>935</v>
      </c>
      <c r="I38" s="16" t="s">
        <v>936</v>
      </c>
      <c r="J38" s="16" t="s">
        <v>937</v>
      </c>
      <c r="K38" s="16" t="s">
        <v>888</v>
      </c>
      <c r="L38" s="13">
        <v>5052.0</v>
      </c>
    </row>
    <row r="39" ht="12.75" customHeight="1">
      <c r="A39" s="17">
        <v>38.0</v>
      </c>
      <c r="B39" s="16" t="s">
        <v>48</v>
      </c>
      <c r="C39" s="16" t="s">
        <v>48</v>
      </c>
      <c r="D39" s="16" t="s">
        <v>823</v>
      </c>
      <c r="E39" s="16" t="s">
        <v>938</v>
      </c>
      <c r="F39" s="16" t="s">
        <v>912</v>
      </c>
      <c r="G39" s="16" t="s">
        <v>928</v>
      </c>
      <c r="H39" s="16" t="s">
        <v>827</v>
      </c>
      <c r="I39" s="16" t="s">
        <v>49</v>
      </c>
      <c r="J39" s="16" t="s">
        <v>48</v>
      </c>
      <c r="K39" s="16" t="s">
        <v>828</v>
      </c>
      <c r="L39" s="13">
        <v>73894.0</v>
      </c>
    </row>
    <row r="40" ht="12.75" customHeight="1">
      <c r="A40" s="17">
        <v>39.0</v>
      </c>
      <c r="B40" s="16" t="s">
        <v>829</v>
      </c>
      <c r="C40" s="16" t="s">
        <v>829</v>
      </c>
      <c r="D40" s="16" t="s">
        <v>823</v>
      </c>
      <c r="E40" s="16" t="s">
        <v>836</v>
      </c>
      <c r="F40" s="16" t="s">
        <v>837</v>
      </c>
      <c r="G40" s="16" t="s">
        <v>837</v>
      </c>
      <c r="H40" s="16" t="s">
        <v>838</v>
      </c>
      <c r="I40" s="16" t="s">
        <v>839</v>
      </c>
      <c r="J40" s="16" t="s">
        <v>834</v>
      </c>
      <c r="K40" s="16" t="s">
        <v>835</v>
      </c>
      <c r="L40" s="13">
        <v>5377.0</v>
      </c>
    </row>
    <row r="41" ht="12.75" customHeight="1">
      <c r="A41" s="17">
        <v>40.0</v>
      </c>
      <c r="B41" s="16"/>
      <c r="C41" s="16"/>
      <c r="D41" s="16"/>
      <c r="E41" s="16"/>
      <c r="F41" s="16"/>
      <c r="G41" s="16" t="s">
        <v>852</v>
      </c>
      <c r="H41" s="16"/>
      <c r="I41" s="16"/>
      <c r="J41" s="16"/>
      <c r="K41" s="16"/>
      <c r="L41" s="13">
        <v>0.0</v>
      </c>
    </row>
    <row r="42" ht="12.75" customHeight="1">
      <c r="A42" s="17">
        <v>41.0</v>
      </c>
      <c r="B42" s="16" t="s">
        <v>932</v>
      </c>
      <c r="C42" s="16" t="s">
        <v>932</v>
      </c>
      <c r="D42" s="16" t="s">
        <v>823</v>
      </c>
      <c r="E42" s="16" t="s">
        <v>939</v>
      </c>
      <c r="F42" s="16" t="s">
        <v>920</v>
      </c>
      <c r="G42" s="16" t="s">
        <v>940</v>
      </c>
      <c r="H42" s="16" t="s">
        <v>941</v>
      </c>
      <c r="I42" s="16" t="s">
        <v>942</v>
      </c>
      <c r="J42" s="16" t="s">
        <v>937</v>
      </c>
      <c r="K42" s="16" t="s">
        <v>828</v>
      </c>
      <c r="L42" s="13">
        <v>6113.0</v>
      </c>
    </row>
    <row r="43" ht="12.75" customHeight="1">
      <c r="A43" s="17">
        <v>42.0</v>
      </c>
      <c r="B43" s="16"/>
      <c r="C43" s="16"/>
      <c r="D43" s="16"/>
      <c r="E43" s="16"/>
      <c r="F43" s="16"/>
      <c r="G43" s="16" t="s">
        <v>943</v>
      </c>
      <c r="H43" s="16"/>
      <c r="I43" s="16"/>
      <c r="J43" s="16"/>
      <c r="K43" s="16"/>
      <c r="L43" s="13">
        <v>0.0</v>
      </c>
    </row>
    <row r="44" ht="12.75" customHeight="1">
      <c r="A44" s="17">
        <v>43.0</v>
      </c>
      <c r="B44" s="16"/>
      <c r="C44" s="16"/>
      <c r="D44" s="16"/>
      <c r="E44" s="16"/>
      <c r="F44" s="16"/>
      <c r="G44" s="16" t="s">
        <v>944</v>
      </c>
      <c r="H44" s="16"/>
      <c r="I44" s="16"/>
      <c r="J44" s="16"/>
      <c r="K44" s="16"/>
      <c r="L44" s="13">
        <v>0.0</v>
      </c>
    </row>
    <row r="45" ht="12.75" customHeight="1">
      <c r="A45" s="17">
        <v>44.0</v>
      </c>
      <c r="B45" s="16" t="s">
        <v>822</v>
      </c>
      <c r="C45" s="16" t="s">
        <v>822</v>
      </c>
      <c r="D45" s="16" t="s">
        <v>823</v>
      </c>
      <c r="E45" s="16" t="s">
        <v>945</v>
      </c>
      <c r="F45" s="16" t="s">
        <v>926</v>
      </c>
      <c r="G45" s="16" t="s">
        <v>946</v>
      </c>
      <c r="H45" s="16" t="s">
        <v>947</v>
      </c>
      <c r="I45" s="16" t="s">
        <v>948</v>
      </c>
      <c r="J45" s="16" t="s">
        <v>949</v>
      </c>
      <c r="K45" s="16" t="s">
        <v>828</v>
      </c>
      <c r="L45" s="13">
        <v>6287.0</v>
      </c>
    </row>
    <row r="46" ht="12.75" customHeight="1">
      <c r="A46" s="17">
        <v>45.0</v>
      </c>
      <c r="B46" s="16" t="s">
        <v>950</v>
      </c>
      <c r="C46" s="16" t="s">
        <v>950</v>
      </c>
      <c r="D46" s="16" t="s">
        <v>823</v>
      </c>
      <c r="E46" s="16" t="s">
        <v>951</v>
      </c>
      <c r="F46" s="16" t="s">
        <v>928</v>
      </c>
      <c r="G46" s="16" t="s">
        <v>952</v>
      </c>
      <c r="H46" s="16" t="s">
        <v>953</v>
      </c>
      <c r="I46" s="16" t="s">
        <v>894</v>
      </c>
      <c r="J46" s="16" t="s">
        <v>883</v>
      </c>
      <c r="K46" s="16" t="s">
        <v>828</v>
      </c>
      <c r="L46" s="13">
        <v>6595.0</v>
      </c>
    </row>
    <row r="47" ht="12.75" customHeight="1">
      <c r="A47" s="17">
        <v>46.0</v>
      </c>
      <c r="B47" s="16" t="s">
        <v>822</v>
      </c>
      <c r="C47" s="16" t="s">
        <v>822</v>
      </c>
      <c r="D47" s="16" t="s">
        <v>823</v>
      </c>
      <c r="E47" s="16" t="s">
        <v>954</v>
      </c>
      <c r="F47" s="16" t="s">
        <v>930</v>
      </c>
      <c r="G47" s="16" t="s">
        <v>852</v>
      </c>
      <c r="H47" s="16" t="s">
        <v>955</v>
      </c>
      <c r="I47" s="16" t="s">
        <v>882</v>
      </c>
      <c r="J47" s="16" t="s">
        <v>883</v>
      </c>
      <c r="K47" s="16" t="s">
        <v>828</v>
      </c>
      <c r="L47" s="13">
        <v>7147.0</v>
      </c>
    </row>
    <row r="48" ht="12.75" customHeight="1">
      <c r="A48" s="17">
        <v>47.0</v>
      </c>
      <c r="B48" s="16" t="s">
        <v>822</v>
      </c>
      <c r="C48" s="16" t="s">
        <v>822</v>
      </c>
      <c r="D48" s="16" t="s">
        <v>823</v>
      </c>
      <c r="E48" s="16" t="s">
        <v>956</v>
      </c>
      <c r="F48" s="16" t="s">
        <v>934</v>
      </c>
      <c r="G48" s="16" t="s">
        <v>897</v>
      </c>
      <c r="H48" s="16" t="s">
        <v>957</v>
      </c>
      <c r="I48" s="16" t="s">
        <v>958</v>
      </c>
      <c r="J48" s="16" t="s">
        <v>883</v>
      </c>
      <c r="K48" s="16" t="s">
        <v>888</v>
      </c>
      <c r="L48" s="13">
        <v>7166.0</v>
      </c>
    </row>
    <row r="49" ht="12.75" customHeight="1">
      <c r="A49" s="17">
        <v>48.0</v>
      </c>
      <c r="B49" s="16" t="s">
        <v>950</v>
      </c>
      <c r="C49" s="16" t="s">
        <v>950</v>
      </c>
      <c r="D49" s="16" t="s">
        <v>823</v>
      </c>
      <c r="E49" s="16" t="s">
        <v>951</v>
      </c>
      <c r="F49" s="16" t="s">
        <v>928</v>
      </c>
      <c r="G49" s="16" t="s">
        <v>959</v>
      </c>
      <c r="H49" s="16" t="s">
        <v>953</v>
      </c>
      <c r="I49" s="16" t="s">
        <v>894</v>
      </c>
      <c r="J49" s="16" t="s">
        <v>883</v>
      </c>
      <c r="K49" s="16" t="s">
        <v>828</v>
      </c>
      <c r="L49" s="13">
        <v>7164.0</v>
      </c>
    </row>
    <row r="50" ht="12.75" customHeight="1">
      <c r="A50" s="17">
        <v>49.0</v>
      </c>
      <c r="B50" s="16" t="s">
        <v>829</v>
      </c>
      <c r="C50" s="16" t="s">
        <v>829</v>
      </c>
      <c r="D50" s="16" t="s">
        <v>823</v>
      </c>
      <c r="E50" s="16" t="s">
        <v>876</v>
      </c>
      <c r="F50" s="16" t="s">
        <v>837</v>
      </c>
      <c r="G50" s="16" t="s">
        <v>940</v>
      </c>
      <c r="H50" s="16" t="s">
        <v>878</v>
      </c>
      <c r="I50" s="16" t="s">
        <v>839</v>
      </c>
      <c r="J50" s="16" t="s">
        <v>834</v>
      </c>
      <c r="K50" s="16" t="s">
        <v>835</v>
      </c>
      <c r="L50" s="13">
        <v>7345.0</v>
      </c>
    </row>
    <row r="51" ht="12.75" customHeight="1">
      <c r="A51" s="17">
        <v>50.0</v>
      </c>
      <c r="B51" s="16" t="s">
        <v>850</v>
      </c>
      <c r="C51" s="16" t="s">
        <v>850</v>
      </c>
      <c r="D51" s="16" t="s">
        <v>823</v>
      </c>
      <c r="E51" s="16" t="s">
        <v>887</v>
      </c>
      <c r="F51" s="16" t="s">
        <v>852</v>
      </c>
      <c r="G51" s="16" t="s">
        <v>960</v>
      </c>
      <c r="H51" s="16" t="s">
        <v>868</v>
      </c>
      <c r="I51" s="16" t="s">
        <v>854</v>
      </c>
      <c r="J51" s="16" t="s">
        <v>846</v>
      </c>
      <c r="K51" s="16" t="s">
        <v>828</v>
      </c>
      <c r="L51" s="13">
        <v>7599.0</v>
      </c>
    </row>
    <row r="52" ht="12.75" customHeight="1">
      <c r="A52" s="17">
        <v>51.0</v>
      </c>
      <c r="B52" s="16" t="s">
        <v>950</v>
      </c>
      <c r="C52" s="16" t="s">
        <v>950</v>
      </c>
      <c r="D52" s="16" t="s">
        <v>823</v>
      </c>
      <c r="E52" s="16" t="s">
        <v>961</v>
      </c>
      <c r="F52" s="16" t="s">
        <v>940</v>
      </c>
      <c r="G52" s="16" t="s">
        <v>962</v>
      </c>
      <c r="H52" s="16" t="s">
        <v>963</v>
      </c>
      <c r="I52" s="16" t="s">
        <v>964</v>
      </c>
      <c r="J52" s="16" t="s">
        <v>923</v>
      </c>
      <c r="K52" s="16" t="s">
        <v>828</v>
      </c>
      <c r="L52" s="13">
        <v>8526.0</v>
      </c>
    </row>
    <row r="53" ht="12.75" customHeight="1">
      <c r="A53" s="17">
        <v>52.0</v>
      </c>
      <c r="B53" s="16" t="s">
        <v>822</v>
      </c>
      <c r="C53" s="16" t="s">
        <v>822</v>
      </c>
      <c r="D53" s="16" t="s">
        <v>823</v>
      </c>
      <c r="E53" s="16" t="s">
        <v>965</v>
      </c>
      <c r="F53" s="16" t="s">
        <v>943</v>
      </c>
      <c r="G53" s="16" t="s">
        <v>966</v>
      </c>
      <c r="H53" s="16" t="s">
        <v>955</v>
      </c>
      <c r="I53" s="16" t="s">
        <v>882</v>
      </c>
      <c r="J53" s="16" t="s">
        <v>883</v>
      </c>
      <c r="K53" s="16" t="s">
        <v>828</v>
      </c>
      <c r="L53" s="13">
        <v>8553.0</v>
      </c>
    </row>
    <row r="54" ht="12.75" customHeight="1">
      <c r="A54" s="17">
        <v>53.0</v>
      </c>
      <c r="B54" s="16" t="s">
        <v>840</v>
      </c>
      <c r="C54" s="16" t="s">
        <v>840</v>
      </c>
      <c r="D54" s="16" t="s">
        <v>823</v>
      </c>
      <c r="E54" s="16" t="s">
        <v>967</v>
      </c>
      <c r="F54" s="16" t="s">
        <v>944</v>
      </c>
      <c r="G54" s="16" t="s">
        <v>837</v>
      </c>
      <c r="H54" s="16" t="s">
        <v>844</v>
      </c>
      <c r="I54" s="16" t="s">
        <v>845</v>
      </c>
      <c r="J54" s="16" t="s">
        <v>846</v>
      </c>
      <c r="K54" s="16" t="s">
        <v>835</v>
      </c>
      <c r="L54" s="13">
        <v>9284.0</v>
      </c>
    </row>
    <row r="55" ht="12.75" customHeight="1">
      <c r="A55" s="17">
        <v>54.0</v>
      </c>
      <c r="B55" s="16" t="s">
        <v>840</v>
      </c>
      <c r="C55" s="16" t="s">
        <v>840</v>
      </c>
      <c r="D55" s="16" t="s">
        <v>823</v>
      </c>
      <c r="E55" s="16" t="s">
        <v>968</v>
      </c>
      <c r="F55" s="16" t="s">
        <v>946</v>
      </c>
      <c r="G55" s="16" t="s">
        <v>852</v>
      </c>
      <c r="H55" s="16" t="s">
        <v>969</v>
      </c>
      <c r="I55" s="16" t="s">
        <v>882</v>
      </c>
      <c r="J55" s="16" t="s">
        <v>883</v>
      </c>
      <c r="K55" s="16" t="s">
        <v>835</v>
      </c>
      <c r="L55" s="13">
        <v>9298.0</v>
      </c>
    </row>
    <row r="56" ht="12.75" customHeight="1">
      <c r="A56" s="17">
        <v>55.0</v>
      </c>
      <c r="B56" s="16" t="s">
        <v>829</v>
      </c>
      <c r="C56" s="16" t="s">
        <v>829</v>
      </c>
      <c r="D56" s="16" t="s">
        <v>823</v>
      </c>
      <c r="E56" s="16" t="s">
        <v>970</v>
      </c>
      <c r="F56" s="16" t="s">
        <v>952</v>
      </c>
      <c r="G56" s="16" t="s">
        <v>848</v>
      </c>
      <c r="H56" s="16" t="s">
        <v>838</v>
      </c>
      <c r="I56" s="16" t="s">
        <v>839</v>
      </c>
      <c r="J56" s="16" t="s">
        <v>834</v>
      </c>
      <c r="K56" s="16" t="s">
        <v>828</v>
      </c>
      <c r="L56" s="13">
        <v>9829.0</v>
      </c>
    </row>
    <row r="57" ht="12.75" customHeight="1">
      <c r="A57" s="17">
        <v>56.0</v>
      </c>
      <c r="B57" s="16" t="s">
        <v>850</v>
      </c>
      <c r="C57" s="16" t="s">
        <v>850</v>
      </c>
      <c r="D57" s="16" t="s">
        <v>823</v>
      </c>
      <c r="E57" s="16" t="s">
        <v>887</v>
      </c>
      <c r="F57" s="16" t="s">
        <v>852</v>
      </c>
      <c r="G57" s="16" t="s">
        <v>897</v>
      </c>
      <c r="H57" s="16" t="s">
        <v>868</v>
      </c>
      <c r="I57" s="16" t="s">
        <v>854</v>
      </c>
      <c r="J57" s="16" t="s">
        <v>846</v>
      </c>
      <c r="K57" s="16" t="s">
        <v>828</v>
      </c>
      <c r="L57" s="13">
        <v>9871.0</v>
      </c>
    </row>
    <row r="58" ht="12.75" customHeight="1">
      <c r="A58" s="17">
        <v>57.0</v>
      </c>
      <c r="B58" s="16"/>
      <c r="C58" s="16"/>
      <c r="D58" s="16"/>
      <c r="E58" s="16"/>
      <c r="F58" s="16"/>
      <c r="G58" s="16" t="s">
        <v>852</v>
      </c>
      <c r="H58" s="16"/>
      <c r="I58" s="16"/>
      <c r="J58" s="16"/>
      <c r="K58" s="16"/>
      <c r="L58" s="13">
        <v>0.0</v>
      </c>
    </row>
    <row r="59" ht="12.75" customHeight="1">
      <c r="A59" s="17">
        <v>58.0</v>
      </c>
      <c r="B59" s="16" t="s">
        <v>860</v>
      </c>
      <c r="C59" s="16" t="s">
        <v>860</v>
      </c>
      <c r="D59" s="16" t="s">
        <v>823</v>
      </c>
      <c r="E59" s="16" t="s">
        <v>971</v>
      </c>
      <c r="F59" s="16" t="s">
        <v>897</v>
      </c>
      <c r="G59" s="16" t="s">
        <v>972</v>
      </c>
      <c r="H59" s="16" t="s">
        <v>973</v>
      </c>
      <c r="I59" s="16" t="s">
        <v>907</v>
      </c>
      <c r="J59" s="16" t="s">
        <v>865</v>
      </c>
      <c r="K59" s="16" t="s">
        <v>924</v>
      </c>
      <c r="L59" s="13">
        <v>58857.0</v>
      </c>
    </row>
    <row r="60" ht="12.75" customHeight="1">
      <c r="A60" s="17">
        <v>59.0</v>
      </c>
      <c r="B60" s="16" t="s">
        <v>822</v>
      </c>
      <c r="C60" s="16" t="s">
        <v>822</v>
      </c>
      <c r="D60" s="16" t="s">
        <v>823</v>
      </c>
      <c r="E60" s="16" t="s">
        <v>974</v>
      </c>
      <c r="F60" s="16" t="s">
        <v>959</v>
      </c>
      <c r="G60" s="16" t="s">
        <v>975</v>
      </c>
      <c r="H60" s="16" t="s">
        <v>955</v>
      </c>
      <c r="I60" s="16" t="s">
        <v>882</v>
      </c>
      <c r="J60" s="16" t="s">
        <v>883</v>
      </c>
      <c r="K60" s="16" t="s">
        <v>828</v>
      </c>
      <c r="L60" s="13" t="s">
        <v>976</v>
      </c>
    </row>
    <row r="61" ht="12.75" customHeight="1">
      <c r="A61" s="17">
        <v>60.0</v>
      </c>
      <c r="B61" s="16" t="s">
        <v>950</v>
      </c>
      <c r="C61" s="16" t="s">
        <v>950</v>
      </c>
      <c r="D61" s="16" t="s">
        <v>823</v>
      </c>
      <c r="E61" s="16" t="s">
        <v>961</v>
      </c>
      <c r="F61" s="16" t="s">
        <v>940</v>
      </c>
      <c r="G61" s="16" t="s">
        <v>977</v>
      </c>
      <c r="H61" s="16" t="s">
        <v>963</v>
      </c>
      <c r="I61" s="16" t="s">
        <v>964</v>
      </c>
      <c r="J61" s="16" t="s">
        <v>923</v>
      </c>
      <c r="K61" s="16" t="s">
        <v>828</v>
      </c>
      <c r="L61" s="13">
        <v>11017.0</v>
      </c>
    </row>
    <row r="62" ht="12.75" customHeight="1">
      <c r="A62" s="17">
        <v>61.0</v>
      </c>
      <c r="B62" s="16" t="s">
        <v>850</v>
      </c>
      <c r="C62" s="16" t="s">
        <v>850</v>
      </c>
      <c r="D62" s="16" t="s">
        <v>823</v>
      </c>
      <c r="E62" s="16" t="s">
        <v>978</v>
      </c>
      <c r="F62" s="16" t="s">
        <v>960</v>
      </c>
      <c r="G62" s="16" t="s">
        <v>979</v>
      </c>
      <c r="H62" s="16" t="s">
        <v>980</v>
      </c>
      <c r="I62" s="16" t="s">
        <v>981</v>
      </c>
      <c r="J62" s="16" t="s">
        <v>846</v>
      </c>
      <c r="K62" s="16" t="s">
        <v>835</v>
      </c>
      <c r="L62" s="13">
        <v>11421.0</v>
      </c>
    </row>
    <row r="63" ht="12.75" customHeight="1">
      <c r="A63" s="17">
        <v>62.0</v>
      </c>
      <c r="B63" s="16" t="s">
        <v>950</v>
      </c>
      <c r="C63" s="16" t="s">
        <v>950</v>
      </c>
      <c r="D63" s="16" t="s">
        <v>823</v>
      </c>
      <c r="E63" s="16" t="s">
        <v>982</v>
      </c>
      <c r="F63" s="16" t="s">
        <v>962</v>
      </c>
      <c r="G63" s="16" t="s">
        <v>866</v>
      </c>
      <c r="H63" s="16" t="s">
        <v>983</v>
      </c>
      <c r="I63" s="16" t="s">
        <v>984</v>
      </c>
      <c r="J63" s="16" t="s">
        <v>985</v>
      </c>
      <c r="K63" s="16" t="s">
        <v>924</v>
      </c>
      <c r="L63" s="13">
        <v>11581.0</v>
      </c>
    </row>
    <row r="64" ht="12.75" customHeight="1">
      <c r="A64" s="17">
        <v>63.0</v>
      </c>
      <c r="B64" s="16" t="s">
        <v>829</v>
      </c>
      <c r="C64" s="16" t="s">
        <v>829</v>
      </c>
      <c r="D64" s="16" t="s">
        <v>841</v>
      </c>
      <c r="E64" s="16" t="s">
        <v>986</v>
      </c>
      <c r="F64" s="16" t="s">
        <v>966</v>
      </c>
      <c r="G64" s="16" t="s">
        <v>897</v>
      </c>
      <c r="H64" s="16" t="s">
        <v>832</v>
      </c>
      <c r="I64" s="16" t="s">
        <v>833</v>
      </c>
      <c r="J64" s="16" t="s">
        <v>834</v>
      </c>
      <c r="K64" s="16" t="s">
        <v>835</v>
      </c>
      <c r="L64" s="13">
        <v>11651.0</v>
      </c>
    </row>
    <row r="65" ht="12.75" customHeight="1">
      <c r="A65" s="17">
        <v>64.0</v>
      </c>
      <c r="B65" s="16" t="s">
        <v>829</v>
      </c>
      <c r="C65" s="16" t="s">
        <v>829</v>
      </c>
      <c r="D65" s="16" t="s">
        <v>823</v>
      </c>
      <c r="E65" s="16" t="s">
        <v>836</v>
      </c>
      <c r="F65" s="16" t="s">
        <v>837</v>
      </c>
      <c r="G65" s="16" t="s">
        <v>837</v>
      </c>
      <c r="H65" s="16" t="s">
        <v>838</v>
      </c>
      <c r="I65" s="16" t="s">
        <v>839</v>
      </c>
      <c r="J65" s="16" t="s">
        <v>834</v>
      </c>
      <c r="K65" s="16" t="s">
        <v>835</v>
      </c>
      <c r="L65" s="13">
        <v>11765.0</v>
      </c>
    </row>
    <row r="66" ht="12.75" customHeight="1">
      <c r="A66" s="17">
        <v>65.0</v>
      </c>
      <c r="B66" s="16" t="s">
        <v>850</v>
      </c>
      <c r="C66" s="16" t="s">
        <v>850</v>
      </c>
      <c r="D66" s="16" t="s">
        <v>823</v>
      </c>
      <c r="E66" s="16" t="s">
        <v>851</v>
      </c>
      <c r="F66" s="16" t="s">
        <v>852</v>
      </c>
      <c r="G66" s="16" t="s">
        <v>987</v>
      </c>
      <c r="H66" s="16" t="s">
        <v>853</v>
      </c>
      <c r="I66" s="16" t="s">
        <v>854</v>
      </c>
      <c r="J66" s="16" t="s">
        <v>846</v>
      </c>
      <c r="K66" s="16" t="s">
        <v>835</v>
      </c>
      <c r="L66" s="13">
        <v>11796.0</v>
      </c>
    </row>
    <row r="67" ht="12.75" customHeight="1">
      <c r="A67" s="17">
        <v>66.0</v>
      </c>
      <c r="B67" s="16" t="s">
        <v>840</v>
      </c>
      <c r="C67" s="16" t="s">
        <v>840</v>
      </c>
      <c r="D67" s="16" t="s">
        <v>823</v>
      </c>
      <c r="E67" s="16" t="s">
        <v>847</v>
      </c>
      <c r="F67" s="16" t="s">
        <v>848</v>
      </c>
      <c r="G67" s="16" t="s">
        <v>988</v>
      </c>
      <c r="H67" s="16" t="s">
        <v>849</v>
      </c>
      <c r="I67" s="16" t="s">
        <v>845</v>
      </c>
      <c r="J67" s="16" t="s">
        <v>846</v>
      </c>
      <c r="K67" s="16" t="s">
        <v>835</v>
      </c>
      <c r="L67" s="13">
        <v>11930.0</v>
      </c>
    </row>
    <row r="68" ht="12.75" customHeight="1">
      <c r="A68" s="17">
        <v>67.0</v>
      </c>
      <c r="B68" s="16" t="s">
        <v>860</v>
      </c>
      <c r="C68" s="16" t="s">
        <v>860</v>
      </c>
      <c r="D68" s="16" t="s">
        <v>823</v>
      </c>
      <c r="E68" s="16" t="s">
        <v>989</v>
      </c>
      <c r="F68" s="16" t="s">
        <v>897</v>
      </c>
      <c r="G68" s="16" t="s">
        <v>990</v>
      </c>
      <c r="H68" s="16" t="s">
        <v>973</v>
      </c>
      <c r="I68" s="16" t="s">
        <v>907</v>
      </c>
      <c r="J68" s="16" t="s">
        <v>865</v>
      </c>
      <c r="K68" s="16" t="s">
        <v>991</v>
      </c>
      <c r="L68" s="13">
        <v>42037.0</v>
      </c>
    </row>
    <row r="69" ht="12.75" customHeight="1">
      <c r="A69" s="17">
        <v>68.0</v>
      </c>
      <c r="B69" s="16" t="s">
        <v>850</v>
      </c>
      <c r="C69" s="16" t="s">
        <v>850</v>
      </c>
      <c r="D69" s="16" t="s">
        <v>823</v>
      </c>
      <c r="E69" s="16" t="s">
        <v>887</v>
      </c>
      <c r="F69" s="16" t="s">
        <v>852</v>
      </c>
      <c r="G69" s="16" t="s">
        <v>843</v>
      </c>
      <c r="H69" s="16" t="s">
        <v>868</v>
      </c>
      <c r="I69" s="16" t="s">
        <v>854</v>
      </c>
      <c r="J69" s="16" t="s">
        <v>846</v>
      </c>
      <c r="K69" s="16" t="s">
        <v>828</v>
      </c>
      <c r="L69" s="13">
        <v>12406.0</v>
      </c>
    </row>
    <row r="70" ht="12.75" customHeight="1">
      <c r="A70" s="17">
        <v>69.0</v>
      </c>
      <c r="B70" s="16"/>
      <c r="C70" s="16"/>
      <c r="D70" s="16"/>
      <c r="E70" s="16"/>
      <c r="F70" s="16"/>
      <c r="G70" s="16" t="s">
        <v>852</v>
      </c>
      <c r="H70" s="16"/>
      <c r="I70" s="16"/>
      <c r="J70" s="16"/>
      <c r="K70" s="16"/>
      <c r="L70" s="13">
        <v>0.0</v>
      </c>
    </row>
    <row r="71" ht="12.75" customHeight="1">
      <c r="A71" s="17">
        <v>70.0</v>
      </c>
      <c r="B71" s="16"/>
      <c r="C71" s="16"/>
      <c r="D71" s="16"/>
      <c r="E71" s="16"/>
      <c r="F71" s="16"/>
      <c r="G71" s="16" t="s">
        <v>992</v>
      </c>
      <c r="H71" s="16"/>
      <c r="I71" s="16"/>
      <c r="J71" s="16"/>
      <c r="K71" s="16"/>
      <c r="L71" s="13">
        <v>0.0</v>
      </c>
    </row>
    <row r="72" ht="12.75" customHeight="1">
      <c r="A72" s="17">
        <v>71.0</v>
      </c>
      <c r="B72" s="16" t="s">
        <v>950</v>
      </c>
      <c r="C72" s="16" t="s">
        <v>950</v>
      </c>
      <c r="D72" s="16" t="s">
        <v>823</v>
      </c>
      <c r="E72" s="16" t="s">
        <v>993</v>
      </c>
      <c r="F72" s="16" t="s">
        <v>972</v>
      </c>
      <c r="G72" s="16" t="s">
        <v>994</v>
      </c>
      <c r="H72" s="16" t="s">
        <v>995</v>
      </c>
      <c r="I72" s="16" t="s">
        <v>996</v>
      </c>
      <c r="J72" s="16" t="s">
        <v>997</v>
      </c>
      <c r="K72" s="16" t="s">
        <v>828</v>
      </c>
      <c r="L72" s="13">
        <v>13279.0</v>
      </c>
    </row>
    <row r="73" ht="12.75" customHeight="1">
      <c r="A73" s="17">
        <v>72.0</v>
      </c>
      <c r="B73" s="16" t="s">
        <v>840</v>
      </c>
      <c r="C73" s="16" t="s">
        <v>840</v>
      </c>
      <c r="D73" s="16" t="s">
        <v>823</v>
      </c>
      <c r="E73" s="16" t="s">
        <v>998</v>
      </c>
      <c r="F73" s="16" t="s">
        <v>975</v>
      </c>
      <c r="G73" s="16" t="s">
        <v>902</v>
      </c>
      <c r="H73" s="16" t="s">
        <v>969</v>
      </c>
      <c r="I73" s="16" t="s">
        <v>882</v>
      </c>
      <c r="J73" s="16" t="s">
        <v>883</v>
      </c>
      <c r="K73" s="16" t="s">
        <v>828</v>
      </c>
      <c r="L73" s="13">
        <v>13604.0</v>
      </c>
    </row>
    <row r="74" ht="12.75" customHeight="1">
      <c r="A74" s="17">
        <v>73.0</v>
      </c>
      <c r="B74" s="16" t="s">
        <v>914</v>
      </c>
      <c r="C74" s="16" t="s">
        <v>914</v>
      </c>
      <c r="D74" s="16" t="s">
        <v>823</v>
      </c>
      <c r="E74" s="16" t="s">
        <v>999</v>
      </c>
      <c r="F74" s="16" t="s">
        <v>977</v>
      </c>
      <c r="G74" s="16" t="s">
        <v>975</v>
      </c>
      <c r="H74" s="16" t="s">
        <v>916</v>
      </c>
      <c r="I74" s="16" t="s">
        <v>917</v>
      </c>
      <c r="J74" s="16" t="s">
        <v>918</v>
      </c>
      <c r="K74" s="16" t="s">
        <v>828</v>
      </c>
      <c r="L74" s="13">
        <v>13649.0</v>
      </c>
    </row>
    <row r="75" ht="12.75" customHeight="1">
      <c r="A75" s="17">
        <v>74.0</v>
      </c>
      <c r="B75" s="16" t="s">
        <v>840</v>
      </c>
      <c r="C75" s="16" t="s">
        <v>840</v>
      </c>
      <c r="D75" s="16" t="s">
        <v>823</v>
      </c>
      <c r="E75" s="16" t="s">
        <v>1000</v>
      </c>
      <c r="F75" s="16" t="s">
        <v>979</v>
      </c>
      <c r="G75" s="16" t="s">
        <v>852</v>
      </c>
      <c r="H75" s="16" t="s">
        <v>844</v>
      </c>
      <c r="I75" s="16" t="s">
        <v>845</v>
      </c>
      <c r="J75" s="16" t="s">
        <v>846</v>
      </c>
      <c r="K75" s="16" t="s">
        <v>835</v>
      </c>
      <c r="L75" s="13">
        <v>14013.0</v>
      </c>
    </row>
    <row r="76" ht="12.75" customHeight="1">
      <c r="A76" s="17">
        <v>75.0</v>
      </c>
      <c r="B76" s="16" t="s">
        <v>850</v>
      </c>
      <c r="C76" s="16" t="s">
        <v>850</v>
      </c>
      <c r="D76" s="16" t="s">
        <v>823</v>
      </c>
      <c r="E76" s="16" t="s">
        <v>867</v>
      </c>
      <c r="F76" s="16" t="s">
        <v>866</v>
      </c>
      <c r="G76" s="16" t="s">
        <v>899</v>
      </c>
      <c r="H76" s="16" t="s">
        <v>980</v>
      </c>
      <c r="I76" s="16" t="s">
        <v>981</v>
      </c>
      <c r="J76" s="16" t="s">
        <v>846</v>
      </c>
      <c r="K76" s="16" t="s">
        <v>835</v>
      </c>
      <c r="L76" s="13">
        <v>58304.0</v>
      </c>
    </row>
    <row r="77" ht="12.75" customHeight="1">
      <c r="A77" s="17">
        <v>76.0</v>
      </c>
      <c r="B77" s="16" t="s">
        <v>860</v>
      </c>
      <c r="C77" s="16" t="s">
        <v>860</v>
      </c>
      <c r="D77" s="16" t="s">
        <v>823</v>
      </c>
      <c r="E77" s="16" t="s">
        <v>1001</v>
      </c>
      <c r="F77" s="16" t="s">
        <v>897</v>
      </c>
      <c r="G77" s="16" t="s">
        <v>1002</v>
      </c>
      <c r="H77" s="16" t="s">
        <v>973</v>
      </c>
      <c r="I77" s="16" t="s">
        <v>907</v>
      </c>
      <c r="J77" s="16" t="s">
        <v>865</v>
      </c>
      <c r="K77" s="16" t="s">
        <v>828</v>
      </c>
      <c r="L77" s="13">
        <v>14605.0</v>
      </c>
    </row>
    <row r="78" ht="12.75" customHeight="1">
      <c r="A78" s="17">
        <v>77.0</v>
      </c>
      <c r="B78" s="16" t="s">
        <v>829</v>
      </c>
      <c r="C78" s="16" t="s">
        <v>829</v>
      </c>
      <c r="D78" s="16" t="s">
        <v>823</v>
      </c>
      <c r="E78" s="16" t="s">
        <v>836</v>
      </c>
      <c r="F78" s="16" t="s">
        <v>837</v>
      </c>
      <c r="G78" s="16" t="s">
        <v>1003</v>
      </c>
      <c r="H78" s="16" t="s">
        <v>838</v>
      </c>
      <c r="I78" s="16" t="s">
        <v>839</v>
      </c>
      <c r="J78" s="16" t="s">
        <v>834</v>
      </c>
      <c r="K78" s="16" t="s">
        <v>835</v>
      </c>
      <c r="L78" s="13">
        <v>14683.0</v>
      </c>
    </row>
    <row r="79" ht="12.75" customHeight="1">
      <c r="A79" s="17">
        <v>78.0</v>
      </c>
      <c r="B79" s="16" t="s">
        <v>860</v>
      </c>
      <c r="C79" s="16" t="s">
        <v>860</v>
      </c>
      <c r="D79" s="16" t="s">
        <v>823</v>
      </c>
      <c r="E79" s="16" t="s">
        <v>1004</v>
      </c>
      <c r="F79" s="16" t="s">
        <v>987</v>
      </c>
      <c r="G79" s="16" t="s">
        <v>926</v>
      </c>
      <c r="H79" s="16" t="s">
        <v>863</v>
      </c>
      <c r="I79" s="16" t="s">
        <v>864</v>
      </c>
      <c r="J79" s="16" t="s">
        <v>865</v>
      </c>
      <c r="K79" s="16" t="s">
        <v>828</v>
      </c>
      <c r="L79" s="13">
        <v>14712.0</v>
      </c>
    </row>
    <row r="80" ht="12.75" customHeight="1">
      <c r="A80" s="17">
        <v>79.0</v>
      </c>
      <c r="B80" s="16" t="s">
        <v>860</v>
      </c>
      <c r="C80" s="16" t="s">
        <v>860</v>
      </c>
      <c r="D80" s="16" t="s">
        <v>823</v>
      </c>
      <c r="E80" s="16" t="s">
        <v>1005</v>
      </c>
      <c r="F80" s="16" t="s">
        <v>988</v>
      </c>
      <c r="G80" s="16" t="s">
        <v>852</v>
      </c>
      <c r="H80" s="16" t="s">
        <v>910</v>
      </c>
      <c r="I80" s="16" t="s">
        <v>49</v>
      </c>
      <c r="J80" s="16" t="s">
        <v>48</v>
      </c>
      <c r="K80" s="16" t="s">
        <v>828</v>
      </c>
      <c r="L80" s="13">
        <v>15132.0</v>
      </c>
    </row>
    <row r="81" ht="12.75" customHeight="1">
      <c r="A81" s="17">
        <v>80.0</v>
      </c>
      <c r="B81" s="16" t="s">
        <v>840</v>
      </c>
      <c r="C81" s="16" t="s">
        <v>840</v>
      </c>
      <c r="D81" s="16" t="s">
        <v>823</v>
      </c>
      <c r="E81" s="16" t="s">
        <v>1006</v>
      </c>
      <c r="F81" s="16" t="s">
        <v>990</v>
      </c>
      <c r="G81" s="16" t="s">
        <v>1007</v>
      </c>
      <c r="H81" s="16" t="s">
        <v>969</v>
      </c>
      <c r="I81" s="16" t="s">
        <v>882</v>
      </c>
      <c r="J81" s="16" t="s">
        <v>883</v>
      </c>
      <c r="K81" s="16" t="s">
        <v>828</v>
      </c>
      <c r="L81" s="13">
        <v>15419.0</v>
      </c>
    </row>
    <row r="82" ht="12.75" customHeight="1">
      <c r="A82" s="17">
        <v>81.0</v>
      </c>
      <c r="B82" s="16"/>
      <c r="C82" s="16"/>
      <c r="D82" s="16"/>
      <c r="E82" s="16"/>
      <c r="F82" s="16"/>
      <c r="G82" s="16" t="s">
        <v>866</v>
      </c>
      <c r="H82" s="16"/>
      <c r="I82" s="16"/>
      <c r="J82" s="16"/>
      <c r="K82" s="16"/>
      <c r="L82" s="13">
        <v>0.0</v>
      </c>
    </row>
    <row r="83" ht="12.75" customHeight="1">
      <c r="A83" s="17">
        <v>82.0</v>
      </c>
      <c r="B83" s="16" t="s">
        <v>840</v>
      </c>
      <c r="C83" s="16" t="s">
        <v>840</v>
      </c>
      <c r="D83" s="16" t="s">
        <v>823</v>
      </c>
      <c r="E83" s="16" t="s">
        <v>1008</v>
      </c>
      <c r="F83" s="16" t="s">
        <v>843</v>
      </c>
      <c r="G83" s="16" t="s">
        <v>1009</v>
      </c>
      <c r="H83" s="16" t="s">
        <v>849</v>
      </c>
      <c r="I83" s="16" t="s">
        <v>845</v>
      </c>
      <c r="J83" s="16" t="s">
        <v>846</v>
      </c>
      <c r="K83" s="16" t="s">
        <v>835</v>
      </c>
      <c r="L83" s="13">
        <v>16158.0</v>
      </c>
    </row>
    <row r="84" ht="12.75" customHeight="1">
      <c r="A84" s="17">
        <v>83.0</v>
      </c>
      <c r="B84" s="16"/>
      <c r="C84" s="16"/>
      <c r="D84" s="16"/>
      <c r="E84" s="16"/>
      <c r="F84" s="16"/>
      <c r="G84" s="16" t="s">
        <v>902</v>
      </c>
      <c r="H84" s="16"/>
      <c r="I84" s="16"/>
      <c r="J84" s="16"/>
      <c r="K84" s="16"/>
      <c r="L84" s="13">
        <v>0.0</v>
      </c>
    </row>
    <row r="85" ht="12.75" customHeight="1">
      <c r="A85" s="17">
        <v>84.0</v>
      </c>
      <c r="B85" s="16" t="s">
        <v>870</v>
      </c>
      <c r="C85" s="16" t="s">
        <v>870</v>
      </c>
      <c r="D85" s="16" t="s">
        <v>823</v>
      </c>
      <c r="E85" s="16" t="s">
        <v>1010</v>
      </c>
      <c r="F85" s="16" t="s">
        <v>852</v>
      </c>
      <c r="G85" s="16" t="s">
        <v>852</v>
      </c>
      <c r="H85" s="16" t="s">
        <v>1011</v>
      </c>
      <c r="I85" s="16" t="s">
        <v>854</v>
      </c>
      <c r="J85" s="16" t="s">
        <v>846</v>
      </c>
      <c r="K85" s="16" t="s">
        <v>835</v>
      </c>
      <c r="L85" s="13">
        <v>17069.0</v>
      </c>
    </row>
    <row r="86" ht="12.75" customHeight="1">
      <c r="A86" s="17">
        <v>85.0</v>
      </c>
      <c r="B86" s="16" t="s">
        <v>932</v>
      </c>
      <c r="C86" s="16" t="s">
        <v>932</v>
      </c>
      <c r="D86" s="16" t="s">
        <v>823</v>
      </c>
      <c r="E86" s="16" t="s">
        <v>1012</v>
      </c>
      <c r="F86" s="16" t="s">
        <v>992</v>
      </c>
      <c r="G86" s="16"/>
      <c r="H86" s="16" t="s">
        <v>935</v>
      </c>
      <c r="I86" s="16" t="s">
        <v>936</v>
      </c>
      <c r="J86" s="16" t="s">
        <v>937</v>
      </c>
      <c r="K86" s="16" t="s">
        <v>828</v>
      </c>
      <c r="L86" s="13">
        <v>18951.0</v>
      </c>
    </row>
    <row r="87" ht="12.75" customHeight="1">
      <c r="A87" s="17">
        <v>86.0</v>
      </c>
      <c r="B87" s="16" t="s">
        <v>950</v>
      </c>
      <c r="C87" s="16" t="s">
        <v>950</v>
      </c>
      <c r="D87" s="16" t="s">
        <v>823</v>
      </c>
      <c r="E87" s="16" t="s">
        <v>1013</v>
      </c>
      <c r="F87" s="16" t="s">
        <v>994</v>
      </c>
      <c r="G87" s="16"/>
      <c r="H87" s="16" t="s">
        <v>1014</v>
      </c>
      <c r="I87" s="16" t="s">
        <v>984</v>
      </c>
      <c r="J87" s="16" t="s">
        <v>985</v>
      </c>
      <c r="K87" s="16" t="s">
        <v>828</v>
      </c>
      <c r="L87" s="13">
        <v>17652.0</v>
      </c>
    </row>
    <row r="88" ht="12.75" customHeight="1">
      <c r="A88" s="17">
        <v>87.0</v>
      </c>
      <c r="B88" s="16" t="s">
        <v>860</v>
      </c>
      <c r="C88" s="16" t="s">
        <v>860</v>
      </c>
      <c r="D88" s="16" t="s">
        <v>823</v>
      </c>
      <c r="E88" s="16" t="s">
        <v>919</v>
      </c>
      <c r="F88" s="16" t="s">
        <v>902</v>
      </c>
      <c r="G88" s="16"/>
      <c r="H88" s="16" t="s">
        <v>921</v>
      </c>
      <c r="I88" s="16" t="s">
        <v>922</v>
      </c>
      <c r="J88" s="16" t="s">
        <v>923</v>
      </c>
      <c r="K88" s="16" t="s">
        <v>828</v>
      </c>
      <c r="L88" s="13">
        <v>18320.0</v>
      </c>
    </row>
    <row r="89" ht="12.75" customHeight="1">
      <c r="A89" s="17">
        <v>88.0</v>
      </c>
      <c r="B89" s="16" t="s">
        <v>840</v>
      </c>
      <c r="C89" s="16" t="s">
        <v>840</v>
      </c>
      <c r="D89" s="16" t="s">
        <v>823</v>
      </c>
      <c r="E89" s="16" t="s">
        <v>998</v>
      </c>
      <c r="F89" s="16" t="s">
        <v>975</v>
      </c>
      <c r="G89" s="16"/>
      <c r="H89" s="16" t="s">
        <v>969</v>
      </c>
      <c r="I89" s="16" t="s">
        <v>882</v>
      </c>
      <c r="J89" s="16" t="s">
        <v>883</v>
      </c>
      <c r="K89" s="16" t="s">
        <v>828</v>
      </c>
      <c r="L89" s="13">
        <v>18640.0</v>
      </c>
    </row>
    <row r="90" ht="12.75" customHeight="1">
      <c r="A90" s="17">
        <v>89.0</v>
      </c>
      <c r="B90" s="16" t="s">
        <v>850</v>
      </c>
      <c r="C90" s="16" t="s">
        <v>850</v>
      </c>
      <c r="D90" s="16" t="s">
        <v>823</v>
      </c>
      <c r="E90" s="16" t="s">
        <v>1015</v>
      </c>
      <c r="F90" s="16" t="s">
        <v>852</v>
      </c>
      <c r="G90" s="16"/>
      <c r="H90" s="16" t="s">
        <v>891</v>
      </c>
      <c r="I90" s="16" t="s">
        <v>854</v>
      </c>
      <c r="J90" s="16" t="s">
        <v>846</v>
      </c>
      <c r="K90" s="16" t="s">
        <v>835</v>
      </c>
      <c r="L90" s="13">
        <v>1464.0</v>
      </c>
    </row>
    <row r="91" ht="12.75" customHeight="1">
      <c r="A91" s="17">
        <v>90.0</v>
      </c>
      <c r="B91" s="16" t="s">
        <v>855</v>
      </c>
      <c r="C91" s="16" t="s">
        <v>855</v>
      </c>
      <c r="D91" s="16" t="s">
        <v>823</v>
      </c>
      <c r="E91" s="16" t="s">
        <v>911</v>
      </c>
      <c r="F91" s="16" t="s">
        <v>899</v>
      </c>
      <c r="G91" s="16"/>
      <c r="H91" s="16" t="s">
        <v>913</v>
      </c>
      <c r="I91" s="16" t="s">
        <v>886</v>
      </c>
      <c r="J91" s="16" t="s">
        <v>846</v>
      </c>
      <c r="K91" s="16" t="s">
        <v>835</v>
      </c>
      <c r="L91" s="13">
        <v>20384.0</v>
      </c>
    </row>
    <row r="92" ht="12.75" customHeight="1">
      <c r="A92" s="17">
        <v>91.0</v>
      </c>
      <c r="B92" s="16"/>
      <c r="C92" s="16"/>
      <c r="D92" s="16"/>
      <c r="E92" s="16"/>
      <c r="F92" s="16"/>
      <c r="G92" s="16"/>
      <c r="H92" s="16"/>
      <c r="I92" s="16"/>
      <c r="J92" s="16"/>
      <c r="K92" s="16"/>
      <c r="L92" s="13">
        <v>0.0</v>
      </c>
    </row>
    <row r="93" ht="12.75" customHeight="1">
      <c r="A93" s="17">
        <v>92.0</v>
      </c>
      <c r="B93" s="16" t="s">
        <v>822</v>
      </c>
      <c r="C93" s="16" t="s">
        <v>822</v>
      </c>
      <c r="D93" s="16" t="s">
        <v>823</v>
      </c>
      <c r="E93" s="16" t="s">
        <v>1016</v>
      </c>
      <c r="F93" s="16" t="s">
        <v>1002</v>
      </c>
      <c r="G93" s="16"/>
      <c r="H93" s="16" t="s">
        <v>1017</v>
      </c>
      <c r="I93" s="16" t="s">
        <v>1018</v>
      </c>
      <c r="J93" s="16" t="s">
        <v>949</v>
      </c>
      <c r="K93" s="16" t="s">
        <v>828</v>
      </c>
      <c r="L93" s="13">
        <v>19845.0</v>
      </c>
    </row>
    <row r="94" ht="12.75" customHeight="1">
      <c r="A94" s="17">
        <v>93.0</v>
      </c>
      <c r="B94" s="16" t="s">
        <v>829</v>
      </c>
      <c r="C94" s="16" t="s">
        <v>829</v>
      </c>
      <c r="D94" s="16" t="s">
        <v>823</v>
      </c>
      <c r="E94" s="16" t="s">
        <v>1019</v>
      </c>
      <c r="F94" s="16" t="s">
        <v>1003</v>
      </c>
      <c r="G94" s="16"/>
      <c r="H94" s="16" t="s">
        <v>1020</v>
      </c>
      <c r="I94" s="16" t="s">
        <v>1021</v>
      </c>
      <c r="J94" s="16" t="s">
        <v>846</v>
      </c>
      <c r="K94" s="16" t="s">
        <v>835</v>
      </c>
      <c r="L94" s="13">
        <v>19858.0</v>
      </c>
    </row>
    <row r="95" ht="12.75" customHeight="1">
      <c r="A95" s="17">
        <v>94.0</v>
      </c>
      <c r="B95" s="16" t="s">
        <v>822</v>
      </c>
      <c r="C95" s="16" t="s">
        <v>822</v>
      </c>
      <c r="D95" s="16" t="s">
        <v>823</v>
      </c>
      <c r="E95" s="16" t="s">
        <v>945</v>
      </c>
      <c r="F95" s="16" t="s">
        <v>926</v>
      </c>
      <c r="G95" s="16"/>
      <c r="H95" s="16" t="s">
        <v>947</v>
      </c>
      <c r="I95" s="16" t="s">
        <v>948</v>
      </c>
      <c r="J95" s="16" t="s">
        <v>949</v>
      </c>
      <c r="K95" s="16" t="s">
        <v>828</v>
      </c>
      <c r="L95" s="13">
        <v>19898.0</v>
      </c>
    </row>
    <row r="96" ht="12.75" customHeight="1">
      <c r="A96" s="17">
        <v>95.0</v>
      </c>
      <c r="B96" s="16" t="s">
        <v>850</v>
      </c>
      <c r="C96" s="16" t="s">
        <v>850</v>
      </c>
      <c r="D96" s="16" t="s">
        <v>823</v>
      </c>
      <c r="E96" s="16" t="s">
        <v>1015</v>
      </c>
      <c r="F96" s="16" t="s">
        <v>852</v>
      </c>
      <c r="G96" s="16"/>
      <c r="H96" s="16" t="s">
        <v>868</v>
      </c>
      <c r="I96" s="16" t="s">
        <v>854</v>
      </c>
      <c r="J96" s="16" t="s">
        <v>846</v>
      </c>
      <c r="K96" s="16" t="s">
        <v>835</v>
      </c>
      <c r="L96" s="13">
        <v>19593.0</v>
      </c>
    </row>
    <row r="97" ht="12.75" customHeight="1">
      <c r="A97" s="17">
        <v>96.0</v>
      </c>
      <c r="B97" s="16" t="s">
        <v>855</v>
      </c>
      <c r="C97" s="16" t="s">
        <v>855</v>
      </c>
      <c r="D97" s="16" t="s">
        <v>823</v>
      </c>
      <c r="E97" s="16" t="s">
        <v>1022</v>
      </c>
      <c r="F97" s="16" t="s">
        <v>1007</v>
      </c>
      <c r="G97" s="16"/>
      <c r="H97" s="16" t="s">
        <v>885</v>
      </c>
      <c r="I97" s="16" t="s">
        <v>886</v>
      </c>
      <c r="J97" s="16" t="s">
        <v>846</v>
      </c>
      <c r="K97" s="16" t="s">
        <v>888</v>
      </c>
      <c r="L97" s="13">
        <v>20175.0</v>
      </c>
    </row>
    <row r="98" ht="12.75" customHeight="1">
      <c r="A98" s="17">
        <v>97.0</v>
      </c>
      <c r="B98" s="16" t="s">
        <v>850</v>
      </c>
      <c r="C98" s="16" t="s">
        <v>850</v>
      </c>
      <c r="D98" s="16" t="s">
        <v>823</v>
      </c>
      <c r="E98" s="16" t="s">
        <v>867</v>
      </c>
      <c r="F98" s="16" t="s">
        <v>866</v>
      </c>
      <c r="G98" s="16"/>
      <c r="H98" s="16" t="s">
        <v>980</v>
      </c>
      <c r="I98" s="16" t="s">
        <v>981</v>
      </c>
      <c r="J98" s="16" t="s">
        <v>846</v>
      </c>
      <c r="K98" s="16" t="s">
        <v>835</v>
      </c>
      <c r="L98" s="13">
        <v>22867.0</v>
      </c>
    </row>
    <row r="99" ht="12.75" customHeight="1">
      <c r="A99" s="17">
        <v>98.0</v>
      </c>
      <c r="B99" s="16" t="s">
        <v>829</v>
      </c>
      <c r="C99" s="16" t="s">
        <v>829</v>
      </c>
      <c r="D99" s="16" t="s">
        <v>823</v>
      </c>
      <c r="E99" s="16" t="s">
        <v>1023</v>
      </c>
      <c r="F99" s="16" t="s">
        <v>1009</v>
      </c>
      <c r="G99" s="16"/>
      <c r="H99" s="16" t="s">
        <v>1024</v>
      </c>
      <c r="I99" s="16" t="s">
        <v>922</v>
      </c>
      <c r="J99" s="16" t="s">
        <v>923</v>
      </c>
      <c r="K99" s="16" t="s">
        <v>828</v>
      </c>
      <c r="L99" s="13">
        <v>20398.0</v>
      </c>
    </row>
    <row r="100" ht="12.75" customHeight="1">
      <c r="A100" s="17">
        <v>99.0</v>
      </c>
      <c r="B100" s="16" t="s">
        <v>860</v>
      </c>
      <c r="C100" s="16" t="s">
        <v>860</v>
      </c>
      <c r="D100" s="16" t="s">
        <v>823</v>
      </c>
      <c r="E100" s="16" t="s">
        <v>919</v>
      </c>
      <c r="F100" s="16" t="s">
        <v>902</v>
      </c>
      <c r="G100" s="16"/>
      <c r="H100" s="16" t="s">
        <v>921</v>
      </c>
      <c r="I100" s="16" t="s">
        <v>922</v>
      </c>
      <c r="J100" s="16" t="s">
        <v>923</v>
      </c>
      <c r="K100" s="16" t="s">
        <v>924</v>
      </c>
      <c r="L100" s="13">
        <v>20402.0</v>
      </c>
    </row>
    <row r="101" ht="12.75" customHeight="1">
      <c r="A101" s="17">
        <v>100.0</v>
      </c>
      <c r="B101" s="16" t="s">
        <v>850</v>
      </c>
      <c r="C101" s="16" t="s">
        <v>850</v>
      </c>
      <c r="D101" s="16" t="s">
        <v>823</v>
      </c>
      <c r="E101" s="16" t="s">
        <v>1015</v>
      </c>
      <c r="F101" s="16" t="s">
        <v>852</v>
      </c>
      <c r="G101" s="16"/>
      <c r="H101" s="16" t="s">
        <v>868</v>
      </c>
      <c r="I101" s="16" t="s">
        <v>854</v>
      </c>
      <c r="J101" s="16" t="s">
        <v>846</v>
      </c>
      <c r="K101" s="16" t="s">
        <v>828</v>
      </c>
      <c r="L101" s="13">
        <v>20575.0</v>
      </c>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86"/>
    <col customWidth="1" min="2" max="2" width="10.57"/>
    <col customWidth="1" min="3" max="3" width="11.43"/>
    <col customWidth="1" min="4" max="4" width="13.14"/>
    <col customWidth="1" min="5" max="5" width="26.57"/>
    <col customWidth="1" min="6" max="6" width="35.14"/>
    <col customWidth="1" min="7" max="26" width="8.71"/>
  </cols>
  <sheetData>
    <row r="1" ht="12.75" customHeight="1">
      <c r="A1" s="15" t="s">
        <v>2</v>
      </c>
      <c r="B1" s="18" t="s">
        <v>1025</v>
      </c>
      <c r="C1" s="15" t="s">
        <v>1026</v>
      </c>
      <c r="D1" s="15" t="s">
        <v>1027</v>
      </c>
      <c r="E1" s="23"/>
      <c r="F1" s="23"/>
    </row>
    <row r="2" ht="12.75" hidden="1" customHeight="1">
      <c r="A2" s="17">
        <f>companies!A2</f>
        <v>1</v>
      </c>
      <c r="B2" s="16">
        <v>2019.0</v>
      </c>
      <c r="C2" s="24">
        <v>3.2136E10</v>
      </c>
      <c r="D2" s="24">
        <v>4.57E9</v>
      </c>
      <c r="E2" s="16"/>
      <c r="F2" s="16"/>
    </row>
    <row r="3" ht="12.75" hidden="1" customHeight="1">
      <c r="A3" s="17">
        <f>companies!A3</f>
        <v>2</v>
      </c>
      <c r="B3" s="16">
        <v>2019.0</v>
      </c>
      <c r="C3" s="24">
        <v>3.1904E10</v>
      </c>
      <c r="D3" s="24">
        <v>3.687E9</v>
      </c>
      <c r="E3" s="16"/>
      <c r="F3" s="16"/>
    </row>
    <row r="4" ht="12.75" hidden="1" customHeight="1">
      <c r="A4" s="17">
        <f>companies!A4</f>
        <v>3</v>
      </c>
      <c r="B4" s="16">
        <v>2019.0</v>
      </c>
      <c r="C4" s="24">
        <v>3.3266E10</v>
      </c>
      <c r="D4" s="24">
        <v>5.697E9</v>
      </c>
      <c r="E4" s="16"/>
      <c r="F4" s="16"/>
    </row>
    <row r="5" ht="12.75" hidden="1" customHeight="1">
      <c r="A5" s="17">
        <f>companies!A5</f>
        <v>4</v>
      </c>
      <c r="B5" s="16">
        <v>2019.0</v>
      </c>
      <c r="C5" s="24">
        <v>4.32E10</v>
      </c>
      <c r="D5" s="24">
        <v>4.78E9</v>
      </c>
      <c r="E5" s="16"/>
      <c r="F5" s="16"/>
    </row>
    <row r="6" ht="12.75" hidden="1" customHeight="1">
      <c r="A6" s="17">
        <f>companies!A6</f>
        <v>5</v>
      </c>
      <c r="B6" s="16">
        <v>2019.0</v>
      </c>
      <c r="C6" s="24">
        <v>1.1171E10</v>
      </c>
      <c r="D6" s="24">
        <v>2.951E9</v>
      </c>
      <c r="E6" s="16"/>
      <c r="F6" s="16"/>
    </row>
    <row r="7" ht="12.75" hidden="1" customHeight="1">
      <c r="A7" s="17">
        <f>companies!A7</f>
        <v>6</v>
      </c>
      <c r="B7" s="16">
        <v>2019.0</v>
      </c>
      <c r="C7" s="24">
        <v>4.4675E10</v>
      </c>
      <c r="D7" s="24">
        <v>4.847E9</v>
      </c>
      <c r="E7" s="16"/>
      <c r="F7" s="16"/>
    </row>
    <row r="8" ht="12.75" hidden="1" customHeight="1">
      <c r="A8" s="17">
        <f>companies!A8</f>
        <v>7</v>
      </c>
      <c r="B8" s="16">
        <v>2019.0</v>
      </c>
      <c r="C8" s="24">
        <v>1.61857E11</v>
      </c>
      <c r="D8" s="24">
        <v>3.434E10</v>
      </c>
      <c r="E8" s="16"/>
      <c r="F8" s="16"/>
    </row>
    <row r="9" ht="12.75" hidden="1" customHeight="1">
      <c r="A9" s="17">
        <f>companies!A9</f>
        <v>8</v>
      </c>
      <c r="B9" s="16">
        <v>2019.0</v>
      </c>
      <c r="C9" s="24">
        <v>2.5364E10</v>
      </c>
      <c r="D9" s="24">
        <v>6.963E9</v>
      </c>
      <c r="E9" s="16"/>
      <c r="F9" s="16"/>
    </row>
    <row r="10" ht="12.75" hidden="1" customHeight="1">
      <c r="A10" s="17">
        <f>companies!A10</f>
        <v>9</v>
      </c>
      <c r="B10" s="16">
        <v>2019.0</v>
      </c>
      <c r="C10" s="24">
        <v>2.8E11</v>
      </c>
      <c r="D10" s="24">
        <v>1.1588E10</v>
      </c>
    </row>
    <row r="11" ht="12.75" hidden="1" customHeight="1">
      <c r="A11" s="17">
        <f>companies!A11</f>
        <v>10</v>
      </c>
      <c r="B11" s="16">
        <v>2019.0</v>
      </c>
      <c r="C11" s="24">
        <v>4.3556E10</v>
      </c>
      <c r="D11" s="24">
        <v>6.921E9</v>
      </c>
      <c r="E11" s="16"/>
      <c r="F11" s="16"/>
    </row>
    <row r="12" ht="12.75" hidden="1" customHeight="1">
      <c r="A12" s="17">
        <f>companies!A12</f>
        <v>11</v>
      </c>
      <c r="B12" s="16">
        <v>2019.0</v>
      </c>
      <c r="C12" s="24">
        <v>4.975E10</v>
      </c>
      <c r="D12" s="24">
        <v>3.3E9</v>
      </c>
      <c r="E12" s="16"/>
      <c r="F12" s="16"/>
    </row>
    <row r="13" ht="12.75" hidden="1" customHeight="1">
      <c r="A13" s="17">
        <f>companies!A13</f>
        <v>12</v>
      </c>
      <c r="B13" s="16">
        <v>2019.0</v>
      </c>
      <c r="C13" s="24">
        <v>7.58E9</v>
      </c>
      <c r="D13" s="24">
        <v>1.888E9</v>
      </c>
      <c r="E13" s="16"/>
      <c r="F13" s="16"/>
    </row>
    <row r="14" ht="12.75" hidden="1" customHeight="1">
      <c r="A14" s="17">
        <f>companies!A14</f>
        <v>13</v>
      </c>
      <c r="B14" s="16">
        <v>2019.0</v>
      </c>
      <c r="C14" s="24">
        <v>2.34E10</v>
      </c>
      <c r="D14" s="24">
        <v>7.84E9</v>
      </c>
      <c r="E14" s="16"/>
      <c r="F14" s="16"/>
    </row>
    <row r="15" ht="12.75" hidden="1" customHeight="1">
      <c r="A15" s="17">
        <f>companies!A15</f>
        <v>14</v>
      </c>
      <c r="B15" s="16">
        <v>2019.0</v>
      </c>
      <c r="C15" s="24">
        <v>2.60174E11</v>
      </c>
      <c r="D15" s="24">
        <v>5.5256E10</v>
      </c>
      <c r="E15" s="16"/>
      <c r="F15" s="16"/>
    </row>
    <row r="16" ht="12.75" hidden="1" customHeight="1">
      <c r="A16" s="17">
        <f>companies!A16</f>
        <v>15</v>
      </c>
      <c r="B16" s="16">
        <v>2019.0</v>
      </c>
      <c r="C16" s="24">
        <v>1.812E11</v>
      </c>
      <c r="D16" s="24">
        <v>1.39E10</v>
      </c>
      <c r="E16" s="16"/>
      <c r="F16" s="16"/>
    </row>
    <row r="17" ht="12.75" hidden="1" customHeight="1">
      <c r="A17" s="17">
        <f>companies!A17</f>
        <v>16</v>
      </c>
      <c r="B17" s="16">
        <v>2019.0</v>
      </c>
      <c r="C17" s="24">
        <v>9.124E10</v>
      </c>
      <c r="D17" s="24">
        <v>2.5998E10</v>
      </c>
      <c r="E17" s="16"/>
      <c r="F17" s="16"/>
    </row>
    <row r="18" ht="12.75" hidden="1" customHeight="1">
      <c r="A18" s="17">
        <f>companies!A18</f>
        <v>17</v>
      </c>
      <c r="B18" s="16">
        <v>2019.0</v>
      </c>
      <c r="C18" s="24">
        <v>2.54616E11</v>
      </c>
      <c r="D18" s="24">
        <v>8.1417E10</v>
      </c>
    </row>
    <row r="19" ht="12.75" hidden="1" customHeight="1">
      <c r="A19" s="17">
        <f>companies!A19</f>
        <v>18</v>
      </c>
      <c r="B19" s="16">
        <v>2019.0</v>
      </c>
      <c r="C19" s="24">
        <v>1.35E10</v>
      </c>
      <c r="D19" s="24">
        <v>4.4E9</v>
      </c>
      <c r="E19" s="16"/>
      <c r="F19" s="16"/>
    </row>
    <row r="20" ht="12.75" hidden="1" customHeight="1">
      <c r="A20" s="17">
        <f>companies!A20</f>
        <v>19</v>
      </c>
      <c r="B20" s="16">
        <v>2019.0</v>
      </c>
      <c r="C20" s="24">
        <v>1.4539E10</v>
      </c>
      <c r="D20" s="24">
        <v>4.484E9</v>
      </c>
      <c r="E20" s="16"/>
      <c r="F20" s="16"/>
    </row>
    <row r="21" ht="12.75" hidden="1" customHeight="1">
      <c r="A21" s="17">
        <f>companies!A21</f>
        <v>20</v>
      </c>
      <c r="B21" s="16">
        <v>2019.0</v>
      </c>
      <c r="C21" s="24">
        <v>7.6559E10</v>
      </c>
      <c r="D21" s="24">
        <v>-6.36E8</v>
      </c>
      <c r="E21" s="16"/>
      <c r="F21" s="16"/>
    </row>
    <row r="22" ht="12.75" hidden="1" customHeight="1">
      <c r="A22" s="17">
        <f>companies!A22</f>
        <v>21</v>
      </c>
      <c r="B22" s="16">
        <v>2019.0</v>
      </c>
      <c r="C22" s="24">
        <v>1.5066E10</v>
      </c>
      <c r="D22" s="24">
        <v>4.865E9</v>
      </c>
    </row>
    <row r="23" ht="12.75" hidden="1" customHeight="1">
      <c r="A23" s="17">
        <f>companies!A23</f>
        <v>22</v>
      </c>
      <c r="B23" s="16">
        <v>2019.0</v>
      </c>
      <c r="C23" s="24">
        <v>2.6145E10</v>
      </c>
      <c r="D23" s="24">
        <v>3.439E9</v>
      </c>
      <c r="E23" s="16"/>
      <c r="F23" s="16"/>
    </row>
    <row r="24" ht="12.75" hidden="1" customHeight="1">
      <c r="A24" s="17">
        <f>companies!A24</f>
        <v>23</v>
      </c>
      <c r="B24" s="16">
        <v>2019.0</v>
      </c>
      <c r="C24" s="24">
        <v>2.86E10</v>
      </c>
      <c r="D24" s="24">
        <v>5.192E9</v>
      </c>
      <c r="E24" s="16"/>
      <c r="F24" s="16"/>
    </row>
    <row r="25" ht="12.75" hidden="1" customHeight="1">
      <c r="A25" s="17">
        <f>companies!A25</f>
        <v>24</v>
      </c>
      <c r="B25" s="16">
        <v>2019.0</v>
      </c>
      <c r="C25" s="24">
        <v>5.38E10</v>
      </c>
      <c r="D25" s="24">
        <v>6.093E9</v>
      </c>
    </row>
    <row r="26" ht="12.75" hidden="1" customHeight="1">
      <c r="A26" s="17">
        <f>companies!A26</f>
        <v>25</v>
      </c>
      <c r="B26" s="16">
        <v>2019.0</v>
      </c>
      <c r="C26" s="24">
        <v>4.5764E10</v>
      </c>
      <c r="D26" s="24">
        <v>1.668E9</v>
      </c>
    </row>
    <row r="27" ht="12.75" hidden="1" customHeight="1">
      <c r="A27" s="17">
        <f>companies!A27</f>
        <v>26</v>
      </c>
      <c r="B27" s="16">
        <v>2019.0</v>
      </c>
      <c r="C27" s="24">
        <v>1.46516E11</v>
      </c>
      <c r="D27" s="24">
        <v>2.924E9</v>
      </c>
    </row>
    <row r="28" ht="12.75" hidden="1" customHeight="1">
      <c r="A28" s="17">
        <f>companies!A28</f>
        <v>27</v>
      </c>
      <c r="B28" s="16">
        <v>2019.0</v>
      </c>
      <c r="C28" s="24">
        <v>5.19E10</v>
      </c>
      <c r="D28" s="24">
        <v>1.162E10</v>
      </c>
      <c r="E28" s="16"/>
      <c r="F28" s="16"/>
    </row>
    <row r="29" ht="12.75" hidden="1" customHeight="1">
      <c r="A29" s="17">
        <f>companies!A29</f>
        <v>28</v>
      </c>
      <c r="B29" s="16">
        <v>2019.0</v>
      </c>
      <c r="C29" s="24">
        <v>1.03449E11</v>
      </c>
      <c r="D29" s="24">
        <v>1.8171E10</v>
      </c>
      <c r="E29" s="16"/>
      <c r="F29" s="16"/>
    </row>
    <row r="30" ht="12.75" hidden="1" customHeight="1">
      <c r="A30" s="17">
        <f>companies!A30</f>
        <v>29</v>
      </c>
      <c r="B30" s="16">
        <v>2019.0</v>
      </c>
      <c r="C30" s="24">
        <v>3.7266E10</v>
      </c>
      <c r="D30" s="24">
        <v>3.864E10</v>
      </c>
      <c r="E30" s="16"/>
      <c r="F30" s="16"/>
    </row>
    <row r="31" ht="12.75" hidden="1" customHeight="1">
      <c r="A31" s="17">
        <f>companies!A31</f>
        <v>30</v>
      </c>
      <c r="B31" s="16">
        <v>2019.0</v>
      </c>
      <c r="C31" s="24">
        <v>1.5693E10</v>
      </c>
      <c r="D31" s="24">
        <v>2.367E9</v>
      </c>
      <c r="E31" s="16"/>
      <c r="F31" s="16"/>
    </row>
    <row r="32" ht="12.75" hidden="1" customHeight="1">
      <c r="A32" s="17">
        <f>companies!A32</f>
        <v>31</v>
      </c>
      <c r="B32" s="16">
        <v>2019.0</v>
      </c>
      <c r="C32" s="24">
        <v>1.08942E11</v>
      </c>
      <c r="D32" s="24">
        <v>1.3057E10</v>
      </c>
      <c r="E32" s="16"/>
      <c r="F32" s="16"/>
    </row>
    <row r="33" ht="12.75" hidden="1" customHeight="1">
      <c r="A33" s="17">
        <f>companies!A33</f>
        <v>32</v>
      </c>
      <c r="B33" s="16">
        <v>2019.0</v>
      </c>
      <c r="C33" s="24">
        <v>3.667E10</v>
      </c>
      <c r="D33" s="24">
        <v>7.189E9</v>
      </c>
      <c r="E33" s="16"/>
      <c r="F33" s="16"/>
    </row>
    <row r="34" ht="12.75" hidden="1" customHeight="1">
      <c r="A34" s="17">
        <f>companies!A34</f>
        <v>33</v>
      </c>
      <c r="B34" s="16">
        <v>2019.0</v>
      </c>
      <c r="C34" s="24">
        <v>1.52703E11</v>
      </c>
      <c r="D34" s="24">
        <v>3.659E9</v>
      </c>
      <c r="E34" s="16"/>
      <c r="F34" s="16"/>
    </row>
    <row r="35" ht="12.75" hidden="1" customHeight="1">
      <c r="A35" s="17">
        <f>companies!A35</f>
        <v>34</v>
      </c>
      <c r="B35" s="16">
        <v>2019.0</v>
      </c>
      <c r="C35" s="24">
        <v>2.56776E11</v>
      </c>
      <c r="D35" s="24">
        <v>6.634E9</v>
      </c>
      <c r="E35" s="16"/>
      <c r="F35" s="16"/>
    </row>
    <row r="36" ht="12.75" hidden="1" customHeight="1">
      <c r="A36" s="17">
        <f>companies!A36</f>
        <v>35</v>
      </c>
      <c r="B36" s="16">
        <v>2019.0</v>
      </c>
      <c r="C36" s="24">
        <v>1.791E10</v>
      </c>
      <c r="D36" s="24">
        <v>2.94E9</v>
      </c>
    </row>
    <row r="37" ht="12.75" hidden="1" customHeight="1">
      <c r="A37" s="17">
        <f>companies!A37</f>
        <v>36</v>
      </c>
      <c r="B37" s="16">
        <v>2019.0</v>
      </c>
      <c r="C37" s="24">
        <v>4.2951E10</v>
      </c>
      <c r="D37" s="24">
        <v>-1.359E9</v>
      </c>
      <c r="E37" s="16"/>
      <c r="F37" s="16"/>
    </row>
    <row r="38" ht="12.75" hidden="1" customHeight="1">
      <c r="A38" s="17">
        <f>companies!A38</f>
        <v>37</v>
      </c>
      <c r="B38" s="16">
        <v>2019.0</v>
      </c>
      <c r="C38" s="24">
        <v>2.5079E10</v>
      </c>
      <c r="D38" s="24">
        <v>3.707E9</v>
      </c>
      <c r="E38" s="16"/>
      <c r="F38" s="16"/>
    </row>
    <row r="39" ht="12.75" hidden="1" customHeight="1">
      <c r="A39" s="17">
        <f>companies!A39</f>
        <v>38</v>
      </c>
      <c r="B39" s="16">
        <v>2019.0</v>
      </c>
      <c r="C39" s="24">
        <v>2.157E10</v>
      </c>
      <c r="D39" s="24">
        <v>4.98E8</v>
      </c>
      <c r="E39" s="16"/>
      <c r="F39" s="16"/>
    </row>
    <row r="40" ht="12.75" hidden="1" customHeight="1">
      <c r="A40" s="17">
        <f>companies!A40</f>
        <v>39</v>
      </c>
      <c r="B40" s="16">
        <v>2019.0</v>
      </c>
      <c r="C40" s="24">
        <v>2.232E10</v>
      </c>
      <c r="D40" s="24">
        <v>8.318E9</v>
      </c>
      <c r="E40" s="16"/>
      <c r="F40" s="16"/>
    </row>
    <row r="41" ht="12.75" hidden="1" customHeight="1">
      <c r="A41" s="17">
        <f>companies!A41</f>
        <v>40</v>
      </c>
      <c r="B41" s="16">
        <v>2019.0</v>
      </c>
      <c r="C41" s="24">
        <v>1.8372E10</v>
      </c>
      <c r="D41" s="24">
        <v>2.306E9</v>
      </c>
    </row>
    <row r="42" ht="12.75" hidden="1" customHeight="1">
      <c r="A42" s="17">
        <f>companies!A42</f>
        <v>41</v>
      </c>
      <c r="B42" s="16">
        <v>2019.0</v>
      </c>
      <c r="C42" s="24">
        <v>3.4438E10</v>
      </c>
      <c r="D42" s="24">
        <v>2.936E9</v>
      </c>
      <c r="E42" s="16"/>
      <c r="F42" s="16"/>
    </row>
    <row r="43" ht="12.75" hidden="1" customHeight="1">
      <c r="A43" s="17">
        <f>companies!A43</f>
        <v>42</v>
      </c>
      <c r="B43" s="16">
        <v>2019.0</v>
      </c>
      <c r="C43" s="24">
        <v>2.64938E11</v>
      </c>
      <c r="D43" s="24">
        <v>1.434E10</v>
      </c>
    </row>
    <row r="44" ht="12.75" hidden="1" customHeight="1">
      <c r="A44" s="17">
        <f>companies!A44</f>
        <v>43</v>
      </c>
      <c r="B44" s="16">
        <v>2019.0</v>
      </c>
      <c r="C44" s="24">
        <v>7.0697E10</v>
      </c>
      <c r="D44" s="24">
        <v>1.8485E10</v>
      </c>
    </row>
    <row r="45" ht="12.75" hidden="1" customHeight="1">
      <c r="A45" s="17">
        <f>companies!A45</f>
        <v>44</v>
      </c>
      <c r="B45" s="16">
        <v>2019.0</v>
      </c>
      <c r="C45" s="24">
        <v>6.9693E10</v>
      </c>
      <c r="D45" s="24">
        <v>5.4E8</v>
      </c>
      <c r="E45" s="16"/>
      <c r="F45" s="16"/>
    </row>
    <row r="46" ht="12.75" hidden="1" customHeight="1">
      <c r="A46" s="17">
        <f>companies!A46</f>
        <v>45</v>
      </c>
      <c r="B46" s="16">
        <v>2019.0</v>
      </c>
      <c r="C46" s="24">
        <v>1.559E11</v>
      </c>
      <c r="D46" s="24">
        <v>4.7E7</v>
      </c>
      <c r="E46" s="16"/>
      <c r="F46" s="16"/>
    </row>
    <row r="47" ht="12.75" hidden="1" customHeight="1">
      <c r="A47" s="17">
        <f>companies!A47</f>
        <v>46</v>
      </c>
      <c r="B47" s="16">
        <v>2019.0</v>
      </c>
      <c r="C47" s="24">
        <v>3.935E10</v>
      </c>
      <c r="D47" s="24">
        <v>3.484E9</v>
      </c>
      <c r="E47" s="16"/>
      <c r="F47" s="16"/>
    </row>
    <row r="48" ht="12.75" hidden="1" customHeight="1">
      <c r="A48" s="17">
        <f>companies!A48</f>
        <v>47</v>
      </c>
      <c r="B48" s="16">
        <v>2019.0</v>
      </c>
      <c r="C48" s="24">
        <v>9.5214E10</v>
      </c>
      <c r="D48" s="24">
        <v>-5.439E9</v>
      </c>
      <c r="E48" s="16"/>
      <c r="F48" s="16"/>
    </row>
    <row r="49" ht="12.75" hidden="1" customHeight="1">
      <c r="A49" s="17">
        <f>companies!A49</f>
        <v>48</v>
      </c>
      <c r="B49" s="16">
        <v>2019.0</v>
      </c>
      <c r="C49" s="24">
        <v>1.37237E11</v>
      </c>
      <c r="D49" s="24">
        <v>6.581E9</v>
      </c>
      <c r="E49" s="16"/>
      <c r="F49" s="16"/>
    </row>
    <row r="50" ht="12.75" hidden="1" customHeight="1">
      <c r="A50" s="17">
        <f>companies!A50</f>
        <v>49</v>
      </c>
      <c r="B50" s="16">
        <v>2019.0</v>
      </c>
      <c r="C50" s="24">
        <v>2.2449E10</v>
      </c>
      <c r="D50" s="24">
        <v>5.386E9</v>
      </c>
      <c r="E50" s="16"/>
      <c r="F50" s="16"/>
    </row>
    <row r="51" ht="12.75" hidden="1" customHeight="1">
      <c r="A51" s="17">
        <f>companies!A51</f>
        <v>50</v>
      </c>
      <c r="B51" s="16">
        <v>2019.0</v>
      </c>
      <c r="C51" s="24">
        <v>3.6546E10</v>
      </c>
      <c r="D51" s="24">
        <v>8.47E9</v>
      </c>
      <c r="E51" s="16"/>
      <c r="F51" s="16"/>
    </row>
    <row r="52" ht="12.75" hidden="1" customHeight="1">
      <c r="A52" s="17">
        <f>companies!A52</f>
        <v>51</v>
      </c>
      <c r="B52" s="16">
        <v>2019.0</v>
      </c>
      <c r="C52" s="24">
        <v>1.102E11</v>
      </c>
      <c r="D52" s="24">
        <v>1.124E10</v>
      </c>
      <c r="E52" s="16"/>
      <c r="F52" s="16"/>
    </row>
    <row r="53" ht="12.75" hidden="1" customHeight="1">
      <c r="A53" s="17">
        <f>companies!A53</f>
        <v>52</v>
      </c>
      <c r="B53" s="16">
        <v>2019.0</v>
      </c>
      <c r="C53" s="24">
        <v>3.6709E10</v>
      </c>
      <c r="D53" s="24">
        <v>6.143E9</v>
      </c>
      <c r="E53" s="16"/>
      <c r="F53" s="16"/>
    </row>
    <row r="54" ht="12.75" hidden="1" customHeight="1">
      <c r="A54" s="17">
        <f>companies!A54</f>
        <v>53</v>
      </c>
      <c r="B54" s="16">
        <v>2019.0</v>
      </c>
      <c r="C54" s="24">
        <v>7.714E10</v>
      </c>
      <c r="D54" s="24">
        <v>9.43E9</v>
      </c>
      <c r="E54" s="16"/>
      <c r="F54" s="16"/>
    </row>
    <row r="55" ht="12.75" hidden="1" customHeight="1">
      <c r="A55" s="17">
        <f>companies!A55</f>
        <v>54</v>
      </c>
      <c r="B55" s="16">
        <v>2019.0</v>
      </c>
      <c r="C55" s="24">
        <v>7.19E10</v>
      </c>
      <c r="D55" s="24">
        <v>2.1E10</v>
      </c>
      <c r="E55" s="16"/>
      <c r="F55" s="16"/>
    </row>
    <row r="56" ht="12.75" hidden="1" customHeight="1">
      <c r="A56" s="17">
        <f>companies!A56</f>
        <v>55</v>
      </c>
      <c r="B56" s="16">
        <v>2019.0</v>
      </c>
      <c r="C56" s="24">
        <v>8.206E10</v>
      </c>
      <c r="D56" s="24">
        <v>1.512E10</v>
      </c>
      <c r="E56" s="16"/>
      <c r="F56" s="16"/>
    </row>
    <row r="57" ht="12.75" hidden="1" customHeight="1">
      <c r="A57" s="17">
        <f>companies!A57</f>
        <v>56</v>
      </c>
      <c r="B57" s="16">
        <v>2019.0</v>
      </c>
      <c r="C57" s="24">
        <v>1.156E11</v>
      </c>
      <c r="D57" s="24">
        <v>3.643E10</v>
      </c>
      <c r="E57" s="16"/>
      <c r="F57" s="16"/>
    </row>
    <row r="58" ht="12.75" hidden="1" customHeight="1">
      <c r="A58" s="17">
        <f>companies!A58</f>
        <v>57</v>
      </c>
      <c r="B58" s="16">
        <v>2019.0</v>
      </c>
      <c r="C58" s="24">
        <v>1.3209E10</v>
      </c>
      <c r="D58" s="24">
        <v>2.19E9</v>
      </c>
    </row>
    <row r="59" ht="12.75" hidden="1" customHeight="1">
      <c r="A59" s="17">
        <f>companies!A59</f>
        <v>58</v>
      </c>
      <c r="B59" s="16">
        <v>2019.0</v>
      </c>
      <c r="C59" s="24">
        <v>2.497E10</v>
      </c>
      <c r="D59" s="24">
        <v>1.935E9</v>
      </c>
      <c r="E59" s="16"/>
      <c r="F59" s="16"/>
    </row>
    <row r="60" ht="12.75" hidden="1" customHeight="1">
      <c r="A60" s="17">
        <f>companies!A60</f>
        <v>59</v>
      </c>
      <c r="B60" s="16">
        <v>2019.0</v>
      </c>
      <c r="C60" s="24">
        <v>5.981E10</v>
      </c>
      <c r="D60" s="24">
        <v>6.23E9</v>
      </c>
      <c r="E60" s="16"/>
      <c r="F60" s="16"/>
    </row>
    <row r="61" ht="12.75" hidden="1" customHeight="1">
      <c r="A61" s="17">
        <f>companies!A61</f>
        <v>60</v>
      </c>
      <c r="B61" s="16">
        <v>2019.0</v>
      </c>
      <c r="C61" s="24">
        <v>7.13E10</v>
      </c>
      <c r="D61" s="24">
        <v>2.307E9</v>
      </c>
      <c r="E61" s="16"/>
      <c r="F61" s="16"/>
    </row>
    <row r="62" ht="12.75" hidden="1" customHeight="1">
      <c r="A62" s="17">
        <f>companies!A62</f>
        <v>61</v>
      </c>
      <c r="B62" s="16">
        <v>2019.0</v>
      </c>
      <c r="C62" s="24">
        <v>1.6883E10</v>
      </c>
      <c r="D62" s="24">
        <v>8.12E9</v>
      </c>
      <c r="E62" s="16"/>
      <c r="F62" s="16"/>
    </row>
    <row r="63" ht="12.75" hidden="1" customHeight="1">
      <c r="A63" s="17">
        <f>companies!A63</f>
        <v>62</v>
      </c>
      <c r="B63" s="16">
        <v>2019.0</v>
      </c>
      <c r="C63" s="24">
        <v>2.1076E10</v>
      </c>
      <c r="D63" s="24">
        <v>6.025E9</v>
      </c>
      <c r="E63" s="16"/>
      <c r="F63" s="16"/>
    </row>
    <row r="64" ht="12.75" hidden="1" customHeight="1">
      <c r="A64" s="17">
        <f>companies!A64</f>
        <v>63</v>
      </c>
      <c r="B64" s="16">
        <v>2019.0</v>
      </c>
      <c r="C64" s="24">
        <v>3.0557E10</v>
      </c>
      <c r="D64" s="24">
        <v>4.631E9</v>
      </c>
      <c r="E64" s="16"/>
      <c r="F64" s="16"/>
    </row>
    <row r="65" ht="12.75" hidden="1" customHeight="1">
      <c r="A65" s="17">
        <f>companies!A65</f>
        <v>64</v>
      </c>
      <c r="B65" s="16">
        <v>2019.0</v>
      </c>
      <c r="C65" s="24">
        <v>4.229E10</v>
      </c>
      <c r="D65" s="24">
        <v>6.22E9</v>
      </c>
      <c r="E65" s="16"/>
      <c r="F65" s="16"/>
    </row>
    <row r="66" ht="12.75" hidden="1" customHeight="1">
      <c r="A66" s="17">
        <f>companies!A66</f>
        <v>65</v>
      </c>
      <c r="B66" s="16">
        <v>2019.0</v>
      </c>
      <c r="C66" s="24">
        <v>6.7941E10</v>
      </c>
      <c r="D66" s="24">
        <v>5.07E9</v>
      </c>
      <c r="E66" s="16"/>
      <c r="F66" s="16"/>
    </row>
    <row r="67" ht="12.75" hidden="1" customHeight="1">
      <c r="A67" s="17">
        <f>companies!A67</f>
        <v>66</v>
      </c>
      <c r="B67" s="16">
        <v>2019.0</v>
      </c>
      <c r="C67" s="24">
        <v>1.258E11</v>
      </c>
      <c r="D67" s="24">
        <v>3.924E10</v>
      </c>
      <c r="E67" s="16"/>
      <c r="F67" s="16"/>
    </row>
    <row r="68" ht="12.75" hidden="1" customHeight="1">
      <c r="A68" s="17">
        <f>companies!A68</f>
        <v>67</v>
      </c>
      <c r="B68" s="16">
        <v>2019.0</v>
      </c>
      <c r="C68" s="24">
        <v>2.587E10</v>
      </c>
      <c r="D68" s="24">
        <v>3.87E9</v>
      </c>
      <c r="E68" s="16"/>
      <c r="F68" s="16"/>
    </row>
    <row r="69" ht="12.75" hidden="1" customHeight="1">
      <c r="A69" s="17">
        <f>companies!A69</f>
        <v>68</v>
      </c>
      <c r="B69" s="16">
        <v>2019.0</v>
      </c>
      <c r="C69" s="24">
        <v>4.1419E10</v>
      </c>
      <c r="D69" s="24">
        <v>8.512E9</v>
      </c>
      <c r="E69" s="16"/>
      <c r="F69" s="16"/>
    </row>
    <row r="70" ht="12.75" hidden="1" customHeight="1">
      <c r="A70" s="17">
        <f>companies!A70</f>
        <v>69</v>
      </c>
      <c r="B70" s="16">
        <v>2019.0</v>
      </c>
      <c r="C70" s="24">
        <v>2.016E10</v>
      </c>
      <c r="D70" s="24">
        <v>1.866E9</v>
      </c>
    </row>
    <row r="71" ht="12.75" hidden="1" customHeight="1">
      <c r="A71" s="17">
        <f>companies!A71</f>
        <v>70</v>
      </c>
      <c r="B71" s="16">
        <v>2019.0</v>
      </c>
      <c r="C71" s="24">
        <v>1.9204E10</v>
      </c>
      <c r="D71" s="24">
        <v>3.769E9</v>
      </c>
    </row>
    <row r="72" ht="12.75" hidden="1" customHeight="1">
      <c r="A72" s="17">
        <f>companies!A72</f>
        <v>71</v>
      </c>
      <c r="B72" s="16">
        <v>2019.0</v>
      </c>
      <c r="C72" s="24">
        <v>3.91E10</v>
      </c>
      <c r="D72" s="24">
        <v>4.0E9</v>
      </c>
      <c r="E72" s="16"/>
      <c r="F72" s="16"/>
    </row>
    <row r="73" ht="12.75" hidden="1" customHeight="1">
      <c r="A73" s="17">
        <f>companies!A73</f>
        <v>72</v>
      </c>
      <c r="B73" s="16">
        <v>2019.0</v>
      </c>
      <c r="C73" s="24">
        <v>1.172E10</v>
      </c>
      <c r="D73" s="24">
        <v>4.141E9</v>
      </c>
      <c r="E73" s="16"/>
      <c r="F73" s="16"/>
    </row>
    <row r="74" ht="12.75" hidden="1" customHeight="1">
      <c r="A74" s="17">
        <f>companies!A74</f>
        <v>73</v>
      </c>
      <c r="B74" s="16">
        <v>2019.0</v>
      </c>
      <c r="C74" s="24">
        <v>2.123E10</v>
      </c>
      <c r="D74" s="24">
        <v>-6.52E8</v>
      </c>
      <c r="E74" s="16"/>
      <c r="F74" s="16"/>
    </row>
    <row r="75" ht="12.75" hidden="1" customHeight="1">
      <c r="A75" s="17">
        <f>companies!A75</f>
        <v>74</v>
      </c>
      <c r="B75" s="16">
        <v>2019.0</v>
      </c>
      <c r="C75" s="24">
        <v>3.95E10</v>
      </c>
      <c r="D75" s="24">
        <v>1.108E10</v>
      </c>
      <c r="E75" s="16"/>
      <c r="F75" s="16"/>
    </row>
    <row r="76" ht="12.75" hidden="1" customHeight="1">
      <c r="A76" s="17">
        <f>companies!A76</f>
        <v>75</v>
      </c>
      <c r="B76" s="16">
        <v>2019.0</v>
      </c>
      <c r="C76" s="24">
        <v>1.777E10</v>
      </c>
      <c r="D76" s="24">
        <v>2.459E9</v>
      </c>
      <c r="E76" s="16"/>
      <c r="F76" s="16"/>
    </row>
    <row r="77" ht="12.75" hidden="1" customHeight="1">
      <c r="A77" s="17">
        <f>companies!A77</f>
        <v>76</v>
      </c>
      <c r="B77" s="16">
        <v>2019.0</v>
      </c>
      <c r="C77" s="24">
        <v>6.716E10</v>
      </c>
      <c r="D77" s="24">
        <v>7.353E9</v>
      </c>
      <c r="E77" s="16"/>
      <c r="F77" s="16"/>
    </row>
    <row r="78" ht="12.75" hidden="1" customHeight="1">
      <c r="A78" s="17">
        <f>companies!A78</f>
        <v>77</v>
      </c>
      <c r="B78" s="16">
        <v>2019.0</v>
      </c>
      <c r="C78" s="24">
        <v>5.175E10</v>
      </c>
      <c r="D78" s="24">
        <v>1.627E10</v>
      </c>
      <c r="E78" s="16"/>
      <c r="F78" s="16"/>
    </row>
    <row r="79" ht="12.75" hidden="1" customHeight="1">
      <c r="A79" s="17">
        <f>companies!A79</f>
        <v>78</v>
      </c>
      <c r="B79" s="16">
        <v>2019.0</v>
      </c>
      <c r="C79" s="24">
        <v>7.982E10</v>
      </c>
      <c r="D79" s="24">
        <v>7.91E9</v>
      </c>
      <c r="E79" s="16"/>
      <c r="F79" s="16"/>
    </row>
    <row r="80" ht="12.75" hidden="1" customHeight="1">
      <c r="A80" s="17">
        <f>companies!A80</f>
        <v>79</v>
      </c>
      <c r="B80" s="16">
        <v>2019.0</v>
      </c>
      <c r="C80" s="24">
        <v>6.768E10</v>
      </c>
      <c r="D80" s="24">
        <v>3.89E9</v>
      </c>
      <c r="E80" s="16"/>
      <c r="F80" s="16"/>
    </row>
    <row r="81" ht="12.75" hidden="1" customHeight="1">
      <c r="A81" s="17">
        <f>companies!A81</f>
        <v>80</v>
      </c>
      <c r="B81" s="16">
        <v>2019.0</v>
      </c>
      <c r="C81" s="24">
        <v>2.427E10</v>
      </c>
      <c r="D81" s="24">
        <v>4.39E9</v>
      </c>
      <c r="E81" s="16"/>
      <c r="F81" s="16"/>
    </row>
    <row r="82" ht="12.75" hidden="1" customHeight="1">
      <c r="A82" s="17">
        <f>companies!A82</f>
        <v>81</v>
      </c>
      <c r="B82" s="16">
        <v>2019.0</v>
      </c>
      <c r="C82" s="24">
        <v>2.9176E10</v>
      </c>
      <c r="D82" s="24">
        <v>3.343E9</v>
      </c>
    </row>
    <row r="83" ht="12.75" hidden="1" customHeight="1">
      <c r="A83" s="17">
        <f>companies!A83</f>
        <v>82</v>
      </c>
      <c r="B83" s="16">
        <v>2019.0</v>
      </c>
      <c r="C83" s="24">
        <v>1.328E10</v>
      </c>
      <c r="D83" s="24">
        <v>1.11E9</v>
      </c>
      <c r="E83" s="16"/>
      <c r="F83" s="16"/>
    </row>
    <row r="84" ht="12.75" hidden="1" customHeight="1">
      <c r="A84" s="17">
        <f>companies!A84</f>
        <v>83</v>
      </c>
      <c r="B84" s="16">
        <v>2019.0</v>
      </c>
      <c r="C84" s="24">
        <v>3.29E10</v>
      </c>
      <c r="D84" s="24">
        <v>-1.0137E10</v>
      </c>
    </row>
    <row r="85" ht="12.75" hidden="1" customHeight="1">
      <c r="A85" s="17">
        <f>companies!A85</f>
        <v>84</v>
      </c>
      <c r="B85" s="16">
        <v>2019.0</v>
      </c>
      <c r="C85" s="24">
        <v>5.755E9</v>
      </c>
      <c r="D85" s="24">
        <v>2.098E9</v>
      </c>
      <c r="E85" s="16"/>
      <c r="F85" s="16"/>
    </row>
    <row r="86" ht="12.75" hidden="1" customHeight="1">
      <c r="A86" s="17">
        <f>companies!A86</f>
        <v>85</v>
      </c>
      <c r="B86" s="16">
        <v>2019.0</v>
      </c>
      <c r="C86" s="24">
        <v>2.1419E10</v>
      </c>
      <c r="D86" s="24">
        <v>3.25E9</v>
      </c>
      <c r="E86" s="16"/>
      <c r="F86" s="16"/>
    </row>
    <row r="87" ht="12.75" hidden="1" customHeight="1">
      <c r="A87" s="17">
        <f>companies!A87</f>
        <v>86</v>
      </c>
      <c r="B87" s="16">
        <v>2019.0</v>
      </c>
      <c r="C87" s="24">
        <v>2.651E10</v>
      </c>
      <c r="D87" s="24">
        <v>3.6E9</v>
      </c>
      <c r="E87" s="16"/>
      <c r="F87" s="16"/>
    </row>
    <row r="88" ht="12.75" hidden="1" customHeight="1">
      <c r="A88" s="17">
        <f>companies!A88</f>
        <v>87</v>
      </c>
      <c r="B88" s="16">
        <v>2019.0</v>
      </c>
      <c r="C88" s="24">
        <v>7.81E10</v>
      </c>
      <c r="D88" s="24">
        <v>3.269E9</v>
      </c>
      <c r="E88" s="16"/>
      <c r="F88" s="16"/>
    </row>
    <row r="89" ht="12.75" hidden="1" customHeight="1">
      <c r="A89" s="17">
        <f>companies!A89</f>
        <v>88</v>
      </c>
      <c r="B89" s="16">
        <v>2019.0</v>
      </c>
      <c r="C89" s="24">
        <v>1.4318E10</v>
      </c>
      <c r="D89" s="24">
        <v>5.02E9</v>
      </c>
      <c r="E89" s="16"/>
      <c r="F89" s="16"/>
    </row>
    <row r="90" ht="12.75" hidden="1" customHeight="1">
      <c r="A90" s="17">
        <f>companies!A90</f>
        <v>89</v>
      </c>
      <c r="B90" s="16">
        <v>2019.0</v>
      </c>
      <c r="C90" s="24">
        <v>2.082E10</v>
      </c>
      <c r="D90" s="24">
        <v>4.25E9</v>
      </c>
      <c r="E90" s="16"/>
      <c r="F90" s="16"/>
    </row>
    <row r="91" ht="12.75" hidden="1" customHeight="1">
      <c r="A91" s="17">
        <f>companies!A91</f>
        <v>90</v>
      </c>
      <c r="B91" s="16">
        <v>2019.0</v>
      </c>
      <c r="C91" s="24">
        <v>6.957E10</v>
      </c>
      <c r="D91" s="24">
        <v>1.105E10</v>
      </c>
      <c r="E91" s="16"/>
      <c r="F91" s="16"/>
    </row>
    <row r="92" ht="12.75" hidden="1" customHeight="1">
      <c r="A92" s="17">
        <f>companies!A92</f>
        <v>91</v>
      </c>
      <c r="B92" s="16">
        <v>2019.0</v>
      </c>
      <c r="C92" s="24">
        <v>2.554E10</v>
      </c>
      <c r="D92" s="24">
        <v>3.696E9</v>
      </c>
    </row>
    <row r="93" ht="12.75" hidden="1" customHeight="1">
      <c r="A93" s="17">
        <f>companies!A93</f>
        <v>92</v>
      </c>
      <c r="B93" s="16">
        <v>2019.0</v>
      </c>
      <c r="C93" s="24">
        <v>2.17E10</v>
      </c>
      <c r="D93" s="24">
        <v>5.9E9</v>
      </c>
      <c r="E93" s="16"/>
      <c r="F93" s="16"/>
    </row>
    <row r="94" ht="12.75" hidden="1" customHeight="1">
      <c r="A94" s="17">
        <f>companies!A94</f>
        <v>93</v>
      </c>
      <c r="B94" s="16">
        <v>2019.0</v>
      </c>
      <c r="C94" s="24">
        <v>2.422E11</v>
      </c>
      <c r="D94" s="24">
        <v>1.424E10</v>
      </c>
      <c r="E94" s="16"/>
      <c r="F94" s="16"/>
    </row>
    <row r="95" ht="12.75" hidden="1" customHeight="1">
      <c r="A95" s="17">
        <f>companies!A95</f>
        <v>94</v>
      </c>
      <c r="B95" s="16">
        <v>2019.0</v>
      </c>
      <c r="C95" s="24">
        <v>7.4094E10</v>
      </c>
      <c r="D95" s="24">
        <v>4.4E9</v>
      </c>
      <c r="E95" s="16"/>
      <c r="F95" s="16"/>
    </row>
    <row r="96" ht="12.75" hidden="1" customHeight="1">
      <c r="A96" s="17">
        <f>companies!A96</f>
        <v>95</v>
      </c>
      <c r="B96" s="16">
        <v>2019.0</v>
      </c>
      <c r="C96" s="24">
        <v>2.5775E10</v>
      </c>
      <c r="D96" s="24">
        <v>6.914E9</v>
      </c>
      <c r="E96" s="16"/>
      <c r="F96" s="16"/>
    </row>
    <row r="97" ht="12.75" hidden="1" customHeight="1">
      <c r="A97" s="17">
        <f>companies!A97</f>
        <v>96</v>
      </c>
      <c r="B97" s="16">
        <v>2019.0</v>
      </c>
      <c r="C97" s="24">
        <v>1.3186E11</v>
      </c>
      <c r="D97" s="24">
        <v>1.979E10</v>
      </c>
      <c r="E97" s="16"/>
      <c r="F97" s="16"/>
    </row>
    <row r="98" ht="12.75" hidden="1" customHeight="1">
      <c r="A98" s="17">
        <f>companies!A98</f>
        <v>97</v>
      </c>
      <c r="B98" s="16">
        <v>2019.0</v>
      </c>
      <c r="C98" s="24">
        <v>2.3E10</v>
      </c>
      <c r="D98" s="24">
        <v>1.21E10</v>
      </c>
      <c r="E98" s="16"/>
      <c r="F98" s="16"/>
    </row>
    <row r="99" ht="12.75" hidden="1" customHeight="1">
      <c r="A99" s="17">
        <f>companies!A99</f>
        <v>98</v>
      </c>
      <c r="B99" s="16">
        <v>2019.0</v>
      </c>
      <c r="C99" s="24">
        <v>1.369E11</v>
      </c>
      <c r="D99" s="24">
        <v>3.9E9</v>
      </c>
      <c r="E99" s="16"/>
      <c r="F99" s="16"/>
    </row>
    <row r="100" ht="12.75" hidden="1" customHeight="1">
      <c r="A100" s="17">
        <f>companies!A100</f>
        <v>99</v>
      </c>
      <c r="B100" s="16">
        <v>2019.0</v>
      </c>
      <c r="C100" s="24">
        <v>5.24E11</v>
      </c>
      <c r="D100" s="24">
        <v>1.488E10</v>
      </c>
      <c r="E100" s="16"/>
      <c r="F100" s="16"/>
    </row>
    <row r="101" ht="12.75" hidden="1" customHeight="1">
      <c r="A101" s="17">
        <f>companies!A101</f>
        <v>100</v>
      </c>
      <c r="B101" s="16">
        <v>2019.0</v>
      </c>
      <c r="C101" s="24">
        <v>8.506E10</v>
      </c>
      <c r="D101" s="24">
        <v>1.955E10</v>
      </c>
      <c r="E101" s="16"/>
      <c r="F101" s="16"/>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F$101">
    <filterColumn colId="5">
      <customFilters>
        <customFilter operator="notEqual" val=" "/>
      </customFilters>
    </filterColumn>
  </autoFilter>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86"/>
    <col customWidth="1" min="2" max="23" width="12.14"/>
    <col customWidth="1" min="24" max="29" width="10.57"/>
    <col customWidth="1" min="30" max="30" width="18.14"/>
    <col customWidth="1" min="31" max="31" width="18.43"/>
    <col customWidth="1" min="32" max="32" width="23.43"/>
    <col customWidth="1" min="33" max="33" width="27.29"/>
    <col customWidth="1" min="34" max="34" width="29.0"/>
    <col customWidth="1" min="35" max="36" width="20.86"/>
    <col customWidth="1" min="37" max="38" width="15.14"/>
    <col customWidth="1" min="39" max="39" width="23.43"/>
    <col customWidth="1" min="40" max="40" width="19.43"/>
    <col customWidth="1" min="41" max="41" width="21.0"/>
    <col customWidth="1" min="42" max="42" width="19.43"/>
    <col customWidth="1" min="43" max="43" width="21.0"/>
    <col customWidth="1" min="44" max="44" width="23.43"/>
    <col customWidth="1" min="45" max="45" width="19.43"/>
    <col customWidth="1" min="46" max="46" width="21.0"/>
    <col customWidth="1" min="47" max="60" width="8.71"/>
    <col customWidth="1" min="61" max="61" width="12.86"/>
  </cols>
  <sheetData>
    <row r="1" ht="12.75" customHeight="1">
      <c r="A1" s="25" t="s">
        <v>2</v>
      </c>
      <c r="B1" s="25" t="s">
        <v>1025</v>
      </c>
      <c r="C1" s="26" t="s">
        <v>1028</v>
      </c>
      <c r="D1" s="26" t="s">
        <v>1029</v>
      </c>
      <c r="E1" s="26" t="s">
        <v>1030</v>
      </c>
      <c r="F1" s="26" t="s">
        <v>1031</v>
      </c>
      <c r="G1" s="26" t="s">
        <v>1032</v>
      </c>
      <c r="H1" s="26" t="s">
        <v>1033</v>
      </c>
      <c r="I1" s="26" t="s">
        <v>1034</v>
      </c>
      <c r="J1" s="26" t="s">
        <v>1035</v>
      </c>
      <c r="K1" s="26" t="s">
        <v>1036</v>
      </c>
      <c r="L1" s="26" t="s">
        <v>1037</v>
      </c>
      <c r="M1" s="26" t="s">
        <v>1038</v>
      </c>
      <c r="N1" s="26" t="s">
        <v>1039</v>
      </c>
      <c r="O1" s="26" t="s">
        <v>1040</v>
      </c>
      <c r="P1" s="26" t="s">
        <v>1041</v>
      </c>
      <c r="Q1" s="26" t="s">
        <v>1042</v>
      </c>
      <c r="R1" s="26" t="s">
        <v>1043</v>
      </c>
      <c r="S1" s="26" t="s">
        <v>1044</v>
      </c>
      <c r="T1" s="26" t="s">
        <v>1045</v>
      </c>
      <c r="U1" s="26" t="s">
        <v>1046</v>
      </c>
      <c r="V1" s="26" t="s">
        <v>1047</v>
      </c>
      <c r="W1" s="26" t="s">
        <v>1048</v>
      </c>
      <c r="X1" s="27"/>
      <c r="Y1" s="27"/>
      <c r="Z1" s="27"/>
      <c r="AA1" s="27"/>
      <c r="AB1" s="27"/>
      <c r="AC1" s="27"/>
      <c r="AD1" s="23" t="s">
        <v>1049</v>
      </c>
      <c r="AE1" s="23" t="s">
        <v>1050</v>
      </c>
      <c r="AF1" s="27" t="s">
        <v>1051</v>
      </c>
      <c r="AG1" s="23" t="s">
        <v>1052</v>
      </c>
      <c r="AH1" s="23" t="s">
        <v>1053</v>
      </c>
      <c r="AI1" s="28"/>
      <c r="AJ1" s="28"/>
      <c r="AK1" s="23" t="s">
        <v>1054</v>
      </c>
      <c r="AL1" s="23" t="s">
        <v>1055</v>
      </c>
      <c r="AM1" s="27" t="s">
        <v>1056</v>
      </c>
      <c r="AN1" s="23" t="s">
        <v>1057</v>
      </c>
      <c r="AO1" s="23" t="s">
        <v>1058</v>
      </c>
      <c r="AP1" s="23" t="s">
        <v>1057</v>
      </c>
      <c r="AQ1" s="23" t="s">
        <v>1058</v>
      </c>
      <c r="AR1" s="27" t="s">
        <v>1059</v>
      </c>
      <c r="AS1" s="23" t="s">
        <v>1057</v>
      </c>
      <c r="AT1" s="23" t="s">
        <v>1058</v>
      </c>
      <c r="BI1" s="18" t="s">
        <v>821</v>
      </c>
    </row>
    <row r="2" ht="12.75" customHeight="1">
      <c r="A2" s="17">
        <f>companies!A2</f>
        <v>1</v>
      </c>
      <c r="B2" s="19" t="s">
        <v>1060</v>
      </c>
      <c r="C2" s="19">
        <v>4050000.0</v>
      </c>
      <c r="D2" s="19">
        <v>1780000.0</v>
      </c>
      <c r="E2" s="19">
        <v>1320000.0</v>
      </c>
      <c r="F2" s="19">
        <v>6140000.0</v>
      </c>
      <c r="G2" s="19">
        <v>556000.0</v>
      </c>
      <c r="H2" s="19">
        <v>578000.0</v>
      </c>
      <c r="I2" s="19">
        <v>1070000.0</v>
      </c>
      <c r="J2" s="19">
        <v>192000.0</v>
      </c>
      <c r="K2" s="19">
        <v>52800.0</v>
      </c>
      <c r="L2" s="19">
        <v>336000.0</v>
      </c>
      <c r="M2" s="29" t="s">
        <v>25</v>
      </c>
      <c r="N2" s="29" t="s">
        <v>25</v>
      </c>
      <c r="O2" s="29" t="s">
        <v>25</v>
      </c>
      <c r="P2" s="29" t="s">
        <v>25</v>
      </c>
      <c r="Q2" s="29" t="s">
        <v>25</v>
      </c>
      <c r="R2" s="19">
        <v>1000.0</v>
      </c>
      <c r="S2" s="29" t="s">
        <v>25</v>
      </c>
      <c r="T2" s="29" t="s">
        <v>25</v>
      </c>
      <c r="U2" s="29" t="s">
        <v>25</v>
      </c>
      <c r="V2" s="29" t="s">
        <v>25</v>
      </c>
      <c r="W2" s="29">
        <f t="shared" ref="W2:W101" si="1">SUM(F2:V2)</f>
        <v>8925800</v>
      </c>
      <c r="X2" s="19"/>
      <c r="Y2" s="19"/>
      <c r="Z2" s="19"/>
      <c r="AA2" s="19"/>
      <c r="AB2" s="19"/>
      <c r="AC2" s="19"/>
      <c r="AD2" s="29" t="s">
        <v>25</v>
      </c>
      <c r="AE2" s="29" t="s">
        <v>25</v>
      </c>
      <c r="AF2" s="30" t="str">
        <f>Table1[[#This Row],[2019 Scope 1 (MeT Co2)]]</f>
        <v>#ERROR!</v>
      </c>
      <c r="AG2" s="31" t="str">
        <f t="shared" ref="AG2:AG101" si="2">C2-AF2</f>
        <v>#ERROR!</v>
      </c>
      <c r="AH2" s="32" t="str">
        <f t="shared" ref="AH2:AH101" si="3">AG2/C2</f>
        <v>#ERROR!</v>
      </c>
      <c r="AI2" s="28"/>
      <c r="AJ2" s="28"/>
      <c r="AK2" s="29" t="s">
        <v>25</v>
      </c>
      <c r="AL2" s="29" t="s">
        <v>25</v>
      </c>
      <c r="AM2" s="30" t="str">
        <f>Table1[[#This Row],[2019 Scope 2 ]]</f>
        <v>#ERROR!</v>
      </c>
      <c r="AN2" s="31" t="str">
        <f t="shared" ref="AN2:AN101" si="4">D2-AM2</f>
        <v>#ERROR!</v>
      </c>
      <c r="AO2" s="32" t="str">
        <f t="shared" ref="AO2:AO101" si="5">AN2/D2</f>
        <v>#ERROR!</v>
      </c>
      <c r="AP2" s="31" t="str">
        <f t="shared" ref="AP2:AP101" si="6">AM2-E2</f>
        <v>#ERROR!</v>
      </c>
      <c r="AQ2" s="32" t="str">
        <f t="shared" ref="AQ2:AQ101" si="7">AP2/E2</f>
        <v>#ERROR!</v>
      </c>
      <c r="AR2" s="33" t="str">
        <f>Table1[[#This Row],[2019 Scope 3 ]]</f>
        <v>#ERROR!</v>
      </c>
      <c r="AS2" s="34" t="str">
        <f t="shared" ref="AS2:AS101" si="8">W2-AR2</f>
        <v>#ERROR!</v>
      </c>
      <c r="AT2" s="35" t="str">
        <f t="shared" ref="AT2:AT101" si="9">AS2/W2</f>
        <v>#ERROR!</v>
      </c>
      <c r="BI2" s="16">
        <v>285.0</v>
      </c>
    </row>
    <row r="3" ht="12.75" customHeight="1">
      <c r="A3" s="17">
        <f>companies!A3</f>
        <v>2</v>
      </c>
      <c r="B3" s="19" t="s">
        <v>1060</v>
      </c>
      <c r="C3" s="19">
        <v>533000.0</v>
      </c>
      <c r="D3" s="19">
        <v>518000.0</v>
      </c>
      <c r="E3" s="19">
        <v>439000.0</v>
      </c>
      <c r="F3" s="19">
        <v>8382000.0</v>
      </c>
      <c r="G3" s="19">
        <v>2860000.0</v>
      </c>
      <c r="H3" s="19">
        <v>290000.0</v>
      </c>
      <c r="I3" s="19">
        <v>1501000.0</v>
      </c>
      <c r="J3" s="19">
        <v>15000.0</v>
      </c>
      <c r="K3" s="19">
        <v>332000.0</v>
      </c>
      <c r="L3" s="19">
        <v>306000.0</v>
      </c>
      <c r="M3" s="29" t="s">
        <v>25</v>
      </c>
      <c r="N3" s="29" t="s">
        <v>25</v>
      </c>
      <c r="O3" s="29" t="s">
        <v>25</v>
      </c>
      <c r="P3" s="29">
        <v>508000.0</v>
      </c>
      <c r="Q3" s="29">
        <v>169000.0</v>
      </c>
      <c r="R3" s="19" t="s">
        <v>25</v>
      </c>
      <c r="S3" s="29" t="s">
        <v>25</v>
      </c>
      <c r="T3" s="29" t="s">
        <v>25</v>
      </c>
      <c r="U3" s="29" t="s">
        <v>25</v>
      </c>
      <c r="V3" s="29" t="s">
        <v>25</v>
      </c>
      <c r="W3" s="29">
        <f t="shared" si="1"/>
        <v>14363000</v>
      </c>
      <c r="X3" s="19"/>
      <c r="Y3" s="19"/>
      <c r="Z3" s="19"/>
      <c r="AA3" s="19"/>
      <c r="AB3" s="19"/>
      <c r="AC3" s="19"/>
      <c r="AD3" s="29" t="s">
        <v>1061</v>
      </c>
      <c r="AE3" s="29" t="s">
        <v>1062</v>
      </c>
      <c r="AF3" s="30" t="str">
        <f>Table1[[#This Row],[2019 Scope 1 (MeT Co2)]]</f>
        <v>#ERROR!</v>
      </c>
      <c r="AG3" s="31" t="str">
        <f t="shared" si="2"/>
        <v>#ERROR!</v>
      </c>
      <c r="AH3" s="32" t="str">
        <f t="shared" si="3"/>
        <v>#ERROR!</v>
      </c>
      <c r="AI3" s="28"/>
      <c r="AJ3" s="28"/>
      <c r="AK3" s="29" t="s">
        <v>1061</v>
      </c>
      <c r="AL3" s="29" t="s">
        <v>1062</v>
      </c>
      <c r="AM3" s="30" t="str">
        <f>Table1[[#This Row],[2019 Scope 2 ]]</f>
        <v>#ERROR!</v>
      </c>
      <c r="AN3" s="31" t="str">
        <f t="shared" si="4"/>
        <v>#ERROR!</v>
      </c>
      <c r="AO3" s="32" t="str">
        <f t="shared" si="5"/>
        <v>#ERROR!</v>
      </c>
      <c r="AP3" s="31" t="str">
        <f t="shared" si="6"/>
        <v>#ERROR!</v>
      </c>
      <c r="AQ3" s="32" t="str">
        <f t="shared" si="7"/>
        <v>#ERROR!</v>
      </c>
      <c r="AR3" s="33" t="str">
        <f>Table1[[#This Row],[2019 Scope 3 ]]</f>
        <v>#ERROR!</v>
      </c>
      <c r="AS3" s="34" t="str">
        <f t="shared" si="8"/>
        <v>#ERROR!</v>
      </c>
      <c r="AT3" s="35" t="str">
        <f t="shared" si="9"/>
        <v>#ERROR!</v>
      </c>
      <c r="BI3" s="16">
        <v>64.0</v>
      </c>
    </row>
    <row r="4" ht="12.75" customHeight="1">
      <c r="A4" s="17">
        <f>companies!A4</f>
        <v>3</v>
      </c>
      <c r="B4" s="19" t="s">
        <v>1060</v>
      </c>
      <c r="C4" s="19">
        <v>314421.0</v>
      </c>
      <c r="D4" s="19">
        <v>308204.0</v>
      </c>
      <c r="E4" s="19">
        <v>249777.0</v>
      </c>
      <c r="F4" s="19">
        <v>990981.0</v>
      </c>
      <c r="G4" s="19">
        <v>20324.0</v>
      </c>
      <c r="H4" s="19" t="s">
        <v>25</v>
      </c>
      <c r="I4" s="19">
        <v>77371.0</v>
      </c>
      <c r="J4" s="19">
        <v>5483.0</v>
      </c>
      <c r="K4" s="19">
        <v>56303.0</v>
      </c>
      <c r="L4" s="19">
        <v>183747.0</v>
      </c>
      <c r="M4" s="29" t="s">
        <v>25</v>
      </c>
      <c r="N4" s="29" t="s">
        <v>25</v>
      </c>
      <c r="O4" s="29" t="s">
        <v>25</v>
      </c>
      <c r="P4" s="29" t="s">
        <v>25</v>
      </c>
      <c r="Q4" s="29" t="s">
        <v>25</v>
      </c>
      <c r="R4" s="19" t="s">
        <v>25</v>
      </c>
      <c r="S4" s="29" t="s">
        <v>25</v>
      </c>
      <c r="T4" s="29" t="s">
        <v>25</v>
      </c>
      <c r="U4" s="29" t="s">
        <v>25</v>
      </c>
      <c r="V4" s="29" t="s">
        <v>25</v>
      </c>
      <c r="W4" s="29">
        <f t="shared" si="1"/>
        <v>1334209</v>
      </c>
      <c r="X4" s="19"/>
      <c r="Y4" s="19"/>
      <c r="Z4" s="19"/>
      <c r="AA4" s="19"/>
      <c r="AB4" s="19"/>
      <c r="AC4" s="19"/>
      <c r="AD4" s="29" t="s">
        <v>25</v>
      </c>
      <c r="AE4" s="29" t="s">
        <v>25</v>
      </c>
      <c r="AF4" s="30" t="str">
        <f>Table1[[#This Row],[2019 Scope 1 (MeT Co2)]]</f>
        <v>#ERROR!</v>
      </c>
      <c r="AG4" s="31" t="str">
        <f t="shared" si="2"/>
        <v>#ERROR!</v>
      </c>
      <c r="AH4" s="32" t="str">
        <f t="shared" si="3"/>
        <v>#ERROR!</v>
      </c>
      <c r="AI4" s="28"/>
      <c r="AJ4" s="28"/>
      <c r="AK4" s="29" t="s">
        <v>25</v>
      </c>
      <c r="AL4" s="29" t="s">
        <v>25</v>
      </c>
      <c r="AM4" s="30" t="str">
        <f>Table1[[#This Row],[2019 Scope 2 ]]</f>
        <v>#ERROR!</v>
      </c>
      <c r="AN4" s="31" t="str">
        <f t="shared" si="4"/>
        <v>#ERROR!</v>
      </c>
      <c r="AO4" s="32" t="str">
        <f t="shared" si="5"/>
        <v>#ERROR!</v>
      </c>
      <c r="AP4" s="31" t="str">
        <f t="shared" si="6"/>
        <v>#ERROR!</v>
      </c>
      <c r="AQ4" s="32" t="str">
        <f t="shared" si="7"/>
        <v>#ERROR!</v>
      </c>
      <c r="AR4" s="33" t="str">
        <f>Table1[[#This Row],[2019 Scope 3 ]]</f>
        <v>#ERROR!</v>
      </c>
      <c r="AS4" s="34" t="str">
        <f t="shared" si="8"/>
        <v>#ERROR!</v>
      </c>
      <c r="AT4" s="35" t="str">
        <f t="shared" si="9"/>
        <v>#ERROR!</v>
      </c>
      <c r="BI4" s="16">
        <v>45103.0</v>
      </c>
    </row>
    <row r="5" ht="12.75" customHeight="1">
      <c r="A5" s="17">
        <f>companies!A5</f>
        <v>4</v>
      </c>
      <c r="B5" s="19" t="s">
        <v>1060</v>
      </c>
      <c r="C5" s="19">
        <v>18923.0</v>
      </c>
      <c r="D5" s="19">
        <v>281489.0</v>
      </c>
      <c r="E5" s="19">
        <v>214680.0</v>
      </c>
      <c r="F5" s="19">
        <v>423771.0</v>
      </c>
      <c r="G5" s="19" t="s">
        <v>25</v>
      </c>
      <c r="H5" s="19" t="s">
        <v>25</v>
      </c>
      <c r="I5" s="19" t="s">
        <v>25</v>
      </c>
      <c r="J5" s="19" t="s">
        <v>25</v>
      </c>
      <c r="K5" s="19">
        <v>508882.0</v>
      </c>
      <c r="L5" s="19" t="s">
        <v>25</v>
      </c>
      <c r="M5" s="29" t="s">
        <v>25</v>
      </c>
      <c r="N5" s="29" t="s">
        <v>25</v>
      </c>
      <c r="O5" s="29" t="s">
        <v>25</v>
      </c>
      <c r="P5" s="29" t="s">
        <v>25</v>
      </c>
      <c r="Q5" s="29" t="s">
        <v>25</v>
      </c>
      <c r="R5" s="19" t="s">
        <v>25</v>
      </c>
      <c r="S5" s="29" t="s">
        <v>25</v>
      </c>
      <c r="T5" s="29" t="s">
        <v>25</v>
      </c>
      <c r="U5" s="29" t="s">
        <v>25</v>
      </c>
      <c r="V5" s="29" t="s">
        <v>25</v>
      </c>
      <c r="W5" s="29">
        <f t="shared" si="1"/>
        <v>932653</v>
      </c>
      <c r="X5" s="19"/>
      <c r="Y5" s="19"/>
      <c r="Z5" s="19"/>
      <c r="AA5" s="19"/>
      <c r="AB5" s="19"/>
      <c r="AC5" s="19"/>
      <c r="AD5" s="29" t="s">
        <v>25</v>
      </c>
      <c r="AE5" s="29" t="s">
        <v>25</v>
      </c>
      <c r="AF5" s="30" t="str">
        <f>Table1[[#This Row],[2019 Scope 1 (MeT Co2)]]</f>
        <v>#ERROR!</v>
      </c>
      <c r="AG5" s="31" t="str">
        <f t="shared" si="2"/>
        <v>#ERROR!</v>
      </c>
      <c r="AH5" s="32" t="str">
        <f t="shared" si="3"/>
        <v>#ERROR!</v>
      </c>
      <c r="AI5" s="28"/>
      <c r="AJ5" s="28"/>
      <c r="AK5" s="29" t="s">
        <v>25</v>
      </c>
      <c r="AL5" s="29" t="s">
        <v>25</v>
      </c>
      <c r="AM5" s="30" t="str">
        <f>Table1[[#This Row],[2019 Scope 2 ]]</f>
        <v>#ERROR!</v>
      </c>
      <c r="AN5" s="31" t="str">
        <f t="shared" si="4"/>
        <v>#ERROR!</v>
      </c>
      <c r="AO5" s="32" t="str">
        <f t="shared" si="5"/>
        <v>#ERROR!</v>
      </c>
      <c r="AP5" s="31" t="str">
        <f t="shared" si="6"/>
        <v>#ERROR!</v>
      </c>
      <c r="AQ5" s="32" t="str">
        <f t="shared" si="7"/>
        <v>#ERROR!</v>
      </c>
      <c r="AR5" s="33" t="str">
        <f>Table1[[#This Row],[2019 Scope 3 ]]</f>
        <v>#ERROR!</v>
      </c>
      <c r="AS5" s="34" t="str">
        <f t="shared" si="8"/>
        <v>#ERROR!</v>
      </c>
      <c r="AT5" s="35" t="str">
        <f t="shared" si="9"/>
        <v>#ERROR!</v>
      </c>
      <c r="BI5" s="16">
        <v>21318.0</v>
      </c>
    </row>
    <row r="6" ht="12.75" customHeight="1">
      <c r="A6" s="17">
        <f>companies!A6</f>
        <v>5</v>
      </c>
      <c r="B6" s="19" t="s">
        <v>1060</v>
      </c>
      <c r="C6" s="19">
        <v>11816.0</v>
      </c>
      <c r="D6" s="19">
        <v>56113.0</v>
      </c>
      <c r="E6" s="19">
        <v>43526.0</v>
      </c>
      <c r="F6" s="19">
        <v>358472.0</v>
      </c>
      <c r="G6" s="19">
        <v>39706.0</v>
      </c>
      <c r="H6" s="19">
        <v>14180.0</v>
      </c>
      <c r="I6" s="19" t="s">
        <v>25</v>
      </c>
      <c r="J6" s="19">
        <v>57.87</v>
      </c>
      <c r="K6" s="19">
        <v>88959.0</v>
      </c>
      <c r="L6" s="19">
        <v>42037.0</v>
      </c>
      <c r="M6" s="29" t="s">
        <v>25</v>
      </c>
      <c r="N6" s="29" t="s">
        <v>25</v>
      </c>
      <c r="O6" s="29" t="s">
        <v>25</v>
      </c>
      <c r="P6" s="29" t="s">
        <v>25</v>
      </c>
      <c r="Q6" s="29" t="s">
        <v>25</v>
      </c>
      <c r="R6" s="19" t="s">
        <v>25</v>
      </c>
      <c r="S6" s="29" t="s">
        <v>25</v>
      </c>
      <c r="T6" s="29" t="s">
        <v>25</v>
      </c>
      <c r="U6" s="29" t="s">
        <v>25</v>
      </c>
      <c r="V6" s="29" t="s">
        <v>25</v>
      </c>
      <c r="W6" s="29">
        <f t="shared" si="1"/>
        <v>543411.87</v>
      </c>
      <c r="X6" s="19"/>
      <c r="Y6" s="19"/>
      <c r="Z6" s="19"/>
      <c r="AA6" s="19"/>
      <c r="AB6" s="19"/>
      <c r="AC6" s="19"/>
      <c r="AD6" s="29" t="s">
        <v>1063</v>
      </c>
      <c r="AE6" s="29" t="s">
        <v>1064</v>
      </c>
      <c r="AF6" s="30" t="str">
        <f>Table1[[#This Row],[2019 Scope 1 (MeT Co2)]]</f>
        <v>#ERROR!</v>
      </c>
      <c r="AG6" s="31" t="str">
        <f t="shared" si="2"/>
        <v>#ERROR!</v>
      </c>
      <c r="AH6" s="32" t="str">
        <f t="shared" si="3"/>
        <v>#ERROR!</v>
      </c>
      <c r="AI6" s="28"/>
      <c r="AJ6" s="28"/>
      <c r="AK6" s="29" t="s">
        <v>1063</v>
      </c>
      <c r="AL6" s="29" t="s">
        <v>1064</v>
      </c>
      <c r="AM6" s="30" t="str">
        <f>Table1[[#This Row],[2019 Scope 2 ]]</f>
        <v>#ERROR!</v>
      </c>
      <c r="AN6" s="31" t="str">
        <f t="shared" si="4"/>
        <v>#ERROR!</v>
      </c>
      <c r="AO6" s="32" t="str">
        <f t="shared" si="5"/>
        <v>#ERROR!</v>
      </c>
      <c r="AP6" s="31" t="str">
        <f t="shared" si="6"/>
        <v>#ERROR!</v>
      </c>
      <c r="AQ6" s="32" t="str">
        <f t="shared" si="7"/>
        <v>#ERROR!</v>
      </c>
      <c r="AR6" s="33" t="str">
        <f>Table1[[#This Row],[2019 Scope 3 ]]</f>
        <v>#ERROR!</v>
      </c>
      <c r="AS6" s="34" t="str">
        <f t="shared" si="8"/>
        <v>#ERROR!</v>
      </c>
      <c r="AT6" s="35" t="str">
        <f t="shared" si="9"/>
        <v>#ERROR!</v>
      </c>
      <c r="BI6" s="16">
        <v>333.0</v>
      </c>
    </row>
    <row r="7" ht="12.75" customHeight="1">
      <c r="A7" s="17">
        <f>companies!A7</f>
        <v>6</v>
      </c>
      <c r="B7" s="19" t="s">
        <v>1060</v>
      </c>
      <c r="C7" s="19">
        <v>39230.0</v>
      </c>
      <c r="D7" s="19">
        <v>86863.0</v>
      </c>
      <c r="E7" s="19">
        <v>74230.0</v>
      </c>
      <c r="F7" s="19">
        <v>10528.0</v>
      </c>
      <c r="G7" s="19">
        <v>0.0</v>
      </c>
      <c r="H7" s="19">
        <v>4343.0</v>
      </c>
      <c r="I7" s="19">
        <v>3.0</v>
      </c>
      <c r="J7" s="19">
        <v>446.0</v>
      </c>
      <c r="K7" s="19">
        <v>8857.0</v>
      </c>
      <c r="L7" s="19">
        <v>13412.0</v>
      </c>
      <c r="M7" s="29" t="s">
        <v>25</v>
      </c>
      <c r="N7" s="29" t="s">
        <v>25</v>
      </c>
      <c r="O7" s="29" t="s">
        <v>25</v>
      </c>
      <c r="P7" s="29" t="s">
        <v>25</v>
      </c>
      <c r="Q7" s="29" t="s">
        <v>25</v>
      </c>
      <c r="R7" s="19" t="s">
        <v>25</v>
      </c>
      <c r="S7" s="29" t="s">
        <v>25</v>
      </c>
      <c r="T7" s="29" t="s">
        <v>25</v>
      </c>
      <c r="U7" s="29" t="s">
        <v>25</v>
      </c>
      <c r="V7" s="29" t="s">
        <v>25</v>
      </c>
      <c r="W7" s="29">
        <f t="shared" si="1"/>
        <v>37589</v>
      </c>
      <c r="X7" s="19"/>
      <c r="Y7" s="19"/>
      <c r="Z7" s="19"/>
      <c r="AA7" s="19"/>
      <c r="AB7" s="19"/>
      <c r="AC7" s="19"/>
      <c r="AD7" s="29" t="s">
        <v>25</v>
      </c>
      <c r="AE7" s="29" t="s">
        <v>25</v>
      </c>
      <c r="AF7" s="30" t="str">
        <f>Table1[[#This Row],[2019 Scope 1 (MeT Co2)]]</f>
        <v>#ERROR!</v>
      </c>
      <c r="AG7" s="31" t="str">
        <f t="shared" si="2"/>
        <v>#ERROR!</v>
      </c>
      <c r="AH7" s="32" t="str">
        <f t="shared" si="3"/>
        <v>#ERROR!</v>
      </c>
      <c r="AI7" s="28"/>
      <c r="AJ7" s="28"/>
      <c r="AK7" s="29" t="s">
        <v>25</v>
      </c>
      <c r="AL7" s="29" t="s">
        <v>25</v>
      </c>
      <c r="AM7" s="30" t="str">
        <f>Table1[[#This Row],[2019 Scope 2 ]]</f>
        <v>#ERROR!</v>
      </c>
      <c r="AN7" s="31" t="str">
        <f t="shared" si="4"/>
        <v>#ERROR!</v>
      </c>
      <c r="AO7" s="32" t="str">
        <f t="shared" si="5"/>
        <v>#ERROR!</v>
      </c>
      <c r="AP7" s="31" t="str">
        <f t="shared" si="6"/>
        <v>#ERROR!</v>
      </c>
      <c r="AQ7" s="32" t="str">
        <f t="shared" si="7"/>
        <v>#ERROR!</v>
      </c>
      <c r="AR7" s="33" t="str">
        <f>Table1[[#This Row],[2019 Scope 3 ]]</f>
        <v>#ERROR!</v>
      </c>
      <c r="AS7" s="34" t="str">
        <f t="shared" si="8"/>
        <v>#ERROR!</v>
      </c>
      <c r="AT7" s="35" t="str">
        <f t="shared" si="9"/>
        <v>#ERROR!</v>
      </c>
      <c r="BI7" s="16">
        <v>582.0</v>
      </c>
    </row>
    <row r="8" ht="12.75" customHeight="1">
      <c r="A8" s="17">
        <f>companies!A8</f>
        <v>7</v>
      </c>
      <c r="B8" s="19" t="s">
        <v>1060</v>
      </c>
      <c r="C8" s="19">
        <v>66686.0</v>
      </c>
      <c r="D8" s="19">
        <v>5116949.0</v>
      </c>
      <c r="E8" s="19">
        <v>794267.0</v>
      </c>
      <c r="F8" s="19">
        <v>0.0</v>
      </c>
      <c r="G8" s="19">
        <v>2158000.0</v>
      </c>
      <c r="H8" s="19">
        <v>0.0</v>
      </c>
      <c r="I8" s="19">
        <v>460000.0</v>
      </c>
      <c r="J8" s="19" t="s">
        <v>25</v>
      </c>
      <c r="K8" s="19">
        <v>369000.0</v>
      </c>
      <c r="L8" s="19">
        <v>173000.0</v>
      </c>
      <c r="M8" s="29" t="s">
        <v>25</v>
      </c>
      <c r="N8" s="29">
        <v>0.0</v>
      </c>
      <c r="O8" s="29" t="s">
        <v>25</v>
      </c>
      <c r="P8" s="29">
        <v>0.0</v>
      </c>
      <c r="Q8" s="29">
        <v>0.0</v>
      </c>
      <c r="R8" s="19" t="s">
        <v>25</v>
      </c>
      <c r="S8" s="29" t="s">
        <v>25</v>
      </c>
      <c r="T8" s="29" t="s">
        <v>25</v>
      </c>
      <c r="U8" s="29">
        <v>8509000.0</v>
      </c>
      <c r="V8" s="29" t="s">
        <v>25</v>
      </c>
      <c r="W8" s="29">
        <f t="shared" si="1"/>
        <v>11669000</v>
      </c>
      <c r="X8" s="19"/>
      <c r="Y8" s="19"/>
      <c r="Z8" s="19"/>
      <c r="AA8" s="19"/>
      <c r="AB8" s="19"/>
      <c r="AC8" s="19"/>
      <c r="AD8" s="29" t="s">
        <v>25</v>
      </c>
      <c r="AE8" s="29" t="s">
        <v>25</v>
      </c>
      <c r="AF8" s="30" t="str">
        <f>Table1[[#This Row],[2019 Scope 1 (MeT Co2)]]</f>
        <v>#ERROR!</v>
      </c>
      <c r="AG8" s="31" t="str">
        <f t="shared" si="2"/>
        <v>#ERROR!</v>
      </c>
      <c r="AH8" s="32" t="str">
        <f t="shared" si="3"/>
        <v>#ERROR!</v>
      </c>
      <c r="AI8" s="28"/>
      <c r="AJ8" s="28"/>
      <c r="AK8" s="29" t="s">
        <v>25</v>
      </c>
      <c r="AL8" s="29" t="s">
        <v>25</v>
      </c>
      <c r="AM8" s="30" t="str">
        <f>Table1[[#This Row],[2019 Scope 2 ]]</f>
        <v>#ERROR!</v>
      </c>
      <c r="AN8" s="31" t="str">
        <f t="shared" si="4"/>
        <v>#ERROR!</v>
      </c>
      <c r="AO8" s="32" t="str">
        <f t="shared" si="5"/>
        <v>#ERROR!</v>
      </c>
      <c r="AP8" s="31" t="str">
        <f t="shared" si="6"/>
        <v>#ERROR!</v>
      </c>
      <c r="AQ8" s="32" t="str">
        <f t="shared" si="7"/>
        <v>#ERROR!</v>
      </c>
      <c r="AR8" s="33" t="str">
        <f>Table1[[#This Row],[2019 Scope 3 ]]</f>
        <v>#ERROR!</v>
      </c>
      <c r="AS8" s="34" t="str">
        <f t="shared" si="8"/>
        <v>#ERROR!</v>
      </c>
      <c r="AT8" s="35" t="str">
        <f t="shared" si="9"/>
        <v>#ERROR!</v>
      </c>
      <c r="BI8" s="16">
        <v>7616.0</v>
      </c>
    </row>
    <row r="9" ht="12.75" customHeight="1">
      <c r="A9" s="17">
        <f>companies!A9</f>
        <v>8</v>
      </c>
      <c r="B9" s="19" t="s">
        <v>1060</v>
      </c>
      <c r="C9" s="19">
        <v>154507.0</v>
      </c>
      <c r="D9" s="19">
        <v>151259.0</v>
      </c>
      <c r="E9" s="19">
        <v>147909.0</v>
      </c>
      <c r="F9" s="19">
        <v>1297850.0</v>
      </c>
      <c r="G9" s="19">
        <v>6713.0</v>
      </c>
      <c r="H9" s="19">
        <v>96806.0</v>
      </c>
      <c r="I9" s="19">
        <v>278393.0</v>
      </c>
      <c r="J9" s="19">
        <v>27853.0</v>
      </c>
      <c r="K9" s="19">
        <v>14102.0</v>
      </c>
      <c r="L9" s="19">
        <v>11373.0</v>
      </c>
      <c r="M9" s="29" t="s">
        <v>25</v>
      </c>
      <c r="N9" s="29">
        <v>199307.0</v>
      </c>
      <c r="O9" s="29" t="s">
        <v>25</v>
      </c>
      <c r="P9" s="29" t="s">
        <v>25</v>
      </c>
      <c r="Q9" s="29">
        <v>67173.0</v>
      </c>
      <c r="R9" s="19" t="s">
        <v>25</v>
      </c>
      <c r="S9" s="29" t="s">
        <v>25</v>
      </c>
      <c r="T9" s="29">
        <v>3228163.0</v>
      </c>
      <c r="U9" s="29">
        <v>194038.0</v>
      </c>
      <c r="V9" s="29">
        <v>146250.0</v>
      </c>
      <c r="W9" s="29">
        <f t="shared" si="1"/>
        <v>5568021</v>
      </c>
      <c r="X9" s="19"/>
      <c r="Y9" s="19"/>
      <c r="Z9" s="19"/>
      <c r="AA9" s="19"/>
      <c r="AB9" s="19"/>
      <c r="AC9" s="19"/>
      <c r="AD9" s="29" t="s">
        <v>25</v>
      </c>
      <c r="AE9" s="29" t="s">
        <v>25</v>
      </c>
      <c r="AF9" s="30" t="str">
        <f>Table1[[#This Row],[2019 Scope 1 (MeT Co2)]]</f>
        <v>#ERROR!</v>
      </c>
      <c r="AG9" s="31" t="str">
        <f t="shared" si="2"/>
        <v>#ERROR!</v>
      </c>
      <c r="AH9" s="32" t="str">
        <f t="shared" si="3"/>
        <v>#ERROR!</v>
      </c>
      <c r="AI9" s="28"/>
      <c r="AJ9" s="28"/>
      <c r="AK9" s="29" t="s">
        <v>25</v>
      </c>
      <c r="AL9" s="29" t="s">
        <v>25</v>
      </c>
      <c r="AM9" s="30" t="str">
        <f>Table1[[#This Row],[2019 Scope 2 ]]</f>
        <v>#ERROR!</v>
      </c>
      <c r="AN9" s="31" t="str">
        <f t="shared" si="4"/>
        <v>#ERROR!</v>
      </c>
      <c r="AO9" s="32" t="str">
        <f t="shared" si="5"/>
        <v>#ERROR!</v>
      </c>
      <c r="AP9" s="31" t="str">
        <f t="shared" si="6"/>
        <v>#ERROR!</v>
      </c>
      <c r="AQ9" s="32" t="str">
        <f t="shared" si="7"/>
        <v>#ERROR!</v>
      </c>
      <c r="AR9" s="33" t="str">
        <f>Table1[[#This Row],[2019 Scope 3 ]]</f>
        <v>#ERROR!</v>
      </c>
      <c r="AS9" s="34" t="str">
        <f t="shared" si="8"/>
        <v>#ERROR!</v>
      </c>
      <c r="AT9" s="35" t="str">
        <f t="shared" si="9"/>
        <v>#ERROR!</v>
      </c>
      <c r="BI9" s="16">
        <v>628.0</v>
      </c>
    </row>
    <row r="10" ht="12.75" customHeight="1">
      <c r="A10" s="17">
        <f>companies!A10</f>
        <v>9</v>
      </c>
      <c r="B10" s="19" t="s">
        <v>1060</v>
      </c>
      <c r="C10" s="19" t="s">
        <v>1065</v>
      </c>
      <c r="D10" s="19" t="s">
        <v>1065</v>
      </c>
      <c r="E10" s="19" t="s">
        <v>1065</v>
      </c>
      <c r="F10" s="19" t="s">
        <v>1065</v>
      </c>
      <c r="G10" s="19" t="s">
        <v>1065</v>
      </c>
      <c r="H10" s="19" t="s">
        <v>1065</v>
      </c>
      <c r="I10" s="19" t="s">
        <v>1065</v>
      </c>
      <c r="J10" s="19" t="s">
        <v>1065</v>
      </c>
      <c r="K10" s="19" t="s">
        <v>1065</v>
      </c>
      <c r="L10" s="19" t="s">
        <v>1065</v>
      </c>
      <c r="M10" s="19" t="s">
        <v>1065</v>
      </c>
      <c r="N10" s="19" t="s">
        <v>1065</v>
      </c>
      <c r="O10" s="19" t="s">
        <v>1065</v>
      </c>
      <c r="P10" s="19" t="s">
        <v>1065</v>
      </c>
      <c r="Q10" s="19" t="s">
        <v>1065</v>
      </c>
      <c r="R10" s="19" t="s">
        <v>1065</v>
      </c>
      <c r="S10" s="19" t="s">
        <v>1065</v>
      </c>
      <c r="T10" s="19" t="s">
        <v>1065</v>
      </c>
      <c r="U10" s="19" t="s">
        <v>1065</v>
      </c>
      <c r="V10" s="19" t="s">
        <v>1065</v>
      </c>
      <c r="W10" s="29">
        <f t="shared" si="1"/>
        <v>0</v>
      </c>
      <c r="X10" s="29"/>
      <c r="Y10" s="29"/>
      <c r="Z10" s="29"/>
      <c r="AA10" s="29"/>
      <c r="AB10" s="29"/>
      <c r="AC10" s="29"/>
      <c r="AD10" s="29" t="e">
        <v>#N/A</v>
      </c>
      <c r="AE10" s="29" t="e">
        <v>#N/A</v>
      </c>
      <c r="AF10" s="30" t="str">
        <f>Table1[[#This Row],[2019 Scope 1 (MeT Co2)]]</f>
        <v>#ERROR!</v>
      </c>
      <c r="AG10" s="31" t="str">
        <f t="shared" si="2"/>
        <v>#ERROR!</v>
      </c>
      <c r="AH10" s="32" t="str">
        <f t="shared" si="3"/>
        <v>#ERROR!</v>
      </c>
      <c r="AI10" s="28"/>
      <c r="AJ10" s="28"/>
      <c r="AK10" s="29" t="e">
        <v>#N/A</v>
      </c>
      <c r="AL10" s="29" t="e">
        <v>#N/A</v>
      </c>
      <c r="AM10" s="30" t="str">
        <f>Table1[[#This Row],[2019 Scope 2 ]]</f>
        <v>#ERROR!</v>
      </c>
      <c r="AN10" s="31" t="str">
        <f t="shared" si="4"/>
        <v>#ERROR!</v>
      </c>
      <c r="AO10" s="32" t="str">
        <f t="shared" si="5"/>
        <v>#ERROR!</v>
      </c>
      <c r="AP10" s="31" t="str">
        <f t="shared" si="6"/>
        <v>#ERROR!</v>
      </c>
      <c r="AQ10" s="32" t="str">
        <f t="shared" si="7"/>
        <v>#ERROR!</v>
      </c>
      <c r="AR10" s="33" t="str">
        <f>Table1[[#This Row],[2019 Scope 3 ]]</f>
        <v>#ERROR!</v>
      </c>
      <c r="AS10" s="34" t="str">
        <f t="shared" si="8"/>
        <v>#ERROR!</v>
      </c>
      <c r="AT10" s="35" t="str">
        <f t="shared" si="9"/>
        <v>#ERROR!</v>
      </c>
    </row>
    <row r="11" ht="12.75" customHeight="1">
      <c r="A11" s="17">
        <f>companies!A11</f>
        <v>10</v>
      </c>
      <c r="B11" s="19" t="s">
        <v>1060</v>
      </c>
      <c r="C11" s="19">
        <v>24363.0</v>
      </c>
      <c r="D11" s="19">
        <v>113964.0</v>
      </c>
      <c r="E11" s="19">
        <v>3153.0</v>
      </c>
      <c r="F11" s="19">
        <v>1956901.0</v>
      </c>
      <c r="G11" s="19">
        <v>24863.0</v>
      </c>
      <c r="H11" s="19">
        <v>30305.0</v>
      </c>
      <c r="I11" s="19" t="s">
        <v>25</v>
      </c>
      <c r="J11" s="19">
        <v>1719.0</v>
      </c>
      <c r="K11" s="19">
        <v>51.679</v>
      </c>
      <c r="L11" s="19">
        <v>138358.0</v>
      </c>
      <c r="M11" s="29" t="s">
        <v>25</v>
      </c>
      <c r="N11" s="29" t="s">
        <v>25</v>
      </c>
      <c r="O11" s="29" t="s">
        <v>25</v>
      </c>
      <c r="P11" s="29">
        <v>8000.0</v>
      </c>
      <c r="Q11" s="29">
        <v>9000.0</v>
      </c>
      <c r="R11" s="19" t="s">
        <v>25</v>
      </c>
      <c r="S11" s="29" t="s">
        <v>25</v>
      </c>
      <c r="T11" s="29" t="s">
        <v>25</v>
      </c>
      <c r="U11" s="29" t="s">
        <v>25</v>
      </c>
      <c r="V11" s="29" t="s">
        <v>25</v>
      </c>
      <c r="W11" s="29">
        <f t="shared" si="1"/>
        <v>2169197.679</v>
      </c>
      <c r="X11" s="19"/>
      <c r="Y11" s="19"/>
      <c r="Z11" s="19"/>
      <c r="AA11" s="19"/>
      <c r="AB11" s="19"/>
      <c r="AC11" s="19"/>
      <c r="AD11" s="29" t="s">
        <v>25</v>
      </c>
      <c r="AE11" s="29" t="s">
        <v>25</v>
      </c>
      <c r="AF11" s="30" t="str">
        <f>Table1[[#This Row],[2019 Scope 1 (MeT Co2)]]</f>
        <v>#ERROR!</v>
      </c>
      <c r="AG11" s="31" t="str">
        <f t="shared" si="2"/>
        <v>#ERROR!</v>
      </c>
      <c r="AH11" s="32" t="str">
        <f t="shared" si="3"/>
        <v>#ERROR!</v>
      </c>
      <c r="AI11" s="28"/>
      <c r="AJ11" s="28"/>
      <c r="AK11" s="29" t="s">
        <v>25</v>
      </c>
      <c r="AL11" s="29" t="s">
        <v>25</v>
      </c>
      <c r="AM11" s="30" t="str">
        <f>Table1[[#This Row],[2019 Scope 2 ]]</f>
        <v>#ERROR!</v>
      </c>
      <c r="AN11" s="31" t="str">
        <f t="shared" si="4"/>
        <v>#ERROR!</v>
      </c>
      <c r="AO11" s="32" t="str">
        <f t="shared" si="5"/>
        <v>#ERROR!</v>
      </c>
      <c r="AP11" s="31" t="str">
        <f t="shared" si="6"/>
        <v>#ERROR!</v>
      </c>
      <c r="AQ11" s="32" t="str">
        <f t="shared" si="7"/>
        <v>#ERROR!</v>
      </c>
      <c r="AR11" s="33" t="str">
        <f>Table1[[#This Row],[2019 Scope 3 ]]</f>
        <v>#ERROR!</v>
      </c>
      <c r="AS11" s="34" t="str">
        <f t="shared" si="8"/>
        <v>#ERROR!</v>
      </c>
      <c r="AT11" s="35" t="str">
        <f t="shared" si="9"/>
        <v>#ERROR!</v>
      </c>
      <c r="BI11" s="16">
        <v>692.0</v>
      </c>
    </row>
    <row r="12" ht="12.75" customHeight="1">
      <c r="A12" s="17">
        <f>companies!A12</f>
        <v>11</v>
      </c>
      <c r="B12" s="19" t="s">
        <v>1060</v>
      </c>
      <c r="C12" s="19">
        <v>17121.0</v>
      </c>
      <c r="D12" s="19">
        <v>93781.0</v>
      </c>
      <c r="E12" s="19" t="s">
        <v>25</v>
      </c>
      <c r="F12" s="19" t="s">
        <v>25</v>
      </c>
      <c r="G12" s="19" t="s">
        <v>25</v>
      </c>
      <c r="H12" s="19" t="s">
        <v>25</v>
      </c>
      <c r="I12" s="19" t="s">
        <v>25</v>
      </c>
      <c r="J12" s="19" t="s">
        <v>25</v>
      </c>
      <c r="K12" s="19">
        <v>44695.0</v>
      </c>
      <c r="L12" s="19" t="s">
        <v>25</v>
      </c>
      <c r="M12" s="29" t="s">
        <v>25</v>
      </c>
      <c r="N12" s="29" t="s">
        <v>25</v>
      </c>
      <c r="O12" s="29" t="s">
        <v>25</v>
      </c>
      <c r="P12" s="29" t="s">
        <v>25</v>
      </c>
      <c r="Q12" s="29" t="s">
        <v>25</v>
      </c>
      <c r="R12" s="19" t="s">
        <v>25</v>
      </c>
      <c r="S12" s="29" t="s">
        <v>25</v>
      </c>
      <c r="T12" s="29" t="s">
        <v>25</v>
      </c>
      <c r="U12" s="29" t="s">
        <v>25</v>
      </c>
      <c r="V12" s="29" t="s">
        <v>25</v>
      </c>
      <c r="W12" s="29">
        <f t="shared" si="1"/>
        <v>44695</v>
      </c>
      <c r="X12" s="29"/>
      <c r="Y12" s="29"/>
      <c r="Z12" s="29"/>
      <c r="AA12" s="29"/>
      <c r="AB12" s="29"/>
      <c r="AC12" s="29"/>
      <c r="AD12" s="29" t="s">
        <v>1061</v>
      </c>
      <c r="AE12" s="29" t="s">
        <v>1062</v>
      </c>
      <c r="AF12" s="30" t="str">
        <f>Table1[[#This Row],[2019 Scope 1 (MeT Co2)]]</f>
        <v>#ERROR!</v>
      </c>
      <c r="AG12" s="31" t="str">
        <f t="shared" si="2"/>
        <v>#ERROR!</v>
      </c>
      <c r="AH12" s="32" t="str">
        <f t="shared" si="3"/>
        <v>#ERROR!</v>
      </c>
      <c r="AI12" s="28"/>
      <c r="AJ12" s="28"/>
      <c r="AK12" s="29" t="s">
        <v>1061</v>
      </c>
      <c r="AL12" s="29" t="s">
        <v>1062</v>
      </c>
      <c r="AM12" s="30" t="str">
        <f>Table1[[#This Row],[2019 Scope 2 ]]</f>
        <v>#ERROR!</v>
      </c>
      <c r="AN12" s="31" t="str">
        <f t="shared" si="4"/>
        <v>#ERROR!</v>
      </c>
      <c r="AO12" s="32" t="str">
        <f t="shared" si="5"/>
        <v>#ERROR!</v>
      </c>
      <c r="AP12" s="31" t="str">
        <f t="shared" si="6"/>
        <v>#ERROR!</v>
      </c>
      <c r="AQ12" s="32" t="str">
        <f t="shared" si="7"/>
        <v>#ERROR!</v>
      </c>
      <c r="AR12" s="33" t="str">
        <f>Table1[[#This Row],[2019 Scope 3 ]]</f>
        <v>#ERROR!</v>
      </c>
      <c r="AS12" s="34" t="str">
        <f t="shared" si="8"/>
        <v>#ERROR!</v>
      </c>
      <c r="AT12" s="35" t="str">
        <f t="shared" si="9"/>
        <v>#ERROR!</v>
      </c>
      <c r="BI12" s="16">
        <v>699.0</v>
      </c>
    </row>
    <row r="13" ht="12.75" customHeight="1">
      <c r="A13" s="17">
        <f>companies!A13</f>
        <v>12</v>
      </c>
      <c r="B13" s="19" t="s">
        <v>1060</v>
      </c>
      <c r="C13" s="19">
        <v>556281.0</v>
      </c>
      <c r="D13" s="19">
        <v>1780621.0</v>
      </c>
      <c r="E13" s="19" t="s">
        <v>25</v>
      </c>
      <c r="F13" s="19" t="s">
        <v>25</v>
      </c>
      <c r="G13" s="19" t="s">
        <v>25</v>
      </c>
      <c r="H13" s="19" t="s">
        <v>25</v>
      </c>
      <c r="I13" s="19" t="s">
        <v>25</v>
      </c>
      <c r="J13" s="19" t="s">
        <v>25</v>
      </c>
      <c r="K13" s="19" t="s">
        <v>25</v>
      </c>
      <c r="L13" s="19" t="s">
        <v>25</v>
      </c>
      <c r="M13" s="29" t="s">
        <v>25</v>
      </c>
      <c r="N13" s="29" t="s">
        <v>25</v>
      </c>
      <c r="O13" s="29" t="s">
        <v>25</v>
      </c>
      <c r="P13" s="29" t="s">
        <v>25</v>
      </c>
      <c r="Q13" s="29" t="s">
        <v>25</v>
      </c>
      <c r="R13" s="19" t="s">
        <v>25</v>
      </c>
      <c r="S13" s="29" t="s">
        <v>25</v>
      </c>
      <c r="T13" s="29" t="s">
        <v>25</v>
      </c>
      <c r="U13" s="29" t="s">
        <v>25</v>
      </c>
      <c r="V13" s="29" t="s">
        <v>25</v>
      </c>
      <c r="W13" s="29">
        <f t="shared" si="1"/>
        <v>0</v>
      </c>
      <c r="X13" s="29"/>
      <c r="Y13" s="29"/>
      <c r="Z13" s="29"/>
      <c r="AA13" s="29"/>
      <c r="AB13" s="29"/>
      <c r="AC13" s="29"/>
      <c r="AD13" s="29" t="s">
        <v>1061</v>
      </c>
      <c r="AE13" s="29" t="s">
        <v>1062</v>
      </c>
      <c r="AF13" s="30" t="str">
        <f>Table1[[#This Row],[2019 Scope 1 (MeT Co2)]]</f>
        <v>#ERROR!</v>
      </c>
      <c r="AG13" s="31" t="str">
        <f t="shared" si="2"/>
        <v>#ERROR!</v>
      </c>
      <c r="AH13" s="32" t="str">
        <f t="shared" si="3"/>
        <v>#ERROR!</v>
      </c>
      <c r="AI13" s="28"/>
      <c r="AJ13" s="28"/>
      <c r="AK13" s="29" t="s">
        <v>1061</v>
      </c>
      <c r="AL13" s="29" t="s">
        <v>1062</v>
      </c>
      <c r="AM13" s="30" t="str">
        <f>Table1[[#This Row],[2019 Scope 2 ]]</f>
        <v>#ERROR!</v>
      </c>
      <c r="AN13" s="31" t="str">
        <f t="shared" si="4"/>
        <v>#ERROR!</v>
      </c>
      <c r="AO13" s="32" t="str">
        <f t="shared" si="5"/>
        <v>#ERROR!</v>
      </c>
      <c r="AP13" s="31" t="str">
        <f t="shared" si="6"/>
        <v>#ERROR!</v>
      </c>
      <c r="AQ13" s="32" t="str">
        <f t="shared" si="7"/>
        <v>#ERROR!</v>
      </c>
      <c r="AR13" s="33" t="str">
        <f>Table1[[#This Row],[2019 Scope 3 ]]</f>
        <v>#ERROR!</v>
      </c>
      <c r="AS13" s="34" t="str">
        <f t="shared" si="8"/>
        <v>#ERROR!</v>
      </c>
      <c r="AT13" s="35" t="str">
        <f t="shared" si="9"/>
        <v>#ERROR!</v>
      </c>
      <c r="BI13" s="16">
        <v>706.0</v>
      </c>
    </row>
    <row r="14" ht="12.75" customHeight="1">
      <c r="A14" s="17">
        <f>companies!A14</f>
        <v>13</v>
      </c>
      <c r="B14" s="19" t="s">
        <v>1060</v>
      </c>
      <c r="C14" s="19">
        <v>135954.0</v>
      </c>
      <c r="D14" s="19">
        <v>173922.0</v>
      </c>
      <c r="E14" s="19">
        <v>160360.0</v>
      </c>
      <c r="F14" s="19">
        <v>2323917.0</v>
      </c>
      <c r="G14" s="19">
        <v>258132.0</v>
      </c>
      <c r="H14" s="19">
        <v>52554.0</v>
      </c>
      <c r="I14" s="19">
        <v>22572.0</v>
      </c>
      <c r="J14" s="19">
        <v>3454.0</v>
      </c>
      <c r="K14" s="19">
        <v>56478.0</v>
      </c>
      <c r="L14" s="19">
        <v>56210.0</v>
      </c>
      <c r="M14" s="29" t="s">
        <v>25</v>
      </c>
      <c r="N14" s="29">
        <v>52991.0</v>
      </c>
      <c r="O14" s="29" t="s">
        <v>25</v>
      </c>
      <c r="P14" s="29" t="s">
        <v>25</v>
      </c>
      <c r="Q14" s="29">
        <v>3047.0</v>
      </c>
      <c r="R14" s="19" t="s">
        <v>25</v>
      </c>
      <c r="S14" s="29" t="s">
        <v>25</v>
      </c>
      <c r="T14" s="29" t="s">
        <v>25</v>
      </c>
      <c r="U14" s="29" t="s">
        <v>25</v>
      </c>
      <c r="V14" s="29" t="s">
        <v>25</v>
      </c>
      <c r="W14" s="29">
        <f t="shared" si="1"/>
        <v>2829355</v>
      </c>
      <c r="X14" s="19"/>
      <c r="Y14" s="19"/>
      <c r="Z14" s="19"/>
      <c r="AA14" s="19"/>
      <c r="AB14" s="19"/>
      <c r="AC14" s="19"/>
      <c r="AD14" s="29" t="s">
        <v>25</v>
      </c>
      <c r="AE14" s="29" t="s">
        <v>25</v>
      </c>
      <c r="AF14" s="30" t="str">
        <f>Table1[[#This Row],[2019 Scope 1 (MeT Co2)]]</f>
        <v>#ERROR!</v>
      </c>
      <c r="AG14" s="31" t="str">
        <f t="shared" si="2"/>
        <v>#ERROR!</v>
      </c>
      <c r="AH14" s="32" t="str">
        <f t="shared" si="3"/>
        <v>#ERROR!</v>
      </c>
      <c r="AI14" s="28"/>
      <c r="AJ14" s="28"/>
      <c r="AK14" s="29" t="s">
        <v>25</v>
      </c>
      <c r="AL14" s="29" t="s">
        <v>25</v>
      </c>
      <c r="AM14" s="30" t="str">
        <f>Table1[[#This Row],[2019 Scope 2 ]]</f>
        <v>#ERROR!</v>
      </c>
      <c r="AN14" s="31" t="str">
        <f t="shared" si="4"/>
        <v>#ERROR!</v>
      </c>
      <c r="AO14" s="32" t="str">
        <f t="shared" si="5"/>
        <v>#ERROR!</v>
      </c>
      <c r="AP14" s="31" t="str">
        <f t="shared" si="6"/>
        <v>#ERROR!</v>
      </c>
      <c r="AQ14" s="32" t="str">
        <f t="shared" si="7"/>
        <v>#ERROR!</v>
      </c>
      <c r="AR14" s="33" t="str">
        <f>Table1[[#This Row],[2019 Scope 3 ]]</f>
        <v>#ERROR!</v>
      </c>
      <c r="AS14" s="34" t="str">
        <f t="shared" si="8"/>
        <v>#ERROR!</v>
      </c>
      <c r="AT14" s="35" t="str">
        <f t="shared" si="9"/>
        <v>#ERROR!</v>
      </c>
      <c r="BI14" s="16">
        <v>716.0</v>
      </c>
    </row>
    <row r="15" ht="12.75" customHeight="1">
      <c r="A15" s="17">
        <f>companies!A15</f>
        <v>14</v>
      </c>
      <c r="B15" s="19" t="s">
        <v>1060</v>
      </c>
      <c r="C15" s="19">
        <v>50549.0</v>
      </c>
      <c r="D15" s="19">
        <v>862127.0</v>
      </c>
      <c r="E15" s="19">
        <v>0.0</v>
      </c>
      <c r="F15" s="19">
        <v>1.89E7</v>
      </c>
      <c r="G15" s="19" t="s">
        <v>25</v>
      </c>
      <c r="H15" s="19" t="s">
        <v>25</v>
      </c>
      <c r="I15" s="19">
        <v>486000.0</v>
      </c>
      <c r="J15" s="19" t="s">
        <v>25</v>
      </c>
      <c r="K15" s="19">
        <v>325500.0</v>
      </c>
      <c r="L15" s="19">
        <v>194700.0</v>
      </c>
      <c r="M15" s="29" t="s">
        <v>25</v>
      </c>
      <c r="N15" s="29">
        <v>999000.0</v>
      </c>
      <c r="O15" s="29" t="s">
        <v>25</v>
      </c>
      <c r="P15" s="29">
        <v>4100000.0</v>
      </c>
      <c r="Q15" s="29">
        <v>60000.0</v>
      </c>
      <c r="R15" s="19" t="s">
        <v>25</v>
      </c>
      <c r="S15" s="29" t="s">
        <v>25</v>
      </c>
      <c r="T15" s="29" t="s">
        <v>25</v>
      </c>
      <c r="U15" s="29" t="s">
        <v>25</v>
      </c>
      <c r="V15" s="29" t="s">
        <v>25</v>
      </c>
      <c r="W15" s="29">
        <f t="shared" si="1"/>
        <v>25065200</v>
      </c>
      <c r="X15" s="19"/>
      <c r="Y15" s="19"/>
      <c r="Z15" s="19"/>
      <c r="AA15" s="19"/>
      <c r="AB15" s="19"/>
      <c r="AC15" s="19"/>
      <c r="AD15" s="29" t="s">
        <v>25</v>
      </c>
      <c r="AE15" s="29" t="s">
        <v>25</v>
      </c>
      <c r="AF15" s="30" t="str">
        <f>Table1[[#This Row],[2019 Scope 1 (MeT Co2)]]</f>
        <v>#ERROR!</v>
      </c>
      <c r="AG15" s="31" t="str">
        <f t="shared" si="2"/>
        <v>#ERROR!</v>
      </c>
      <c r="AH15" s="32" t="str">
        <f t="shared" si="3"/>
        <v>#ERROR!</v>
      </c>
      <c r="AI15" s="28"/>
      <c r="AJ15" s="28"/>
      <c r="AK15" s="29" t="s">
        <v>25</v>
      </c>
      <c r="AL15" s="29" t="s">
        <v>25</v>
      </c>
      <c r="AM15" s="30" t="str">
        <f>Table1[[#This Row],[2019 Scope 2 ]]</f>
        <v>#ERROR!</v>
      </c>
      <c r="AN15" s="31" t="str">
        <f t="shared" si="4"/>
        <v>#ERROR!</v>
      </c>
      <c r="AO15" s="32" t="str">
        <f t="shared" si="5"/>
        <v>#ERROR!</v>
      </c>
      <c r="AP15" s="31" t="str">
        <f t="shared" si="6"/>
        <v>#ERROR!</v>
      </c>
      <c r="AQ15" s="32" t="str">
        <f t="shared" si="7"/>
        <v>#ERROR!</v>
      </c>
      <c r="AR15" s="33" t="str">
        <f>Table1[[#This Row],[2019 Scope 3 ]]</f>
        <v>#ERROR!</v>
      </c>
      <c r="AS15" s="34" t="str">
        <f t="shared" si="8"/>
        <v>#ERROR!</v>
      </c>
      <c r="AT15" s="35" t="str">
        <f t="shared" si="9"/>
        <v>#ERROR!</v>
      </c>
      <c r="BI15" s="16">
        <v>865.0</v>
      </c>
    </row>
    <row r="16" ht="12.75" customHeight="1">
      <c r="A16" s="17">
        <f>companies!A16</f>
        <v>15</v>
      </c>
      <c r="B16" s="19" t="s">
        <v>1060</v>
      </c>
      <c r="C16" s="19">
        <v>990955.0</v>
      </c>
      <c r="D16" s="19">
        <v>6015122.0</v>
      </c>
      <c r="E16" s="19">
        <v>5534088.0</v>
      </c>
      <c r="F16" s="19">
        <v>2166116.0</v>
      </c>
      <c r="G16" s="19">
        <v>167125.0</v>
      </c>
      <c r="H16" s="19" t="s">
        <v>25</v>
      </c>
      <c r="I16" s="19">
        <v>64038.0</v>
      </c>
      <c r="J16" s="19">
        <v>34267.0</v>
      </c>
      <c r="K16" s="19">
        <v>154670.0</v>
      </c>
      <c r="L16" s="19" t="s">
        <v>25</v>
      </c>
      <c r="M16" s="29" t="s">
        <v>25</v>
      </c>
      <c r="N16" s="29" t="s">
        <v>25</v>
      </c>
      <c r="O16" s="29" t="s">
        <v>25</v>
      </c>
      <c r="P16" s="29" t="s">
        <v>25</v>
      </c>
      <c r="Q16" s="29" t="s">
        <v>25</v>
      </c>
      <c r="R16" s="19">
        <v>3705329.0</v>
      </c>
      <c r="S16" s="29" t="s">
        <v>25</v>
      </c>
      <c r="T16" s="29" t="s">
        <v>25</v>
      </c>
      <c r="U16" s="29" t="s">
        <v>25</v>
      </c>
      <c r="V16" s="29" t="s">
        <v>25</v>
      </c>
      <c r="W16" s="29">
        <f t="shared" si="1"/>
        <v>6291545</v>
      </c>
      <c r="X16" s="19"/>
      <c r="Y16" s="19"/>
      <c r="Z16" s="19"/>
      <c r="AA16" s="19"/>
      <c r="AB16" s="19"/>
      <c r="AC16" s="19"/>
      <c r="AD16" s="29" t="s">
        <v>25</v>
      </c>
      <c r="AE16" s="29" t="s">
        <v>25</v>
      </c>
      <c r="AF16" s="30" t="str">
        <f>Table1[[#This Row],[2019 Scope 1 (MeT Co2)]]</f>
        <v>#ERROR!</v>
      </c>
      <c r="AG16" s="31" t="str">
        <f t="shared" si="2"/>
        <v>#ERROR!</v>
      </c>
      <c r="AH16" s="32" t="str">
        <f t="shared" si="3"/>
        <v>#ERROR!</v>
      </c>
      <c r="AI16" s="28"/>
      <c r="AJ16" s="28"/>
      <c r="AK16" s="29" t="s">
        <v>25</v>
      </c>
      <c r="AL16" s="29" t="s">
        <v>25</v>
      </c>
      <c r="AM16" s="30" t="str">
        <f>Table1[[#This Row],[2019 Scope 2 ]]</f>
        <v>#ERROR!</v>
      </c>
      <c r="AN16" s="31" t="str">
        <f t="shared" si="4"/>
        <v>#ERROR!</v>
      </c>
      <c r="AO16" s="32" t="str">
        <f t="shared" si="5"/>
        <v>#ERROR!</v>
      </c>
      <c r="AP16" s="31" t="str">
        <f t="shared" si="6"/>
        <v>#ERROR!</v>
      </c>
      <c r="AQ16" s="32" t="str">
        <f t="shared" si="7"/>
        <v>#ERROR!</v>
      </c>
      <c r="AR16" s="33" t="str">
        <f>Table1[[#This Row],[2019 Scope 3 ]]</f>
        <v>#ERROR!</v>
      </c>
      <c r="AS16" s="34" t="str">
        <f t="shared" si="8"/>
        <v>#ERROR!</v>
      </c>
      <c r="AT16" s="35" t="str">
        <f t="shared" si="9"/>
        <v>#ERROR!</v>
      </c>
      <c r="BI16" s="19">
        <v>1113.0</v>
      </c>
    </row>
    <row r="17" ht="12.75" customHeight="1">
      <c r="A17" s="17">
        <f>companies!A17</f>
        <v>16</v>
      </c>
      <c r="B17" s="19" t="s">
        <v>1060</v>
      </c>
      <c r="C17" s="19">
        <v>62639.0</v>
      </c>
      <c r="D17" s="19">
        <v>728771.0</v>
      </c>
      <c r="E17" s="19">
        <v>17523.0</v>
      </c>
      <c r="F17" s="19">
        <v>2329208.0</v>
      </c>
      <c r="G17" s="19">
        <v>251336.0</v>
      </c>
      <c r="H17" s="19">
        <v>161151.0</v>
      </c>
      <c r="I17" s="19">
        <v>140215.0</v>
      </c>
      <c r="J17" s="19">
        <v>22386.0</v>
      </c>
      <c r="K17" s="19">
        <v>162457.0</v>
      </c>
      <c r="L17" s="19">
        <v>378088.0</v>
      </c>
      <c r="M17" s="29" t="s">
        <v>25</v>
      </c>
      <c r="N17" s="29">
        <v>1400000.0</v>
      </c>
      <c r="O17" s="29" t="s">
        <v>25</v>
      </c>
      <c r="P17" s="29">
        <v>4000.0</v>
      </c>
      <c r="Q17" s="29">
        <v>19000.0</v>
      </c>
      <c r="R17" s="19" t="s">
        <v>25</v>
      </c>
      <c r="S17" s="29" t="s">
        <v>25</v>
      </c>
      <c r="T17" s="29" t="s">
        <v>25</v>
      </c>
      <c r="U17" s="29" t="s">
        <v>25</v>
      </c>
      <c r="V17" s="29" t="s">
        <v>25</v>
      </c>
      <c r="W17" s="29">
        <f t="shared" si="1"/>
        <v>4867841</v>
      </c>
      <c r="X17" s="19"/>
      <c r="Y17" s="19"/>
      <c r="Z17" s="19"/>
      <c r="AA17" s="19"/>
      <c r="AB17" s="19"/>
      <c r="AC17" s="19"/>
      <c r="AD17" s="29" t="s">
        <v>25</v>
      </c>
      <c r="AE17" s="29" t="s">
        <v>25</v>
      </c>
      <c r="AF17" s="30" t="str">
        <f>Table1[[#This Row],[2019 Scope 1 (MeT Co2)]]</f>
        <v>#ERROR!</v>
      </c>
      <c r="AG17" s="31" t="str">
        <f t="shared" si="2"/>
        <v>#ERROR!</v>
      </c>
      <c r="AH17" s="32" t="str">
        <f t="shared" si="3"/>
        <v>#ERROR!</v>
      </c>
      <c r="AI17" s="28"/>
      <c r="AJ17" s="28"/>
      <c r="AK17" s="29" t="s">
        <v>25</v>
      </c>
      <c r="AL17" s="29" t="s">
        <v>25</v>
      </c>
      <c r="AM17" s="30" t="str">
        <f>Table1[[#This Row],[2019 Scope 2 ]]</f>
        <v>#ERROR!</v>
      </c>
      <c r="AN17" s="31" t="str">
        <f t="shared" si="4"/>
        <v>#ERROR!</v>
      </c>
      <c r="AO17" s="32" t="str">
        <f t="shared" si="5"/>
        <v>#ERROR!</v>
      </c>
      <c r="AP17" s="31" t="str">
        <f t="shared" si="6"/>
        <v>#ERROR!</v>
      </c>
      <c r="AQ17" s="32" t="str">
        <f t="shared" si="7"/>
        <v>#ERROR!</v>
      </c>
      <c r="AR17" s="33" t="str">
        <f>Table1[[#This Row],[2019 Scope 3 ]]</f>
        <v>#ERROR!</v>
      </c>
      <c r="AS17" s="34" t="str">
        <f t="shared" si="8"/>
        <v>#ERROR!</v>
      </c>
      <c r="AT17" s="35" t="str">
        <f t="shared" si="9"/>
        <v>#ERROR!</v>
      </c>
      <c r="BI17" s="16">
        <v>1452.0</v>
      </c>
    </row>
    <row r="18" ht="12.75" customHeight="1">
      <c r="A18" s="17">
        <f>companies!A18</f>
        <v>17</v>
      </c>
      <c r="B18" s="19" t="s">
        <v>1060</v>
      </c>
      <c r="C18" s="19" t="s">
        <v>1065</v>
      </c>
      <c r="D18" s="19" t="s">
        <v>1065</v>
      </c>
      <c r="E18" s="19" t="s">
        <v>1065</v>
      </c>
      <c r="F18" s="19" t="s">
        <v>1065</v>
      </c>
      <c r="G18" s="19" t="s">
        <v>1065</v>
      </c>
      <c r="H18" s="19" t="s">
        <v>1065</v>
      </c>
      <c r="I18" s="19" t="s">
        <v>1065</v>
      </c>
      <c r="J18" s="19" t="s">
        <v>1065</v>
      </c>
      <c r="K18" s="19" t="s">
        <v>1065</v>
      </c>
      <c r="L18" s="19" t="s">
        <v>1065</v>
      </c>
      <c r="M18" s="19" t="s">
        <v>1065</v>
      </c>
      <c r="N18" s="19" t="s">
        <v>1065</v>
      </c>
      <c r="O18" s="19" t="s">
        <v>1065</v>
      </c>
      <c r="P18" s="19" t="s">
        <v>1065</v>
      </c>
      <c r="Q18" s="19" t="s">
        <v>1065</v>
      </c>
      <c r="R18" s="19" t="s">
        <v>1065</v>
      </c>
      <c r="S18" s="19" t="s">
        <v>1065</v>
      </c>
      <c r="T18" s="19" t="s">
        <v>1065</v>
      </c>
      <c r="U18" s="19" t="s">
        <v>1065</v>
      </c>
      <c r="V18" s="19" t="s">
        <v>1065</v>
      </c>
      <c r="W18" s="29">
        <f t="shared" si="1"/>
        <v>0</v>
      </c>
      <c r="X18" s="29"/>
      <c r="Y18" s="29"/>
      <c r="Z18" s="29"/>
      <c r="AA18" s="29"/>
      <c r="AB18" s="29"/>
      <c r="AC18" s="29"/>
      <c r="AD18" s="29" t="e">
        <v>#N/A</v>
      </c>
      <c r="AE18" s="29" t="e">
        <v>#N/A</v>
      </c>
      <c r="AF18" s="30" t="str">
        <f>Table1[[#This Row],[2019 Scope 1 (MeT Co2)]]</f>
        <v>#ERROR!</v>
      </c>
      <c r="AG18" s="31" t="str">
        <f t="shared" si="2"/>
        <v>#ERROR!</v>
      </c>
      <c r="AH18" s="32" t="str">
        <f t="shared" si="3"/>
        <v>#ERROR!</v>
      </c>
      <c r="AI18" s="28"/>
      <c r="AJ18" s="28"/>
      <c r="AK18" s="29" t="e">
        <v>#N/A</v>
      </c>
      <c r="AL18" s="29" t="e">
        <v>#N/A</v>
      </c>
      <c r="AM18" s="30" t="str">
        <f>Table1[[#This Row],[2019 Scope 2 ]]</f>
        <v>#ERROR!</v>
      </c>
      <c r="AN18" s="31" t="str">
        <f t="shared" si="4"/>
        <v>#ERROR!</v>
      </c>
      <c r="AO18" s="32" t="str">
        <f t="shared" si="5"/>
        <v>#ERROR!</v>
      </c>
      <c r="AP18" s="31" t="str">
        <f t="shared" si="6"/>
        <v>#ERROR!</v>
      </c>
      <c r="AQ18" s="32" t="str">
        <f t="shared" si="7"/>
        <v>#ERROR!</v>
      </c>
      <c r="AR18" s="33" t="str">
        <f>Table1[[#This Row],[2019 Scope 3 ]]</f>
        <v>#ERROR!</v>
      </c>
      <c r="AS18" s="34" t="str">
        <f t="shared" si="8"/>
        <v>#ERROR!</v>
      </c>
      <c r="AT18" s="35" t="str">
        <f t="shared" si="9"/>
        <v>#ERROR!</v>
      </c>
    </row>
    <row r="19" ht="12.75" customHeight="1">
      <c r="A19" s="17">
        <f>companies!A19</f>
        <v>18</v>
      </c>
      <c r="B19" s="19" t="s">
        <v>1060</v>
      </c>
      <c r="C19" s="19">
        <v>67031.0</v>
      </c>
      <c r="D19" s="19">
        <v>36802.0</v>
      </c>
      <c r="E19" s="19">
        <v>106.0</v>
      </c>
      <c r="F19" s="19">
        <v>334954.0</v>
      </c>
      <c r="G19" s="19">
        <v>32759.0</v>
      </c>
      <c r="H19" s="19">
        <v>10515.0</v>
      </c>
      <c r="I19" s="19" t="s">
        <v>25</v>
      </c>
      <c r="J19" s="19">
        <v>645.0</v>
      </c>
      <c r="K19" s="19">
        <v>24083.0</v>
      </c>
      <c r="L19" s="19">
        <v>9516.0</v>
      </c>
      <c r="M19" s="29">
        <v>0.0</v>
      </c>
      <c r="N19" s="29" t="s">
        <v>25</v>
      </c>
      <c r="O19" s="29" t="s">
        <v>25</v>
      </c>
      <c r="P19" s="29" t="s">
        <v>25</v>
      </c>
      <c r="Q19" s="29">
        <v>12065.0</v>
      </c>
      <c r="R19" s="19" t="s">
        <v>25</v>
      </c>
      <c r="S19" s="29" t="s">
        <v>25</v>
      </c>
      <c r="T19" s="29" t="s">
        <v>25</v>
      </c>
      <c r="U19" s="29" t="s">
        <v>25</v>
      </c>
      <c r="V19" s="29" t="s">
        <v>25</v>
      </c>
      <c r="W19" s="29">
        <f t="shared" si="1"/>
        <v>424537</v>
      </c>
      <c r="X19" s="19"/>
      <c r="Y19" s="19"/>
      <c r="Z19" s="19"/>
      <c r="AA19" s="19"/>
      <c r="AB19" s="19"/>
      <c r="AC19" s="19"/>
      <c r="AD19" s="29" t="s">
        <v>25</v>
      </c>
      <c r="AE19" s="29" t="s">
        <v>25</v>
      </c>
      <c r="AF19" s="30" t="str">
        <f>Table1[[#This Row],[2019 Scope 1 (MeT Co2)]]</f>
        <v>#ERROR!</v>
      </c>
      <c r="AG19" s="31" t="str">
        <f t="shared" si="2"/>
        <v>#ERROR!</v>
      </c>
      <c r="AH19" s="32" t="str">
        <f t="shared" si="3"/>
        <v>#ERROR!</v>
      </c>
      <c r="AI19" s="28"/>
      <c r="AJ19" s="28"/>
      <c r="AK19" s="29" t="s">
        <v>25</v>
      </c>
      <c r="AL19" s="29" t="s">
        <v>25</v>
      </c>
      <c r="AM19" s="30" t="str">
        <f>Table1[[#This Row],[2019 Scope 2 ]]</f>
        <v>#ERROR!</v>
      </c>
      <c r="AN19" s="31" t="str">
        <f t="shared" si="4"/>
        <v>#ERROR!</v>
      </c>
      <c r="AO19" s="32" t="str">
        <f t="shared" si="5"/>
        <v>#ERROR!</v>
      </c>
      <c r="AP19" s="31" t="str">
        <f t="shared" si="6"/>
        <v>#ERROR!</v>
      </c>
      <c r="AQ19" s="32" t="str">
        <f t="shared" si="7"/>
        <v>#ERROR!</v>
      </c>
      <c r="AR19" s="33" t="str">
        <f>Table1[[#This Row],[2019 Scope 3 ]]</f>
        <v>#ERROR!</v>
      </c>
      <c r="AS19" s="34" t="str">
        <f t="shared" si="8"/>
        <v>#ERROR!</v>
      </c>
      <c r="AT19" s="35" t="str">
        <f t="shared" si="9"/>
        <v>#ERROR!</v>
      </c>
      <c r="BI19" s="16">
        <v>1857.0</v>
      </c>
    </row>
    <row r="20" ht="12.75" customHeight="1">
      <c r="A20" s="17">
        <f>companies!A20</f>
        <v>19</v>
      </c>
      <c r="B20" s="19" t="s">
        <v>1060</v>
      </c>
      <c r="C20" s="19">
        <v>5589.0</v>
      </c>
      <c r="D20" s="19">
        <v>20369.0</v>
      </c>
      <c r="E20" s="19">
        <v>0.0</v>
      </c>
      <c r="F20" s="19">
        <v>351950.0</v>
      </c>
      <c r="G20" s="19">
        <v>15521.0</v>
      </c>
      <c r="H20" s="19">
        <v>7865.0</v>
      </c>
      <c r="I20" s="19">
        <v>2462.0</v>
      </c>
      <c r="J20" s="19">
        <v>1162.0</v>
      </c>
      <c r="K20" s="19">
        <v>39116.0</v>
      </c>
      <c r="L20" s="19">
        <v>1161.0</v>
      </c>
      <c r="M20" s="29">
        <v>777.0</v>
      </c>
      <c r="N20" s="29" t="s">
        <v>25</v>
      </c>
      <c r="O20" s="29" t="s">
        <v>25</v>
      </c>
      <c r="P20" s="29" t="s">
        <v>25</v>
      </c>
      <c r="Q20" s="29" t="s">
        <v>25</v>
      </c>
      <c r="R20" s="19" t="s">
        <v>25</v>
      </c>
      <c r="S20" s="29" t="s">
        <v>25</v>
      </c>
      <c r="T20" s="29" t="s">
        <v>25</v>
      </c>
      <c r="U20" s="29" t="s">
        <v>25</v>
      </c>
      <c r="V20" s="29" t="s">
        <v>25</v>
      </c>
      <c r="W20" s="29">
        <f t="shared" si="1"/>
        <v>420014</v>
      </c>
      <c r="X20" s="19"/>
      <c r="Y20" s="19"/>
      <c r="Z20" s="19"/>
      <c r="AA20" s="19"/>
      <c r="AB20" s="19"/>
      <c r="AC20" s="19"/>
      <c r="AD20" s="29" t="s">
        <v>25</v>
      </c>
      <c r="AE20" s="29" t="s">
        <v>25</v>
      </c>
      <c r="AF20" s="30" t="str">
        <f>Table1[[#This Row],[2019 Scope 1 (MeT Co2)]]</f>
        <v>#ERROR!</v>
      </c>
      <c r="AG20" s="31" t="str">
        <f t="shared" si="2"/>
        <v>#ERROR!</v>
      </c>
      <c r="AH20" s="32" t="str">
        <f t="shared" si="3"/>
        <v>#ERROR!</v>
      </c>
      <c r="AI20" s="28"/>
      <c r="AJ20" s="28"/>
      <c r="AK20" s="29" t="s">
        <v>25</v>
      </c>
      <c r="AL20" s="29" t="s">
        <v>25</v>
      </c>
      <c r="AM20" s="30" t="str">
        <f>Table1[[#This Row],[2019 Scope 2 ]]</f>
        <v>#ERROR!</v>
      </c>
      <c r="AN20" s="31" t="str">
        <f t="shared" si="4"/>
        <v>#ERROR!</v>
      </c>
      <c r="AO20" s="32" t="str">
        <f t="shared" si="5"/>
        <v>#ERROR!</v>
      </c>
      <c r="AP20" s="31" t="str">
        <f t="shared" si="6"/>
        <v>#ERROR!</v>
      </c>
      <c r="AQ20" s="32" t="str">
        <f t="shared" si="7"/>
        <v>#ERROR!</v>
      </c>
      <c r="AR20" s="33" t="str">
        <f>Table1[[#This Row],[2019 Scope 3 ]]</f>
        <v>#ERROR!</v>
      </c>
      <c r="AS20" s="34" t="str">
        <f t="shared" si="8"/>
        <v>#ERROR!</v>
      </c>
      <c r="AT20" s="35" t="str">
        <f t="shared" si="9"/>
        <v>#ERROR!</v>
      </c>
      <c r="BI20" s="16">
        <v>1875.0</v>
      </c>
    </row>
    <row r="21" ht="12.75" customHeight="1">
      <c r="A21" s="17">
        <f>companies!A21</f>
        <v>20</v>
      </c>
      <c r="B21" s="19" t="s">
        <v>1060</v>
      </c>
      <c r="C21" s="19">
        <v>613000.0</v>
      </c>
      <c r="D21" s="19">
        <v>871000.0</v>
      </c>
      <c r="E21" s="19">
        <v>733000.0</v>
      </c>
      <c r="F21" s="19" t="s">
        <v>25</v>
      </c>
      <c r="G21" s="19" t="s">
        <v>25</v>
      </c>
      <c r="H21" s="19" t="s">
        <v>25</v>
      </c>
      <c r="I21" s="19" t="s">
        <v>25</v>
      </c>
      <c r="J21" s="19" t="s">
        <v>25</v>
      </c>
      <c r="K21" s="19">
        <v>290000.0</v>
      </c>
      <c r="L21" s="19" t="s">
        <v>25</v>
      </c>
      <c r="M21" s="29" t="s">
        <v>25</v>
      </c>
      <c r="N21" s="29" t="s">
        <v>25</v>
      </c>
      <c r="O21" s="29" t="s">
        <v>25</v>
      </c>
      <c r="P21" s="29" t="s">
        <v>25</v>
      </c>
      <c r="Q21" s="29" t="s">
        <v>25</v>
      </c>
      <c r="R21" s="19" t="s">
        <v>25</v>
      </c>
      <c r="S21" s="29" t="s">
        <v>25</v>
      </c>
      <c r="T21" s="29" t="s">
        <v>25</v>
      </c>
      <c r="U21" s="29" t="s">
        <v>25</v>
      </c>
      <c r="V21" s="29" t="s">
        <v>25</v>
      </c>
      <c r="W21" s="29">
        <f t="shared" si="1"/>
        <v>290000</v>
      </c>
      <c r="X21" s="19"/>
      <c r="Y21" s="19"/>
      <c r="Z21" s="19"/>
      <c r="AA21" s="19"/>
      <c r="AB21" s="19"/>
      <c r="AC21" s="19"/>
      <c r="AD21" s="29" t="s">
        <v>25</v>
      </c>
      <c r="AE21" s="29" t="s">
        <v>25</v>
      </c>
      <c r="AF21" s="30" t="str">
        <f>Table1[[#This Row],[2019 Scope 1 (MeT Co2)]]</f>
        <v>#ERROR!</v>
      </c>
      <c r="AG21" s="31" t="str">
        <f t="shared" si="2"/>
        <v>#ERROR!</v>
      </c>
      <c r="AH21" s="32" t="str">
        <f t="shared" si="3"/>
        <v>#ERROR!</v>
      </c>
      <c r="AI21" s="28"/>
      <c r="AJ21" s="28"/>
      <c r="AK21" s="29" t="s">
        <v>25</v>
      </c>
      <c r="AL21" s="29" t="s">
        <v>25</v>
      </c>
      <c r="AM21" s="30" t="str">
        <f>Table1[[#This Row],[2019 Scope 2 ]]</f>
        <v>#ERROR!</v>
      </c>
      <c r="AN21" s="31" t="str">
        <f t="shared" si="4"/>
        <v>#ERROR!</v>
      </c>
      <c r="AO21" s="32" t="str">
        <f t="shared" si="5"/>
        <v>#ERROR!</v>
      </c>
      <c r="AP21" s="31" t="str">
        <f t="shared" si="6"/>
        <v>#ERROR!</v>
      </c>
      <c r="AQ21" s="32" t="str">
        <f t="shared" si="7"/>
        <v>#ERROR!</v>
      </c>
      <c r="AR21" s="33" t="str">
        <f>Table1[[#This Row],[2019 Scope 3 ]]</f>
        <v>#ERROR!</v>
      </c>
      <c r="AS21" s="34" t="str">
        <f t="shared" si="8"/>
        <v>#ERROR!</v>
      </c>
      <c r="AT21" s="35" t="str">
        <f t="shared" si="9"/>
        <v>#ERROR!</v>
      </c>
      <c r="BI21" s="16">
        <v>2017.0</v>
      </c>
    </row>
    <row r="22" ht="12.75" customHeight="1">
      <c r="A22" s="17">
        <f>companies!A22</f>
        <v>21</v>
      </c>
      <c r="B22" s="19" t="s">
        <v>1060</v>
      </c>
      <c r="C22" s="19" t="s">
        <v>1065</v>
      </c>
      <c r="D22" s="19" t="s">
        <v>1065</v>
      </c>
      <c r="E22" s="19" t="s">
        <v>1065</v>
      </c>
      <c r="F22" s="19" t="s">
        <v>1065</v>
      </c>
      <c r="G22" s="19" t="s">
        <v>1065</v>
      </c>
      <c r="H22" s="19" t="s">
        <v>1065</v>
      </c>
      <c r="I22" s="19" t="s">
        <v>1065</v>
      </c>
      <c r="J22" s="19" t="s">
        <v>1065</v>
      </c>
      <c r="K22" s="19" t="s">
        <v>1065</v>
      </c>
      <c r="L22" s="19" t="s">
        <v>1065</v>
      </c>
      <c r="M22" s="19" t="s">
        <v>1065</v>
      </c>
      <c r="N22" s="19" t="s">
        <v>1065</v>
      </c>
      <c r="O22" s="19" t="s">
        <v>1065</v>
      </c>
      <c r="P22" s="19" t="s">
        <v>1065</v>
      </c>
      <c r="Q22" s="19" t="s">
        <v>1065</v>
      </c>
      <c r="R22" s="19" t="s">
        <v>1065</v>
      </c>
      <c r="S22" s="19" t="s">
        <v>1065</v>
      </c>
      <c r="T22" s="19" t="s">
        <v>1065</v>
      </c>
      <c r="U22" s="19" t="s">
        <v>1065</v>
      </c>
      <c r="V22" s="19" t="s">
        <v>1065</v>
      </c>
      <c r="W22" s="29">
        <f t="shared" si="1"/>
        <v>0</v>
      </c>
      <c r="X22" s="29"/>
      <c r="Y22" s="29"/>
      <c r="Z22" s="29"/>
      <c r="AA22" s="29"/>
      <c r="AB22" s="29"/>
      <c r="AC22" s="29"/>
      <c r="AD22" s="29" t="e">
        <v>#N/A</v>
      </c>
      <c r="AE22" s="29" t="e">
        <v>#N/A</v>
      </c>
      <c r="AF22" s="30" t="str">
        <f>Table1[[#This Row],[2019 Scope 1 (MeT Co2)]]</f>
        <v>#ERROR!</v>
      </c>
      <c r="AG22" s="31" t="str">
        <f t="shared" si="2"/>
        <v>#ERROR!</v>
      </c>
      <c r="AH22" s="32" t="str">
        <f t="shared" si="3"/>
        <v>#ERROR!</v>
      </c>
      <c r="AI22" s="28"/>
      <c r="AJ22" s="28"/>
      <c r="AK22" s="29" t="e">
        <v>#N/A</v>
      </c>
      <c r="AL22" s="29" t="e">
        <v>#N/A</v>
      </c>
      <c r="AM22" s="30" t="str">
        <f>Table1[[#This Row],[2019 Scope 2 ]]</f>
        <v>#ERROR!</v>
      </c>
      <c r="AN22" s="31" t="str">
        <f t="shared" si="4"/>
        <v>#ERROR!</v>
      </c>
      <c r="AO22" s="32" t="str">
        <f t="shared" si="5"/>
        <v>#ERROR!</v>
      </c>
      <c r="AP22" s="31" t="str">
        <f t="shared" si="6"/>
        <v>#ERROR!</v>
      </c>
      <c r="AQ22" s="32" t="str">
        <f t="shared" si="7"/>
        <v>#ERROR!</v>
      </c>
      <c r="AR22" s="33" t="str">
        <f>Table1[[#This Row],[2019 Scope 3 ]]</f>
        <v>#ERROR!</v>
      </c>
      <c r="AS22" s="34" t="str">
        <f t="shared" si="8"/>
        <v>#ERROR!</v>
      </c>
      <c r="AT22" s="35" t="str">
        <f t="shared" si="9"/>
        <v>#ERROR!</v>
      </c>
    </row>
    <row r="23" ht="12.75" customHeight="1">
      <c r="A23" s="17">
        <f>companies!A23</f>
        <v>22</v>
      </c>
      <c r="B23" s="19" t="s">
        <v>1060</v>
      </c>
      <c r="C23" s="19">
        <v>189193.665</v>
      </c>
      <c r="D23" s="19">
        <v>122295.068</v>
      </c>
      <c r="E23" s="19">
        <v>111155.772</v>
      </c>
      <c r="F23" s="19">
        <v>1.705209485E7</v>
      </c>
      <c r="G23" s="19" t="s">
        <v>25</v>
      </c>
      <c r="H23" s="19">
        <v>23768.4</v>
      </c>
      <c r="I23" s="19">
        <v>28267.28</v>
      </c>
      <c r="J23" s="19">
        <v>4607.31</v>
      </c>
      <c r="K23" s="19">
        <v>55785.66</v>
      </c>
      <c r="L23" s="19">
        <v>20400.0</v>
      </c>
      <c r="M23" s="29" t="s">
        <v>25</v>
      </c>
      <c r="N23" s="29" t="s">
        <v>25</v>
      </c>
      <c r="O23" s="29" t="s">
        <v>25</v>
      </c>
      <c r="P23" s="29" t="s">
        <v>25</v>
      </c>
      <c r="Q23" s="29" t="s">
        <v>25</v>
      </c>
      <c r="R23" s="19" t="s">
        <v>25</v>
      </c>
      <c r="S23" s="29" t="s">
        <v>25</v>
      </c>
      <c r="T23" s="29" t="s">
        <v>25</v>
      </c>
      <c r="U23" s="29" t="s">
        <v>25</v>
      </c>
      <c r="V23" s="29" t="s">
        <v>25</v>
      </c>
      <c r="W23" s="29">
        <f t="shared" si="1"/>
        <v>17184923.5</v>
      </c>
      <c r="X23" s="29"/>
      <c r="Y23" s="29"/>
      <c r="Z23" s="29"/>
      <c r="AA23" s="29"/>
      <c r="AB23" s="29"/>
      <c r="AC23" s="29"/>
      <c r="AD23" s="29" t="s">
        <v>25</v>
      </c>
      <c r="AE23" s="29" t="s">
        <v>25</v>
      </c>
      <c r="AF23" s="30" t="str">
        <f>Table1[[#This Row],[2019 Scope 1 (MeT Co2)]]</f>
        <v>#ERROR!</v>
      </c>
      <c r="AG23" s="31" t="str">
        <f t="shared" si="2"/>
        <v>#ERROR!</v>
      </c>
      <c r="AH23" s="32" t="str">
        <f t="shared" si="3"/>
        <v>#ERROR!</v>
      </c>
      <c r="AI23" s="28"/>
      <c r="AJ23" s="28"/>
      <c r="AK23" s="29" t="s">
        <v>25</v>
      </c>
      <c r="AL23" s="29" t="s">
        <v>25</v>
      </c>
      <c r="AM23" s="30" t="str">
        <f>Table1[[#This Row],[2019 Scope 2 ]]</f>
        <v>#ERROR!</v>
      </c>
      <c r="AN23" s="31" t="str">
        <f t="shared" si="4"/>
        <v>#ERROR!</v>
      </c>
      <c r="AO23" s="32" t="str">
        <f t="shared" si="5"/>
        <v>#ERROR!</v>
      </c>
      <c r="AP23" s="31" t="str">
        <f t="shared" si="6"/>
        <v>#ERROR!</v>
      </c>
      <c r="AQ23" s="32" t="str">
        <f t="shared" si="7"/>
        <v>#ERROR!</v>
      </c>
      <c r="AR23" s="33" t="str">
        <f>Table1[[#This Row],[2019 Scope 3 ]]</f>
        <v>#ERROR!</v>
      </c>
      <c r="AS23" s="34" t="str">
        <f t="shared" si="8"/>
        <v>#ERROR!</v>
      </c>
      <c r="AT23" s="35" t="str">
        <f t="shared" si="9"/>
        <v>#ERROR!</v>
      </c>
      <c r="BI23" s="16">
        <v>2191.0</v>
      </c>
    </row>
    <row r="24" ht="12.75" customHeight="1">
      <c r="A24" s="17">
        <f>companies!A24</f>
        <v>23</v>
      </c>
      <c r="B24" s="19" t="s">
        <v>1060</v>
      </c>
      <c r="C24" s="19">
        <v>9495.0</v>
      </c>
      <c r="D24" s="19">
        <v>146671.0</v>
      </c>
      <c r="E24" s="19">
        <v>135.0</v>
      </c>
      <c r="F24" s="19">
        <v>165571.0</v>
      </c>
      <c r="G24" s="19" t="s">
        <v>25</v>
      </c>
      <c r="H24" s="19">
        <v>8156.0</v>
      </c>
      <c r="I24" s="19">
        <v>67870.0</v>
      </c>
      <c r="J24" s="19">
        <v>4762.0</v>
      </c>
      <c r="K24" s="19">
        <v>37500.0</v>
      </c>
      <c r="L24" s="19">
        <v>101249.0</v>
      </c>
      <c r="M24" s="29" t="s">
        <v>25</v>
      </c>
      <c r="N24" s="29" t="s">
        <v>25</v>
      </c>
      <c r="O24" s="29" t="s">
        <v>25</v>
      </c>
      <c r="P24" s="29" t="s">
        <v>25</v>
      </c>
      <c r="Q24" s="29" t="s">
        <v>25</v>
      </c>
      <c r="R24" s="19">
        <v>5866.51</v>
      </c>
      <c r="S24" s="29" t="s">
        <v>25</v>
      </c>
      <c r="T24" s="29" t="s">
        <v>25</v>
      </c>
      <c r="U24" s="29" t="s">
        <v>25</v>
      </c>
      <c r="V24" s="29" t="s">
        <v>25</v>
      </c>
      <c r="W24" s="29">
        <f t="shared" si="1"/>
        <v>390974.51</v>
      </c>
      <c r="X24" s="19"/>
      <c r="Y24" s="19"/>
      <c r="Z24" s="19"/>
      <c r="AA24" s="19"/>
      <c r="AB24" s="19"/>
      <c r="AC24" s="19"/>
      <c r="AD24" s="29" t="s">
        <v>25</v>
      </c>
      <c r="AE24" s="29" t="s">
        <v>25</v>
      </c>
      <c r="AF24" s="30" t="str">
        <f>Table1[[#This Row],[2019 Scope 1 (MeT Co2)]]</f>
        <v>#ERROR!</v>
      </c>
      <c r="AG24" s="31" t="str">
        <f t="shared" si="2"/>
        <v>#ERROR!</v>
      </c>
      <c r="AH24" s="32" t="str">
        <f t="shared" si="3"/>
        <v>#ERROR!</v>
      </c>
      <c r="AI24" s="28"/>
      <c r="AJ24" s="28"/>
      <c r="AK24" s="29" t="s">
        <v>25</v>
      </c>
      <c r="AL24" s="29" t="s">
        <v>25</v>
      </c>
      <c r="AM24" s="30" t="str">
        <f>Table1[[#This Row],[2019 Scope 2 ]]</f>
        <v>#ERROR!</v>
      </c>
      <c r="AN24" s="31" t="str">
        <f t="shared" si="4"/>
        <v>#ERROR!</v>
      </c>
      <c r="AO24" s="32" t="str">
        <f t="shared" si="5"/>
        <v>#ERROR!</v>
      </c>
      <c r="AP24" s="31" t="str">
        <f t="shared" si="6"/>
        <v>#ERROR!</v>
      </c>
      <c r="AQ24" s="32" t="str">
        <f t="shared" si="7"/>
        <v>#ERROR!</v>
      </c>
      <c r="AR24" s="33" t="str">
        <f>Table1[[#This Row],[2019 Scope 3 ]]</f>
        <v>#ERROR!</v>
      </c>
      <c r="AS24" s="34" t="str">
        <f t="shared" si="8"/>
        <v>#ERROR!</v>
      </c>
      <c r="AT24" s="35" t="str">
        <f t="shared" si="9"/>
        <v>#ERROR!</v>
      </c>
      <c r="BI24" s="16">
        <v>2695.0</v>
      </c>
    </row>
    <row r="25" ht="12.75" customHeight="1">
      <c r="A25" s="17">
        <f>companies!A25</f>
        <v>24</v>
      </c>
      <c r="B25" s="19" t="s">
        <v>1060</v>
      </c>
      <c r="C25" s="19" t="s">
        <v>1065</v>
      </c>
      <c r="D25" s="19" t="s">
        <v>1065</v>
      </c>
      <c r="E25" s="19" t="s">
        <v>1065</v>
      </c>
      <c r="F25" s="19" t="s">
        <v>1065</v>
      </c>
      <c r="G25" s="19" t="s">
        <v>1065</v>
      </c>
      <c r="H25" s="19" t="s">
        <v>1065</v>
      </c>
      <c r="I25" s="19" t="s">
        <v>1065</v>
      </c>
      <c r="J25" s="19" t="s">
        <v>1065</v>
      </c>
      <c r="K25" s="19" t="s">
        <v>1065</v>
      </c>
      <c r="L25" s="19" t="s">
        <v>1065</v>
      </c>
      <c r="M25" s="19" t="s">
        <v>1065</v>
      </c>
      <c r="N25" s="19" t="s">
        <v>1065</v>
      </c>
      <c r="O25" s="19" t="s">
        <v>1065</v>
      </c>
      <c r="P25" s="19" t="s">
        <v>1065</v>
      </c>
      <c r="Q25" s="19" t="s">
        <v>1065</v>
      </c>
      <c r="R25" s="19" t="s">
        <v>1065</v>
      </c>
      <c r="S25" s="19" t="s">
        <v>1065</v>
      </c>
      <c r="T25" s="19" t="s">
        <v>1065</v>
      </c>
      <c r="U25" s="19" t="s">
        <v>1065</v>
      </c>
      <c r="V25" s="19" t="s">
        <v>1065</v>
      </c>
      <c r="W25" s="29">
        <f t="shared" si="1"/>
        <v>0</v>
      </c>
      <c r="X25" s="29"/>
      <c r="Y25" s="29"/>
      <c r="Z25" s="29"/>
      <c r="AA25" s="29"/>
      <c r="AB25" s="29"/>
      <c r="AC25" s="29"/>
      <c r="AD25" s="29" t="e">
        <v>#N/A</v>
      </c>
      <c r="AE25" s="29" t="e">
        <v>#N/A</v>
      </c>
      <c r="AF25" s="30" t="str">
        <f>Table1[[#This Row],[2019 Scope 1 (MeT Co2)]]</f>
        <v>#ERROR!</v>
      </c>
      <c r="AG25" s="31" t="str">
        <f t="shared" si="2"/>
        <v>#ERROR!</v>
      </c>
      <c r="AH25" s="32" t="str">
        <f t="shared" si="3"/>
        <v>#ERROR!</v>
      </c>
      <c r="AI25" s="28"/>
      <c r="AJ25" s="28"/>
      <c r="AK25" s="29" t="e">
        <v>#N/A</v>
      </c>
      <c r="AL25" s="29" t="e">
        <v>#N/A</v>
      </c>
      <c r="AM25" s="30" t="str">
        <f>Table1[[#This Row],[2019 Scope 2 ]]</f>
        <v>#ERROR!</v>
      </c>
      <c r="AN25" s="31" t="str">
        <f t="shared" si="4"/>
        <v>#ERROR!</v>
      </c>
      <c r="AO25" s="32" t="str">
        <f t="shared" si="5"/>
        <v>#ERROR!</v>
      </c>
      <c r="AP25" s="31" t="str">
        <f t="shared" si="6"/>
        <v>#ERROR!</v>
      </c>
      <c r="AQ25" s="32" t="str">
        <f t="shared" si="7"/>
        <v>#ERROR!</v>
      </c>
      <c r="AR25" s="33" t="str">
        <f>Table1[[#This Row],[2019 Scope 3 ]]</f>
        <v>#ERROR!</v>
      </c>
      <c r="AS25" s="34" t="str">
        <f t="shared" si="8"/>
        <v>#ERROR!</v>
      </c>
      <c r="AT25" s="35" t="str">
        <f t="shared" si="9"/>
        <v>#ERROR!</v>
      </c>
    </row>
    <row r="26" ht="12.75" customHeight="1">
      <c r="A26" s="17">
        <f>companies!A26</f>
        <v>25</v>
      </c>
      <c r="B26" s="19" t="s">
        <v>1060</v>
      </c>
      <c r="C26" s="19" t="s">
        <v>1065</v>
      </c>
      <c r="D26" s="19" t="s">
        <v>1065</v>
      </c>
      <c r="E26" s="19" t="s">
        <v>1065</v>
      </c>
      <c r="F26" s="19" t="s">
        <v>1065</v>
      </c>
      <c r="G26" s="19" t="s">
        <v>1065</v>
      </c>
      <c r="H26" s="19" t="s">
        <v>1065</v>
      </c>
      <c r="I26" s="19" t="s">
        <v>1065</v>
      </c>
      <c r="J26" s="19" t="s">
        <v>1065</v>
      </c>
      <c r="K26" s="19" t="s">
        <v>1065</v>
      </c>
      <c r="L26" s="19" t="s">
        <v>1065</v>
      </c>
      <c r="M26" s="19" t="s">
        <v>1065</v>
      </c>
      <c r="N26" s="19" t="s">
        <v>1065</v>
      </c>
      <c r="O26" s="19" t="s">
        <v>1065</v>
      </c>
      <c r="P26" s="19" t="s">
        <v>1065</v>
      </c>
      <c r="Q26" s="19" t="s">
        <v>1065</v>
      </c>
      <c r="R26" s="19" t="s">
        <v>1065</v>
      </c>
      <c r="S26" s="19" t="s">
        <v>1065</v>
      </c>
      <c r="T26" s="19" t="s">
        <v>1065</v>
      </c>
      <c r="U26" s="19" t="s">
        <v>1065</v>
      </c>
      <c r="V26" s="19" t="s">
        <v>1065</v>
      </c>
      <c r="W26" s="29">
        <f t="shared" si="1"/>
        <v>0</v>
      </c>
      <c r="X26" s="29"/>
      <c r="Y26" s="29"/>
      <c r="Z26" s="29"/>
      <c r="AA26" s="29"/>
      <c r="AB26" s="29"/>
      <c r="AC26" s="29"/>
      <c r="AD26" s="29" t="e">
        <v>#N/A</v>
      </c>
      <c r="AE26" s="29" t="e">
        <v>#N/A</v>
      </c>
      <c r="AF26" s="30" t="str">
        <f>Table1[[#This Row],[2019 Scope 1 (MeT Co2)]]</f>
        <v>#ERROR!</v>
      </c>
      <c r="AG26" s="31" t="str">
        <f t="shared" si="2"/>
        <v>#ERROR!</v>
      </c>
      <c r="AH26" s="32" t="str">
        <f t="shared" si="3"/>
        <v>#ERROR!</v>
      </c>
      <c r="AI26" s="28"/>
      <c r="AJ26" s="28"/>
      <c r="AK26" s="29" t="e">
        <v>#N/A</v>
      </c>
      <c r="AL26" s="29" t="e">
        <v>#N/A</v>
      </c>
      <c r="AM26" s="30" t="str">
        <f>Table1[[#This Row],[2019 Scope 2 ]]</f>
        <v>#ERROR!</v>
      </c>
      <c r="AN26" s="31" t="str">
        <f t="shared" si="4"/>
        <v>#ERROR!</v>
      </c>
      <c r="AO26" s="32" t="str">
        <f t="shared" si="5"/>
        <v>#ERROR!</v>
      </c>
      <c r="AP26" s="31" t="str">
        <f t="shared" si="6"/>
        <v>#ERROR!</v>
      </c>
      <c r="AQ26" s="32" t="str">
        <f t="shared" si="7"/>
        <v>#ERROR!</v>
      </c>
      <c r="AR26" s="33" t="str">
        <f>Table1[[#This Row],[2019 Scope 3 ]]</f>
        <v>#ERROR!</v>
      </c>
      <c r="AS26" s="34" t="str">
        <f t="shared" si="8"/>
        <v>#ERROR!</v>
      </c>
      <c r="AT26" s="35" t="str">
        <f t="shared" si="9"/>
        <v>#ERROR!</v>
      </c>
    </row>
    <row r="27" ht="12.75" customHeight="1">
      <c r="A27" s="17">
        <f>companies!A27</f>
        <v>26</v>
      </c>
      <c r="B27" s="19" t="s">
        <v>1060</v>
      </c>
      <c r="C27" s="19" t="s">
        <v>1065</v>
      </c>
      <c r="D27" s="19" t="s">
        <v>1065</v>
      </c>
      <c r="E27" s="19" t="s">
        <v>1065</v>
      </c>
      <c r="F27" s="19" t="s">
        <v>1065</v>
      </c>
      <c r="G27" s="19" t="s">
        <v>1065</v>
      </c>
      <c r="H27" s="19" t="s">
        <v>1065</v>
      </c>
      <c r="I27" s="19" t="s">
        <v>1065</v>
      </c>
      <c r="J27" s="19" t="s">
        <v>1065</v>
      </c>
      <c r="K27" s="19" t="s">
        <v>1065</v>
      </c>
      <c r="L27" s="19" t="s">
        <v>1065</v>
      </c>
      <c r="M27" s="19" t="s">
        <v>1065</v>
      </c>
      <c r="N27" s="19" t="s">
        <v>1065</v>
      </c>
      <c r="O27" s="19" t="s">
        <v>1065</v>
      </c>
      <c r="P27" s="19" t="s">
        <v>1065</v>
      </c>
      <c r="Q27" s="19" t="s">
        <v>1065</v>
      </c>
      <c r="R27" s="19" t="s">
        <v>1065</v>
      </c>
      <c r="S27" s="19" t="s">
        <v>1065</v>
      </c>
      <c r="T27" s="19" t="s">
        <v>1065</v>
      </c>
      <c r="U27" s="19" t="s">
        <v>1065</v>
      </c>
      <c r="V27" s="19" t="s">
        <v>1065</v>
      </c>
      <c r="W27" s="29">
        <f t="shared" si="1"/>
        <v>0</v>
      </c>
      <c r="X27" s="29"/>
      <c r="Y27" s="29"/>
      <c r="Z27" s="29"/>
      <c r="AA27" s="29"/>
      <c r="AB27" s="29"/>
      <c r="AC27" s="29"/>
      <c r="AD27" s="29" t="e">
        <v>#N/A</v>
      </c>
      <c r="AE27" s="29" t="e">
        <v>#N/A</v>
      </c>
      <c r="AF27" s="30" t="str">
        <f>Table1[[#This Row],[2019 Scope 1 (MeT Co2)]]</f>
        <v>#ERROR!</v>
      </c>
      <c r="AG27" s="31" t="str">
        <f t="shared" si="2"/>
        <v>#ERROR!</v>
      </c>
      <c r="AH27" s="32" t="str">
        <f t="shared" si="3"/>
        <v>#ERROR!</v>
      </c>
      <c r="AI27" s="28"/>
      <c r="AJ27" s="28"/>
      <c r="AK27" s="29" t="e">
        <v>#N/A</v>
      </c>
      <c r="AL27" s="29" t="e">
        <v>#N/A</v>
      </c>
      <c r="AM27" s="30" t="str">
        <f>Table1[[#This Row],[2019 Scope 2 ]]</f>
        <v>#ERROR!</v>
      </c>
      <c r="AN27" s="31" t="str">
        <f t="shared" si="4"/>
        <v>#ERROR!</v>
      </c>
      <c r="AO27" s="32" t="str">
        <f t="shared" si="5"/>
        <v>#ERROR!</v>
      </c>
      <c r="AP27" s="31" t="str">
        <f t="shared" si="6"/>
        <v>#ERROR!</v>
      </c>
      <c r="AQ27" s="32" t="str">
        <f t="shared" si="7"/>
        <v>#ERROR!</v>
      </c>
      <c r="AR27" s="33" t="str">
        <f>Table1[[#This Row],[2019 Scope 3 ]]</f>
        <v>#ERROR!</v>
      </c>
      <c r="AS27" s="34" t="str">
        <f t="shared" si="8"/>
        <v>#ERROR!</v>
      </c>
      <c r="AT27" s="35" t="str">
        <f t="shared" si="9"/>
        <v>#ERROR!</v>
      </c>
    </row>
    <row r="28" ht="12.75" customHeight="1">
      <c r="A28" s="17">
        <f>companies!A28</f>
        <v>27</v>
      </c>
      <c r="B28" s="19" t="s">
        <v>1060</v>
      </c>
      <c r="C28" s="19">
        <v>41181.0</v>
      </c>
      <c r="D28" s="19">
        <v>651331.0</v>
      </c>
      <c r="E28" s="19">
        <v>187428.0</v>
      </c>
      <c r="F28" s="19">
        <v>1154682.0</v>
      </c>
      <c r="G28" s="19">
        <v>40020.0</v>
      </c>
      <c r="H28" s="19">
        <v>39054.0</v>
      </c>
      <c r="I28" s="19">
        <v>36598.0</v>
      </c>
      <c r="J28" s="19">
        <v>779.0</v>
      </c>
      <c r="K28" s="19">
        <v>207323.0</v>
      </c>
      <c r="L28" s="19">
        <v>79699.0</v>
      </c>
      <c r="M28" s="29" t="s">
        <v>25</v>
      </c>
      <c r="N28" s="29">
        <v>83396.0</v>
      </c>
      <c r="O28" s="29" t="s">
        <v>25</v>
      </c>
      <c r="P28" s="29">
        <v>2.4929174E7</v>
      </c>
      <c r="Q28" s="29">
        <v>272.0</v>
      </c>
      <c r="R28" s="19" t="s">
        <v>25</v>
      </c>
      <c r="S28" s="29" t="s">
        <v>25</v>
      </c>
      <c r="T28" s="29" t="s">
        <v>25</v>
      </c>
      <c r="U28" s="29" t="s">
        <v>25</v>
      </c>
      <c r="V28" s="29" t="s">
        <v>25</v>
      </c>
      <c r="W28" s="29">
        <f t="shared" si="1"/>
        <v>26570997</v>
      </c>
      <c r="X28" s="19"/>
      <c r="Y28" s="19"/>
      <c r="Z28" s="19"/>
      <c r="AA28" s="19"/>
      <c r="AB28" s="19"/>
      <c r="AC28" s="19"/>
      <c r="AD28" s="29" t="s">
        <v>25</v>
      </c>
      <c r="AE28" s="29" t="s">
        <v>25</v>
      </c>
      <c r="AF28" s="30" t="str">
        <f>Table1[[#This Row],[2019 Scope 1 (MeT Co2)]]</f>
        <v>#ERROR!</v>
      </c>
      <c r="AG28" s="31" t="str">
        <f t="shared" si="2"/>
        <v>#ERROR!</v>
      </c>
      <c r="AH28" s="32" t="str">
        <f t="shared" si="3"/>
        <v>#ERROR!</v>
      </c>
      <c r="AI28" s="28"/>
      <c r="AJ28" s="28"/>
      <c r="AK28" s="29" t="s">
        <v>25</v>
      </c>
      <c r="AL28" s="29" t="s">
        <v>25</v>
      </c>
      <c r="AM28" s="30" t="str">
        <f>Table1[[#This Row],[2019 Scope 2 ]]</f>
        <v>#ERROR!</v>
      </c>
      <c r="AN28" s="31" t="str">
        <f t="shared" si="4"/>
        <v>#ERROR!</v>
      </c>
      <c r="AO28" s="32" t="str">
        <f t="shared" si="5"/>
        <v>#ERROR!</v>
      </c>
      <c r="AP28" s="31" t="str">
        <f t="shared" si="6"/>
        <v>#ERROR!</v>
      </c>
      <c r="AQ28" s="32" t="str">
        <f t="shared" si="7"/>
        <v>#ERROR!</v>
      </c>
      <c r="AR28" s="33" t="str">
        <f>Table1[[#This Row],[2019 Scope 3 ]]</f>
        <v>#ERROR!</v>
      </c>
      <c r="AS28" s="34" t="str">
        <f t="shared" si="8"/>
        <v>#ERROR!</v>
      </c>
      <c r="AT28" s="35" t="str">
        <f t="shared" si="9"/>
        <v>#ERROR!</v>
      </c>
      <c r="BI28" s="16">
        <v>3329.0</v>
      </c>
    </row>
    <row r="29" ht="12.75" customHeight="1">
      <c r="A29" s="17">
        <f>companies!A29</f>
        <v>28</v>
      </c>
      <c r="B29" s="19" t="s">
        <v>1060</v>
      </c>
      <c r="C29" s="19">
        <v>23289.0</v>
      </c>
      <c r="D29" s="19">
        <v>593611.0</v>
      </c>
      <c r="E29" s="19">
        <v>359748.0</v>
      </c>
      <c r="F29" s="19">
        <v>3057.83</v>
      </c>
      <c r="G29" s="19">
        <v>365372.29</v>
      </c>
      <c r="H29" s="19">
        <v>170626.34</v>
      </c>
      <c r="I29" s="19" t="s">
        <v>25</v>
      </c>
      <c r="J29" s="19" t="s">
        <v>25</v>
      </c>
      <c r="K29" s="19">
        <v>126229.0</v>
      </c>
      <c r="L29" s="19">
        <v>82627.85</v>
      </c>
      <c r="M29" s="29" t="s">
        <v>25</v>
      </c>
      <c r="N29" s="29" t="s">
        <v>25</v>
      </c>
      <c r="O29" s="29" t="s">
        <v>25</v>
      </c>
      <c r="P29" s="29" t="s">
        <v>25</v>
      </c>
      <c r="Q29" s="29" t="s">
        <v>25</v>
      </c>
      <c r="R29" s="19" t="s">
        <v>25</v>
      </c>
      <c r="S29" s="29" t="s">
        <v>25</v>
      </c>
      <c r="T29" s="29" t="s">
        <v>25</v>
      </c>
      <c r="U29" s="29" t="s">
        <v>25</v>
      </c>
      <c r="V29" s="29" t="s">
        <v>25</v>
      </c>
      <c r="W29" s="29">
        <f t="shared" si="1"/>
        <v>747913.31</v>
      </c>
      <c r="X29" s="19"/>
      <c r="Y29" s="19"/>
      <c r="Z29" s="19"/>
      <c r="AA29" s="19"/>
      <c r="AB29" s="19"/>
      <c r="AC29" s="19"/>
      <c r="AD29" s="29" t="s">
        <v>25</v>
      </c>
      <c r="AE29" s="29" t="s">
        <v>25</v>
      </c>
      <c r="AF29" s="30" t="str">
        <f>Table1[[#This Row],[2019 Scope 1 (MeT Co2)]]</f>
        <v>#ERROR!</v>
      </c>
      <c r="AG29" s="31" t="str">
        <f t="shared" si="2"/>
        <v>#ERROR!</v>
      </c>
      <c r="AH29" s="32" t="str">
        <f t="shared" si="3"/>
        <v>#ERROR!</v>
      </c>
      <c r="AI29" s="28"/>
      <c r="AJ29" s="28"/>
      <c r="AK29" s="29" t="s">
        <v>25</v>
      </c>
      <c r="AL29" s="29" t="s">
        <v>25</v>
      </c>
      <c r="AM29" s="30" t="str">
        <f>Table1[[#This Row],[2019 Scope 2 ]]</f>
        <v>#ERROR!</v>
      </c>
      <c r="AN29" s="31" t="str">
        <f t="shared" si="4"/>
        <v>#ERROR!</v>
      </c>
      <c r="AO29" s="32" t="str">
        <f t="shared" si="5"/>
        <v>#ERROR!</v>
      </c>
      <c r="AP29" s="31" t="str">
        <f t="shared" si="6"/>
        <v>#ERROR!</v>
      </c>
      <c r="AQ29" s="32" t="str">
        <f t="shared" si="7"/>
        <v>#ERROR!</v>
      </c>
      <c r="AR29" s="33" t="str">
        <f>Table1[[#This Row],[2019 Scope 3 ]]</f>
        <v>#ERROR!</v>
      </c>
      <c r="AS29" s="34" t="str">
        <f t="shared" si="8"/>
        <v>#ERROR!</v>
      </c>
      <c r="AT29" s="35" t="str">
        <f t="shared" si="9"/>
        <v>#ERROR!</v>
      </c>
      <c r="BI29" s="16">
        <v>3398.0</v>
      </c>
    </row>
    <row r="30" ht="12.75" customHeight="1">
      <c r="A30" s="17">
        <f>companies!A30</f>
        <v>29</v>
      </c>
      <c r="B30" s="19" t="s">
        <v>1060</v>
      </c>
      <c r="C30" s="19">
        <v>687597.0</v>
      </c>
      <c r="D30" s="19">
        <v>868343.0</v>
      </c>
      <c r="E30" s="19">
        <v>871304.0</v>
      </c>
      <c r="F30" s="19">
        <v>2.2809959E7</v>
      </c>
      <c r="G30" s="19">
        <v>1799000.0</v>
      </c>
      <c r="H30" s="19" t="s">
        <v>25</v>
      </c>
      <c r="I30" s="19" t="s">
        <v>25</v>
      </c>
      <c r="J30" s="19">
        <v>0.0</v>
      </c>
      <c r="K30" s="19">
        <v>130838.0</v>
      </c>
      <c r="L30" s="19" t="s">
        <v>25</v>
      </c>
      <c r="M30" s="29" t="s">
        <v>25</v>
      </c>
      <c r="N30" s="29">
        <v>2290854.0</v>
      </c>
      <c r="O30" s="29">
        <v>2.2630377E7</v>
      </c>
      <c r="P30" s="29" t="s">
        <v>25</v>
      </c>
      <c r="Q30" s="29" t="s">
        <v>25</v>
      </c>
      <c r="R30" s="19" t="s">
        <v>25</v>
      </c>
      <c r="S30" s="29">
        <v>4378013.0</v>
      </c>
      <c r="T30" s="29" t="s">
        <v>25</v>
      </c>
      <c r="U30" s="29" t="s">
        <v>25</v>
      </c>
      <c r="V30" s="29" t="s">
        <v>25</v>
      </c>
      <c r="W30" s="29">
        <f t="shared" si="1"/>
        <v>54039041</v>
      </c>
      <c r="X30" s="19"/>
      <c r="Y30" s="19"/>
      <c r="Z30" s="19"/>
      <c r="AA30" s="19"/>
      <c r="AB30" s="19"/>
      <c r="AC30" s="19"/>
      <c r="AD30" s="29" t="s">
        <v>25</v>
      </c>
      <c r="AE30" s="29" t="s">
        <v>25</v>
      </c>
      <c r="AF30" s="30" t="str">
        <f>Table1[[#This Row],[2019 Scope 1 (MeT Co2)]]</f>
        <v>#ERROR!</v>
      </c>
      <c r="AG30" s="31" t="str">
        <f t="shared" si="2"/>
        <v>#ERROR!</v>
      </c>
      <c r="AH30" s="36" t="str">
        <f t="shared" si="3"/>
        <v>#ERROR!</v>
      </c>
      <c r="AI30" s="28"/>
      <c r="AJ30" s="28"/>
      <c r="AK30" s="29" t="s">
        <v>25</v>
      </c>
      <c r="AL30" s="29" t="s">
        <v>25</v>
      </c>
      <c r="AM30" s="30" t="str">
        <f>Table1[[#This Row],[2019 Scope 2 ]]</f>
        <v>#ERROR!</v>
      </c>
      <c r="AN30" s="31" t="str">
        <f t="shared" si="4"/>
        <v>#ERROR!</v>
      </c>
      <c r="AO30" s="36" t="str">
        <f t="shared" si="5"/>
        <v>#ERROR!</v>
      </c>
      <c r="AP30" s="31" t="str">
        <f t="shared" si="6"/>
        <v>#ERROR!</v>
      </c>
      <c r="AQ30" s="36" t="str">
        <f t="shared" si="7"/>
        <v>#ERROR!</v>
      </c>
      <c r="AR30" s="33" t="str">
        <f>Table1[[#This Row],[2019 Scope 3 ]]</f>
        <v>#ERROR!</v>
      </c>
      <c r="AS30" s="34" t="str">
        <f t="shared" si="8"/>
        <v>#ERROR!</v>
      </c>
      <c r="AT30" s="35" t="str">
        <f t="shared" si="9"/>
        <v>#ERROR!</v>
      </c>
      <c r="BI30" s="19">
        <v>3564.0</v>
      </c>
    </row>
    <row r="31" ht="12.75" customHeight="1">
      <c r="A31" s="17">
        <f>companies!A31</f>
        <v>30</v>
      </c>
      <c r="B31" s="19" t="s">
        <v>1060</v>
      </c>
      <c r="C31" s="19">
        <v>197523.0</v>
      </c>
      <c r="D31" s="19">
        <v>379901.0</v>
      </c>
      <c r="E31" s="19">
        <v>283289.0</v>
      </c>
      <c r="F31" s="19">
        <v>3998484.0</v>
      </c>
      <c r="G31" s="19">
        <v>107147.0</v>
      </c>
      <c r="H31" s="19">
        <v>144711.0</v>
      </c>
      <c r="I31" s="19">
        <v>622256.0</v>
      </c>
      <c r="J31" s="19">
        <v>43842.0</v>
      </c>
      <c r="K31" s="19">
        <v>43504.0</v>
      </c>
      <c r="L31" s="19">
        <v>75573.0</v>
      </c>
      <c r="M31" s="29">
        <v>70599.0</v>
      </c>
      <c r="N31" s="29" t="s">
        <v>25</v>
      </c>
      <c r="O31" s="29" t="s">
        <v>25</v>
      </c>
      <c r="P31" s="29">
        <v>4.2014727E7</v>
      </c>
      <c r="Q31" s="29">
        <v>1559375.0</v>
      </c>
      <c r="R31" s="19" t="s">
        <v>25</v>
      </c>
      <c r="S31" s="29" t="s">
        <v>25</v>
      </c>
      <c r="T31" s="29" t="s">
        <v>25</v>
      </c>
      <c r="U31" s="29" t="s">
        <v>25</v>
      </c>
      <c r="V31" s="29" t="s">
        <v>25</v>
      </c>
      <c r="W31" s="29">
        <f t="shared" si="1"/>
        <v>48680218</v>
      </c>
      <c r="X31" s="19"/>
      <c r="Y31" s="19"/>
      <c r="Z31" s="19"/>
      <c r="AA31" s="19"/>
      <c r="AB31" s="19"/>
      <c r="AC31" s="19"/>
      <c r="AD31" s="29" t="s">
        <v>25</v>
      </c>
      <c r="AE31" s="29" t="s">
        <v>25</v>
      </c>
      <c r="AF31" s="30" t="str">
        <f>Table1[[#This Row],[2019 Scope 1 (MeT Co2)]]</f>
        <v>#ERROR!</v>
      </c>
      <c r="AG31" s="31" t="str">
        <f t="shared" si="2"/>
        <v>#ERROR!</v>
      </c>
      <c r="AH31" s="32" t="str">
        <f t="shared" si="3"/>
        <v>#ERROR!</v>
      </c>
      <c r="AI31" s="28"/>
      <c r="AJ31" s="28"/>
      <c r="AK31" s="29" t="s">
        <v>25</v>
      </c>
      <c r="AL31" s="29" t="s">
        <v>25</v>
      </c>
      <c r="AM31" s="30" t="str">
        <f>Table1[[#This Row],[2019 Scope 2 ]]</f>
        <v>#ERROR!</v>
      </c>
      <c r="AN31" s="31" t="str">
        <f t="shared" si="4"/>
        <v>#ERROR!</v>
      </c>
      <c r="AO31" s="32" t="str">
        <f t="shared" si="5"/>
        <v>#ERROR!</v>
      </c>
      <c r="AP31" s="31" t="str">
        <f t="shared" si="6"/>
        <v>#ERROR!</v>
      </c>
      <c r="AQ31" s="32" t="str">
        <f t="shared" si="7"/>
        <v>#ERROR!</v>
      </c>
      <c r="AR31" s="33" t="str">
        <f>Table1[[#This Row],[2019 Scope 3 ]]</f>
        <v>#ERROR!</v>
      </c>
      <c r="AS31" s="34" t="str">
        <f t="shared" si="8"/>
        <v>#ERROR!</v>
      </c>
      <c r="AT31" s="35" t="str">
        <f t="shared" si="9"/>
        <v>#ERROR!</v>
      </c>
      <c r="BI31" s="19">
        <v>3551.0</v>
      </c>
    </row>
    <row r="32" ht="12.75" customHeight="1">
      <c r="A32" s="17">
        <f>companies!A32</f>
        <v>31</v>
      </c>
      <c r="B32" s="19" t="s">
        <v>1060</v>
      </c>
      <c r="C32" s="19">
        <v>498455.0</v>
      </c>
      <c r="D32" s="19">
        <v>1568717.0</v>
      </c>
      <c r="E32" s="19">
        <v>1496771.0</v>
      </c>
      <c r="F32" s="19" t="s">
        <v>25</v>
      </c>
      <c r="G32" s="19" t="s">
        <v>25</v>
      </c>
      <c r="H32" s="19" t="s">
        <v>25</v>
      </c>
      <c r="I32" s="19" t="s">
        <v>25</v>
      </c>
      <c r="J32" s="19" t="s">
        <v>25</v>
      </c>
      <c r="K32" s="19" t="s">
        <v>25</v>
      </c>
      <c r="L32" s="19" t="s">
        <v>25</v>
      </c>
      <c r="M32" s="29" t="s">
        <v>25</v>
      </c>
      <c r="N32" s="29" t="s">
        <v>25</v>
      </c>
      <c r="O32" s="29" t="s">
        <v>25</v>
      </c>
      <c r="P32" s="29" t="s">
        <v>25</v>
      </c>
      <c r="Q32" s="29" t="s">
        <v>25</v>
      </c>
      <c r="R32" s="19" t="s">
        <v>25</v>
      </c>
      <c r="S32" s="29" t="s">
        <v>25</v>
      </c>
      <c r="T32" s="29" t="s">
        <v>25</v>
      </c>
      <c r="U32" s="29" t="s">
        <v>25</v>
      </c>
      <c r="V32" s="29" t="s">
        <v>25</v>
      </c>
      <c r="W32" s="29">
        <f t="shared" si="1"/>
        <v>0</v>
      </c>
      <c r="X32" s="19"/>
      <c r="Y32" s="19"/>
      <c r="Z32" s="19"/>
      <c r="AA32" s="19"/>
      <c r="AB32" s="19"/>
      <c r="AC32" s="19"/>
      <c r="AD32" s="29" t="s">
        <v>25</v>
      </c>
      <c r="AE32" s="29" t="s">
        <v>25</v>
      </c>
      <c r="AF32" s="30" t="str">
        <f>Table1[[#This Row],[2019 Scope 1 (MeT Co2)]]</f>
        <v>#ERROR!</v>
      </c>
      <c r="AG32" s="31" t="str">
        <f t="shared" si="2"/>
        <v>#ERROR!</v>
      </c>
      <c r="AH32" s="32" t="str">
        <f t="shared" si="3"/>
        <v>#ERROR!</v>
      </c>
      <c r="AI32" s="28"/>
      <c r="AJ32" s="28"/>
      <c r="AK32" s="29" t="s">
        <v>25</v>
      </c>
      <c r="AL32" s="29" t="s">
        <v>25</v>
      </c>
      <c r="AM32" s="30" t="str">
        <f>Table1[[#This Row],[2019 Scope 2 ]]</f>
        <v>#ERROR!</v>
      </c>
      <c r="AN32" s="31" t="str">
        <f t="shared" si="4"/>
        <v>#ERROR!</v>
      </c>
      <c r="AO32" s="32" t="str">
        <f t="shared" si="5"/>
        <v>#ERROR!</v>
      </c>
      <c r="AP32" s="31" t="str">
        <f t="shared" si="6"/>
        <v>#ERROR!</v>
      </c>
      <c r="AQ32" s="32" t="str">
        <f t="shared" si="7"/>
        <v>#ERROR!</v>
      </c>
      <c r="AR32" s="33" t="str">
        <f>Table1[[#This Row],[2019 Scope 3 ]]</f>
        <v>#ERROR!</v>
      </c>
      <c r="AS32" s="34" t="str">
        <f t="shared" si="8"/>
        <v>#ERROR!</v>
      </c>
      <c r="AT32" s="35" t="str">
        <f t="shared" si="9"/>
        <v>#ERROR!</v>
      </c>
      <c r="BI32" s="16">
        <v>3635.0</v>
      </c>
    </row>
    <row r="33" ht="12.75" customHeight="1">
      <c r="A33" s="17">
        <f>companies!A33</f>
        <v>32</v>
      </c>
      <c r="B33" s="19" t="s">
        <v>1060</v>
      </c>
      <c r="C33" s="19">
        <v>1.9500244E7</v>
      </c>
      <c r="D33" s="19">
        <v>956931.0</v>
      </c>
      <c r="E33" s="19" t="s">
        <v>25</v>
      </c>
      <c r="F33" s="19" t="s">
        <v>25</v>
      </c>
      <c r="G33" s="19" t="s">
        <v>25</v>
      </c>
      <c r="H33" s="19" t="s">
        <v>25</v>
      </c>
      <c r="I33" s="19">
        <v>2672913.0</v>
      </c>
      <c r="J33" s="19" t="s">
        <v>25</v>
      </c>
      <c r="K33" s="19" t="s">
        <v>25</v>
      </c>
      <c r="L33" s="19" t="s">
        <v>25</v>
      </c>
      <c r="M33" s="29" t="s">
        <v>25</v>
      </c>
      <c r="N33" s="29">
        <v>4901363.0</v>
      </c>
      <c r="O33" s="29">
        <v>1.4236023E7</v>
      </c>
      <c r="P33" s="29">
        <v>1.73354465E8</v>
      </c>
      <c r="Q33" s="29" t="s">
        <v>25</v>
      </c>
      <c r="R33" s="19" t="s">
        <v>25</v>
      </c>
      <c r="S33" s="29" t="s">
        <v>25</v>
      </c>
      <c r="T33" s="29" t="s">
        <v>25</v>
      </c>
      <c r="U33" s="29" t="s">
        <v>25</v>
      </c>
      <c r="V33" s="29" t="s">
        <v>25</v>
      </c>
      <c r="W33" s="29">
        <f t="shared" si="1"/>
        <v>195164764</v>
      </c>
      <c r="X33" s="29"/>
      <c r="Y33" s="29"/>
      <c r="Z33" s="29"/>
      <c r="AA33" s="29"/>
      <c r="AB33" s="29"/>
      <c r="AC33" s="29"/>
      <c r="AD33" s="29" t="s">
        <v>25</v>
      </c>
      <c r="AE33" s="29" t="s">
        <v>25</v>
      </c>
      <c r="AF33" s="30" t="str">
        <f>Table1[[#This Row],[2019 Scope 1 (MeT Co2)]]</f>
        <v>#ERROR!</v>
      </c>
      <c r="AG33" s="31" t="str">
        <f t="shared" si="2"/>
        <v>#ERROR!</v>
      </c>
      <c r="AH33" s="32" t="str">
        <f t="shared" si="3"/>
        <v>#ERROR!</v>
      </c>
      <c r="AI33" s="28"/>
      <c r="AJ33" s="28"/>
      <c r="AK33" s="29" t="s">
        <v>25</v>
      </c>
      <c r="AL33" s="29" t="s">
        <v>25</v>
      </c>
      <c r="AM33" s="30" t="str">
        <f>Table1[[#This Row],[2019 Scope 2 ]]</f>
        <v>#ERROR!</v>
      </c>
      <c r="AN33" s="31" t="str">
        <f t="shared" si="4"/>
        <v>#ERROR!</v>
      </c>
      <c r="AO33" s="32" t="str">
        <f t="shared" si="5"/>
        <v>#ERROR!</v>
      </c>
      <c r="AP33" s="31" t="str">
        <f t="shared" si="6"/>
        <v>#ERROR!</v>
      </c>
      <c r="AQ33" s="32" t="str">
        <f t="shared" si="7"/>
        <v>#ERROR!</v>
      </c>
      <c r="AR33" s="33" t="str">
        <f>Table1[[#This Row],[2019 Scope 3 ]]</f>
        <v>#ERROR!</v>
      </c>
      <c r="AS33" s="34" t="str">
        <f t="shared" si="8"/>
        <v>#ERROR!</v>
      </c>
      <c r="AT33" s="35" t="str">
        <f t="shared" si="9"/>
        <v>#ERROR!</v>
      </c>
      <c r="BI33" s="19">
        <v>3751.0</v>
      </c>
    </row>
    <row r="34" ht="12.75" customHeight="1">
      <c r="A34" s="17">
        <f>companies!A34</f>
        <v>33</v>
      </c>
      <c r="B34" s="19" t="s">
        <v>1060</v>
      </c>
      <c r="C34" s="19">
        <v>1108562.25</v>
      </c>
      <c r="D34" s="19">
        <v>1473874.16</v>
      </c>
      <c r="E34" s="19" t="s">
        <v>25</v>
      </c>
      <c r="F34" s="19" t="s">
        <v>25</v>
      </c>
      <c r="G34" s="19" t="s">
        <v>25</v>
      </c>
      <c r="H34" s="19" t="s">
        <v>25</v>
      </c>
      <c r="I34" s="19" t="s">
        <v>25</v>
      </c>
      <c r="J34" s="19" t="s">
        <v>25</v>
      </c>
      <c r="K34" s="19" t="s">
        <v>25</v>
      </c>
      <c r="L34" s="19" t="s">
        <v>25</v>
      </c>
      <c r="M34" s="29" t="s">
        <v>25</v>
      </c>
      <c r="N34" s="29" t="s">
        <v>25</v>
      </c>
      <c r="O34" s="29" t="s">
        <v>25</v>
      </c>
      <c r="P34" s="29" t="s">
        <v>25</v>
      </c>
      <c r="Q34" s="29" t="s">
        <v>25</v>
      </c>
      <c r="R34" s="19" t="s">
        <v>25</v>
      </c>
      <c r="S34" s="29" t="s">
        <v>25</v>
      </c>
      <c r="T34" s="29" t="s">
        <v>25</v>
      </c>
      <c r="U34" s="29" t="s">
        <v>25</v>
      </c>
      <c r="V34" s="29" t="s">
        <v>25</v>
      </c>
      <c r="W34" s="29">
        <f t="shared" si="1"/>
        <v>0</v>
      </c>
      <c r="X34" s="29"/>
      <c r="Y34" s="29"/>
      <c r="Z34" s="29"/>
      <c r="AA34" s="29"/>
      <c r="AB34" s="29"/>
      <c r="AC34" s="29"/>
      <c r="AD34" s="29" t="s">
        <v>1061</v>
      </c>
      <c r="AE34" s="29" t="s">
        <v>1062</v>
      </c>
      <c r="AF34" s="30" t="str">
        <f>Table1[[#This Row],[2019 Scope 1 (MeT Co2)]]</f>
        <v>#ERROR!</v>
      </c>
      <c r="AG34" s="31" t="str">
        <f t="shared" si="2"/>
        <v>#ERROR!</v>
      </c>
      <c r="AH34" s="32" t="str">
        <f t="shared" si="3"/>
        <v>#ERROR!</v>
      </c>
      <c r="AI34" s="28"/>
      <c r="AJ34" s="28"/>
      <c r="AK34" s="29" t="s">
        <v>1061</v>
      </c>
      <c r="AL34" s="29" t="s">
        <v>1062</v>
      </c>
      <c r="AM34" s="30" t="str">
        <f>Table1[[#This Row],[2019 Scope 2 ]]</f>
        <v>#ERROR!</v>
      </c>
      <c r="AN34" s="31" t="str">
        <f t="shared" si="4"/>
        <v>#ERROR!</v>
      </c>
      <c r="AO34" s="32" t="str">
        <f t="shared" si="5"/>
        <v>#ERROR!</v>
      </c>
      <c r="AP34" s="31" t="str">
        <f t="shared" si="6"/>
        <v>#ERROR!</v>
      </c>
      <c r="AQ34" s="32" t="str">
        <f t="shared" si="7"/>
        <v>#ERROR!</v>
      </c>
      <c r="AR34" s="33" t="str">
        <f>Table1[[#This Row],[2019 Scope 3 ]]</f>
        <v>#ERROR!</v>
      </c>
      <c r="AS34" s="34" t="str">
        <f t="shared" si="8"/>
        <v>#ERROR!</v>
      </c>
      <c r="AT34" s="35" t="str">
        <f t="shared" si="9"/>
        <v>#ERROR!</v>
      </c>
      <c r="BI34" s="16">
        <v>3944.0</v>
      </c>
    </row>
    <row r="35" ht="12.75" customHeight="1">
      <c r="A35" s="17">
        <f>companies!A35</f>
        <v>34</v>
      </c>
      <c r="B35" s="19" t="s">
        <v>1060</v>
      </c>
      <c r="C35" s="19">
        <v>157199.32</v>
      </c>
      <c r="D35" s="19">
        <v>1024681.56</v>
      </c>
      <c r="E35" s="19">
        <v>1036690.44</v>
      </c>
      <c r="F35" s="19">
        <v>1.458473912E7</v>
      </c>
      <c r="G35" s="19">
        <v>1011729.83</v>
      </c>
      <c r="H35" s="19">
        <v>51656.89</v>
      </c>
      <c r="I35" s="19" t="s">
        <v>25</v>
      </c>
      <c r="J35" s="19">
        <v>35236.88</v>
      </c>
      <c r="K35" s="19">
        <v>106796.09</v>
      </c>
      <c r="L35" s="19">
        <v>20400.0</v>
      </c>
      <c r="M35" s="29" t="s">
        <v>25</v>
      </c>
      <c r="N35" s="29">
        <v>46624.82</v>
      </c>
      <c r="O35" s="29" t="s">
        <v>25</v>
      </c>
      <c r="P35" s="29" t="s">
        <v>25</v>
      </c>
      <c r="Q35" s="29" t="s">
        <v>25</v>
      </c>
      <c r="R35" s="19" t="s">
        <v>25</v>
      </c>
      <c r="S35" s="29" t="s">
        <v>25</v>
      </c>
      <c r="T35" s="29" t="s">
        <v>25</v>
      </c>
      <c r="U35" s="29" t="s">
        <v>25</v>
      </c>
      <c r="V35" s="29" t="s">
        <v>25</v>
      </c>
      <c r="W35" s="29">
        <f t="shared" si="1"/>
        <v>15857183.63</v>
      </c>
      <c r="X35" s="29"/>
      <c r="Y35" s="29"/>
      <c r="Z35" s="29"/>
      <c r="AA35" s="29"/>
      <c r="AB35" s="29"/>
      <c r="AC35" s="29"/>
      <c r="AD35" s="29" t="s">
        <v>25</v>
      </c>
      <c r="AE35" s="29" t="s">
        <v>25</v>
      </c>
      <c r="AF35" s="30" t="str">
        <f>Table1[[#This Row],[2019 Scope 1 (MeT Co2)]]</f>
        <v>#ERROR!</v>
      </c>
      <c r="AG35" s="31" t="str">
        <f t="shared" si="2"/>
        <v>#ERROR!</v>
      </c>
      <c r="AH35" s="32" t="str">
        <f t="shared" si="3"/>
        <v>#ERROR!</v>
      </c>
      <c r="AI35" s="28"/>
      <c r="AJ35" s="28"/>
      <c r="AK35" s="29" t="s">
        <v>25</v>
      </c>
      <c r="AL35" s="29" t="s">
        <v>25</v>
      </c>
      <c r="AM35" s="30" t="str">
        <f>Table1[[#This Row],[2019 Scope 2 ]]</f>
        <v>#ERROR!</v>
      </c>
      <c r="AN35" s="31" t="str">
        <f t="shared" si="4"/>
        <v>#ERROR!</v>
      </c>
      <c r="AO35" s="32" t="str">
        <f t="shared" si="5"/>
        <v>#ERROR!</v>
      </c>
      <c r="AP35" s="31" t="str">
        <f t="shared" si="6"/>
        <v>#ERROR!</v>
      </c>
      <c r="AQ35" s="32" t="str">
        <f t="shared" si="7"/>
        <v>#ERROR!</v>
      </c>
      <c r="AR35" s="33" t="str">
        <f>Table1[[#This Row],[2019 Scope 3 ]]</f>
        <v>#ERROR!</v>
      </c>
      <c r="AS35" s="34" t="str">
        <f t="shared" si="8"/>
        <v>#ERROR!</v>
      </c>
      <c r="AT35" s="35" t="str">
        <f t="shared" si="9"/>
        <v>#ERROR!</v>
      </c>
      <c r="BI35" s="19">
        <v>4151.0</v>
      </c>
    </row>
    <row r="36" ht="12.75" customHeight="1">
      <c r="A36" s="17">
        <f>companies!A36</f>
        <v>35</v>
      </c>
      <c r="B36" s="19" t="s">
        <v>1060</v>
      </c>
      <c r="C36" s="19" t="s">
        <v>1065</v>
      </c>
      <c r="D36" s="19" t="s">
        <v>1065</v>
      </c>
      <c r="E36" s="19" t="s">
        <v>1065</v>
      </c>
      <c r="F36" s="19" t="s">
        <v>1065</v>
      </c>
      <c r="G36" s="19" t="s">
        <v>1065</v>
      </c>
      <c r="H36" s="19" t="s">
        <v>1065</v>
      </c>
      <c r="I36" s="19" t="s">
        <v>1065</v>
      </c>
      <c r="J36" s="19" t="s">
        <v>1065</v>
      </c>
      <c r="K36" s="19" t="s">
        <v>1065</v>
      </c>
      <c r="L36" s="19" t="s">
        <v>1065</v>
      </c>
      <c r="M36" s="19" t="s">
        <v>1065</v>
      </c>
      <c r="N36" s="19" t="s">
        <v>1065</v>
      </c>
      <c r="O36" s="19" t="s">
        <v>1065</v>
      </c>
      <c r="P36" s="19" t="s">
        <v>1065</v>
      </c>
      <c r="Q36" s="19" t="s">
        <v>1065</v>
      </c>
      <c r="R36" s="19" t="s">
        <v>1065</v>
      </c>
      <c r="S36" s="19" t="s">
        <v>1065</v>
      </c>
      <c r="T36" s="19" t="s">
        <v>1065</v>
      </c>
      <c r="U36" s="19" t="s">
        <v>1065</v>
      </c>
      <c r="V36" s="19" t="s">
        <v>1065</v>
      </c>
      <c r="W36" s="29">
        <f t="shared" si="1"/>
        <v>0</v>
      </c>
      <c r="X36" s="29"/>
      <c r="Y36" s="29"/>
      <c r="Z36" s="29"/>
      <c r="AA36" s="29"/>
      <c r="AB36" s="29"/>
      <c r="AC36" s="29"/>
      <c r="AD36" s="29" t="e">
        <v>#N/A</v>
      </c>
      <c r="AE36" s="29" t="e">
        <v>#N/A</v>
      </c>
      <c r="AF36" s="30" t="str">
        <f>Table1[[#This Row],[2019 Scope 1 (MeT Co2)]]</f>
        <v>#ERROR!</v>
      </c>
      <c r="AG36" s="31" t="str">
        <f t="shared" si="2"/>
        <v>#ERROR!</v>
      </c>
      <c r="AH36" s="32" t="str">
        <f t="shared" si="3"/>
        <v>#ERROR!</v>
      </c>
      <c r="AI36" s="28"/>
      <c r="AJ36" s="28"/>
      <c r="AK36" s="29" t="e">
        <v>#N/A</v>
      </c>
      <c r="AL36" s="29" t="e">
        <v>#N/A</v>
      </c>
      <c r="AM36" s="30" t="str">
        <f>Table1[[#This Row],[2019 Scope 2 ]]</f>
        <v>#ERROR!</v>
      </c>
      <c r="AN36" s="31" t="str">
        <f t="shared" si="4"/>
        <v>#ERROR!</v>
      </c>
      <c r="AO36" s="32" t="str">
        <f t="shared" si="5"/>
        <v>#ERROR!</v>
      </c>
      <c r="AP36" s="31" t="str">
        <f t="shared" si="6"/>
        <v>#ERROR!</v>
      </c>
      <c r="AQ36" s="32" t="str">
        <f t="shared" si="7"/>
        <v>#ERROR!</v>
      </c>
      <c r="AR36" s="33" t="str">
        <f>Table1[[#This Row],[2019 Scope 3 ]]</f>
        <v>#ERROR!</v>
      </c>
      <c r="AS36" s="34" t="str">
        <f t="shared" si="8"/>
        <v>#ERROR!</v>
      </c>
      <c r="AT36" s="35" t="str">
        <f t="shared" si="9"/>
        <v>#ERROR!</v>
      </c>
    </row>
    <row r="37" ht="12.75" customHeight="1">
      <c r="A37" s="17">
        <f>companies!A37</f>
        <v>36</v>
      </c>
      <c r="B37" s="19" t="s">
        <v>1060</v>
      </c>
      <c r="C37" s="19">
        <v>2.7522854E7</v>
      </c>
      <c r="D37" s="19">
        <v>5058885.0</v>
      </c>
      <c r="E37" s="19">
        <v>6058164.0</v>
      </c>
      <c r="F37" s="19">
        <v>6.0053499E7</v>
      </c>
      <c r="G37" s="19">
        <v>2776452.0</v>
      </c>
      <c r="H37" s="19">
        <v>8269874.0</v>
      </c>
      <c r="I37" s="19" t="s">
        <v>25</v>
      </c>
      <c r="J37" s="19">
        <v>1560507.0</v>
      </c>
      <c r="K37" s="19">
        <v>31832.0</v>
      </c>
      <c r="L37" s="19">
        <v>86849.0</v>
      </c>
      <c r="M37" s="29">
        <v>16600.0</v>
      </c>
      <c r="N37" s="29">
        <v>4094062.0</v>
      </c>
      <c r="O37" s="29" t="s">
        <v>25</v>
      </c>
      <c r="P37" s="29">
        <v>3184348.0</v>
      </c>
      <c r="Q37" s="29">
        <v>7052492.0</v>
      </c>
      <c r="R37" s="19" t="s">
        <v>25</v>
      </c>
      <c r="S37" s="29" t="s">
        <v>25</v>
      </c>
      <c r="T37" s="29">
        <v>4295442.0</v>
      </c>
      <c r="U37" s="29" t="s">
        <v>25</v>
      </c>
      <c r="V37" s="29" t="s">
        <v>25</v>
      </c>
      <c r="W37" s="29">
        <f t="shared" si="1"/>
        <v>91421957</v>
      </c>
      <c r="X37" s="19"/>
      <c r="Y37" s="19"/>
      <c r="Z37" s="19"/>
      <c r="AA37" s="19"/>
      <c r="AB37" s="19"/>
      <c r="AC37" s="19"/>
      <c r="AD37" s="29" t="s">
        <v>1061</v>
      </c>
      <c r="AE37" s="29" t="s">
        <v>1062</v>
      </c>
      <c r="AF37" s="30" t="str">
        <f>Table1[[#This Row],[2019 Scope 1 (MeT Co2)]]</f>
        <v>#ERROR!</v>
      </c>
      <c r="AG37" s="31" t="str">
        <f t="shared" si="2"/>
        <v>#ERROR!</v>
      </c>
      <c r="AH37" s="32" t="str">
        <f t="shared" si="3"/>
        <v>#ERROR!</v>
      </c>
      <c r="AI37" s="28"/>
      <c r="AJ37" s="28"/>
      <c r="AK37" s="29" t="s">
        <v>1061</v>
      </c>
      <c r="AL37" s="29" t="s">
        <v>1062</v>
      </c>
      <c r="AM37" s="30" t="str">
        <f>Table1[[#This Row],[2019 Scope 2 ]]</f>
        <v>#ERROR!</v>
      </c>
      <c r="AN37" s="31" t="str">
        <f t="shared" si="4"/>
        <v>#ERROR!</v>
      </c>
      <c r="AO37" s="32" t="str">
        <f t="shared" si="5"/>
        <v>#ERROR!</v>
      </c>
      <c r="AP37" s="31" t="str">
        <f t="shared" si="6"/>
        <v>#ERROR!</v>
      </c>
      <c r="AQ37" s="32" t="str">
        <f t="shared" si="7"/>
        <v>#ERROR!</v>
      </c>
      <c r="AR37" s="33" t="str">
        <f>Table1[[#This Row],[2019 Scope 3 ]]</f>
        <v>#ERROR!</v>
      </c>
      <c r="AS37" s="34" t="str">
        <f t="shared" si="8"/>
        <v>#ERROR!</v>
      </c>
      <c r="AT37" s="35" t="str">
        <f t="shared" si="9"/>
        <v>#ERROR!</v>
      </c>
      <c r="BI37" s="21">
        <v>4826.0</v>
      </c>
    </row>
    <row r="38" ht="12.75" customHeight="1">
      <c r="A38" s="17">
        <f>companies!A38</f>
        <v>37</v>
      </c>
      <c r="B38" s="19" t="s">
        <v>1060</v>
      </c>
      <c r="C38" s="19">
        <v>8.5525E7</v>
      </c>
      <c r="D38" s="19">
        <v>5200.0</v>
      </c>
      <c r="E38" s="19" t="s">
        <v>25</v>
      </c>
      <c r="F38" s="19" t="s">
        <v>25</v>
      </c>
      <c r="G38" s="19" t="s">
        <v>25</v>
      </c>
      <c r="H38" s="19">
        <v>1.21E7</v>
      </c>
      <c r="I38" s="19" t="s">
        <v>25</v>
      </c>
      <c r="J38" s="19" t="s">
        <v>25</v>
      </c>
      <c r="K38" s="19">
        <v>15113.0</v>
      </c>
      <c r="L38" s="19" t="s">
        <v>25</v>
      </c>
      <c r="M38" s="29" t="s">
        <v>25</v>
      </c>
      <c r="N38" s="29" t="s">
        <v>25</v>
      </c>
      <c r="O38" s="29" t="s">
        <v>25</v>
      </c>
      <c r="P38" s="29">
        <v>1.76E7</v>
      </c>
      <c r="Q38" s="29" t="s">
        <v>25</v>
      </c>
      <c r="R38" s="19" t="s">
        <v>25</v>
      </c>
      <c r="S38" s="29" t="s">
        <v>25</v>
      </c>
      <c r="T38" s="29" t="s">
        <v>25</v>
      </c>
      <c r="U38" s="29" t="s">
        <v>25</v>
      </c>
      <c r="V38" s="29" t="s">
        <v>25</v>
      </c>
      <c r="W38" s="29">
        <f t="shared" si="1"/>
        <v>29715113</v>
      </c>
      <c r="X38" s="29"/>
      <c r="Y38" s="29"/>
      <c r="Z38" s="29"/>
      <c r="AA38" s="29"/>
      <c r="AB38" s="29"/>
      <c r="AC38" s="29"/>
      <c r="AD38" s="29" t="s">
        <v>25</v>
      </c>
      <c r="AE38" s="29" t="s">
        <v>25</v>
      </c>
      <c r="AF38" s="30" t="str">
        <f>Table1[[#This Row],[2019 Scope 1 (MeT Co2)]]</f>
        <v>#ERROR!</v>
      </c>
      <c r="AG38" s="31" t="str">
        <f t="shared" si="2"/>
        <v>#ERROR!</v>
      </c>
      <c r="AH38" s="36" t="str">
        <f t="shared" si="3"/>
        <v>#ERROR!</v>
      </c>
      <c r="AI38" s="28"/>
      <c r="AJ38" s="28"/>
      <c r="AK38" s="29" t="s">
        <v>25</v>
      </c>
      <c r="AL38" s="29" t="s">
        <v>25</v>
      </c>
      <c r="AM38" s="30" t="str">
        <f>Table1[[#This Row],[2019 Scope 2 ]]</f>
        <v>#ERROR!</v>
      </c>
      <c r="AN38" s="31" t="str">
        <f t="shared" si="4"/>
        <v>#ERROR!</v>
      </c>
      <c r="AO38" s="36" t="str">
        <f t="shared" si="5"/>
        <v>#ERROR!</v>
      </c>
      <c r="AP38" s="31" t="str">
        <f t="shared" si="6"/>
        <v>#ERROR!</v>
      </c>
      <c r="AQ38" s="36" t="str">
        <f t="shared" si="7"/>
        <v>#ERROR!</v>
      </c>
      <c r="AR38" s="33" t="str">
        <f>Table1[[#This Row],[2019 Scope 3 ]]</f>
        <v>#ERROR!</v>
      </c>
      <c r="AS38" s="34" t="str">
        <f t="shared" si="8"/>
        <v>#ERROR!</v>
      </c>
      <c r="AT38" s="35" t="str">
        <f t="shared" si="9"/>
        <v>#ERROR!</v>
      </c>
      <c r="BI38" s="19">
        <v>5052.0</v>
      </c>
    </row>
    <row r="39" ht="12.75" customHeight="1">
      <c r="A39" s="17">
        <f>companies!A39</f>
        <v>38</v>
      </c>
      <c r="B39" s="19" t="s">
        <v>1060</v>
      </c>
      <c r="C39" s="19">
        <v>3057437.0</v>
      </c>
      <c r="D39" s="19">
        <v>2322922.0</v>
      </c>
      <c r="E39" s="19">
        <v>2532756.0</v>
      </c>
      <c r="F39" s="19" t="s">
        <v>25</v>
      </c>
      <c r="G39" s="19" t="s">
        <v>25</v>
      </c>
      <c r="H39" s="19">
        <v>1207243.0</v>
      </c>
      <c r="I39" s="19" t="s">
        <v>25</v>
      </c>
      <c r="J39" s="19" t="s">
        <v>25</v>
      </c>
      <c r="K39" s="19">
        <v>23037.0</v>
      </c>
      <c r="L39" s="19" t="s">
        <v>25</v>
      </c>
      <c r="M39" s="29" t="s">
        <v>25</v>
      </c>
      <c r="N39" s="29" t="s">
        <v>25</v>
      </c>
      <c r="O39" s="29" t="s">
        <v>25</v>
      </c>
      <c r="P39" s="29" t="s">
        <v>25</v>
      </c>
      <c r="Q39" s="29" t="s">
        <v>25</v>
      </c>
      <c r="R39" s="19">
        <v>72464.0</v>
      </c>
      <c r="S39" s="29" t="s">
        <v>25</v>
      </c>
      <c r="T39" s="29" t="s">
        <v>25</v>
      </c>
      <c r="U39" s="29" t="s">
        <v>25</v>
      </c>
      <c r="V39" s="29" t="s">
        <v>25</v>
      </c>
      <c r="W39" s="29">
        <f t="shared" si="1"/>
        <v>1302744</v>
      </c>
      <c r="X39" s="19"/>
      <c r="Y39" s="19"/>
      <c r="Z39" s="19"/>
      <c r="AA39" s="19"/>
      <c r="AB39" s="19"/>
      <c r="AC39" s="19"/>
      <c r="AD39" s="29" t="s">
        <v>25</v>
      </c>
      <c r="AE39" s="29" t="s">
        <v>25</v>
      </c>
      <c r="AF39" s="30" t="str">
        <f>Table1[[#This Row],[2019 Scope 1 (MeT Co2)]]</f>
        <v>#ERROR!</v>
      </c>
      <c r="AG39" s="31" t="str">
        <f t="shared" si="2"/>
        <v>#ERROR!</v>
      </c>
      <c r="AH39" s="32" t="str">
        <f t="shared" si="3"/>
        <v>#ERROR!</v>
      </c>
      <c r="AI39" s="28"/>
      <c r="AJ39" s="28"/>
      <c r="AK39" s="29" t="s">
        <v>25</v>
      </c>
      <c r="AL39" s="29" t="s">
        <v>25</v>
      </c>
      <c r="AM39" s="30" t="str">
        <f>Table1[[#This Row],[2019 Scope 2 ]]</f>
        <v>#ERROR!</v>
      </c>
      <c r="AN39" s="31" t="str">
        <f t="shared" si="4"/>
        <v>#ERROR!</v>
      </c>
      <c r="AO39" s="32" t="str">
        <f t="shared" si="5"/>
        <v>#ERROR!</v>
      </c>
      <c r="AP39" s="31" t="str">
        <f t="shared" si="6"/>
        <v>#ERROR!</v>
      </c>
      <c r="AQ39" s="32" t="str">
        <f t="shared" si="7"/>
        <v>#ERROR!</v>
      </c>
      <c r="AR39" s="33" t="str">
        <f>Table1[[#This Row],[2019 Scope 3 ]]</f>
        <v>#ERROR!</v>
      </c>
      <c r="AS39" s="34" t="str">
        <f t="shared" si="8"/>
        <v>#ERROR!</v>
      </c>
      <c r="AT39" s="35" t="str">
        <f t="shared" si="9"/>
        <v>#ERROR!</v>
      </c>
      <c r="BI39" s="19">
        <v>73894.0</v>
      </c>
    </row>
    <row r="40" ht="12.75" customHeight="1">
      <c r="A40" s="17">
        <f>companies!A40</f>
        <v>39</v>
      </c>
      <c r="B40" s="19" t="s">
        <v>1060</v>
      </c>
      <c r="C40" s="19">
        <v>192075.0</v>
      </c>
      <c r="D40" s="19">
        <v>616431.0</v>
      </c>
      <c r="E40" s="19">
        <v>556855.0</v>
      </c>
      <c r="F40" s="19" t="s">
        <v>25</v>
      </c>
      <c r="G40" s="19" t="s">
        <v>25</v>
      </c>
      <c r="H40" s="19" t="s">
        <v>25</v>
      </c>
      <c r="I40" s="19">
        <v>32680.0</v>
      </c>
      <c r="J40" s="19">
        <v>42021.0</v>
      </c>
      <c r="K40" s="19">
        <v>98410.0</v>
      </c>
      <c r="L40" s="19">
        <v>61685.0</v>
      </c>
      <c r="M40" s="29">
        <v>0.0</v>
      </c>
      <c r="N40" s="29" t="s">
        <v>25</v>
      </c>
      <c r="O40" s="29" t="s">
        <v>25</v>
      </c>
      <c r="P40" s="29" t="s">
        <v>25</v>
      </c>
      <c r="Q40" s="29" t="s">
        <v>25</v>
      </c>
      <c r="R40" s="19">
        <v>0.0</v>
      </c>
      <c r="S40" s="29">
        <v>0.0</v>
      </c>
      <c r="T40" s="29">
        <v>0.0</v>
      </c>
      <c r="U40" s="29" t="s">
        <v>25</v>
      </c>
      <c r="V40" s="29" t="s">
        <v>25</v>
      </c>
      <c r="W40" s="29">
        <f t="shared" si="1"/>
        <v>234796</v>
      </c>
      <c r="X40" s="19"/>
      <c r="Y40" s="19"/>
      <c r="Z40" s="19"/>
      <c r="AA40" s="19"/>
      <c r="AB40" s="19"/>
      <c r="AC40" s="19"/>
      <c r="AD40" s="29" t="s">
        <v>25</v>
      </c>
      <c r="AE40" s="29" t="s">
        <v>25</v>
      </c>
      <c r="AF40" s="30" t="str">
        <f>Table1[[#This Row],[2019 Scope 1 (MeT Co2)]]</f>
        <v>#ERROR!</v>
      </c>
      <c r="AG40" s="31" t="str">
        <f t="shared" si="2"/>
        <v>#ERROR!</v>
      </c>
      <c r="AH40" s="32" t="str">
        <f t="shared" si="3"/>
        <v>#ERROR!</v>
      </c>
      <c r="AI40" s="28"/>
      <c r="AJ40" s="28"/>
      <c r="AK40" s="29" t="s">
        <v>25</v>
      </c>
      <c r="AL40" s="29" t="s">
        <v>25</v>
      </c>
      <c r="AM40" s="30" t="str">
        <f>Table1[[#This Row],[2019 Scope 2 ]]</f>
        <v>#ERROR!</v>
      </c>
      <c r="AN40" s="31" t="str">
        <f t="shared" si="4"/>
        <v>#ERROR!</v>
      </c>
      <c r="AO40" s="36" t="str">
        <f t="shared" si="5"/>
        <v>#ERROR!</v>
      </c>
      <c r="AP40" s="31" t="str">
        <f t="shared" si="6"/>
        <v>#ERROR!</v>
      </c>
      <c r="AQ40" s="36" t="str">
        <f t="shared" si="7"/>
        <v>#ERROR!</v>
      </c>
      <c r="AR40" s="33" t="str">
        <f>Table1[[#This Row],[2019 Scope 3 ]]</f>
        <v>#ERROR!</v>
      </c>
      <c r="AS40" s="34" t="str">
        <f t="shared" si="8"/>
        <v>#ERROR!</v>
      </c>
      <c r="AT40" s="35" t="str">
        <f t="shared" si="9"/>
        <v>#ERROR!</v>
      </c>
      <c r="BI40" s="19">
        <v>5377.0</v>
      </c>
    </row>
    <row r="41" ht="12.75" customHeight="1">
      <c r="A41" s="17">
        <f>companies!A41</f>
        <v>40</v>
      </c>
      <c r="B41" s="19" t="s">
        <v>1060</v>
      </c>
      <c r="C41" s="19" t="s">
        <v>1065</v>
      </c>
      <c r="D41" s="19" t="s">
        <v>1065</v>
      </c>
      <c r="E41" s="19" t="s">
        <v>1065</v>
      </c>
      <c r="F41" s="19" t="s">
        <v>1065</v>
      </c>
      <c r="G41" s="19" t="s">
        <v>1065</v>
      </c>
      <c r="H41" s="19" t="s">
        <v>1065</v>
      </c>
      <c r="I41" s="19" t="s">
        <v>1065</v>
      </c>
      <c r="J41" s="19" t="s">
        <v>1065</v>
      </c>
      <c r="K41" s="19" t="s">
        <v>1065</v>
      </c>
      <c r="L41" s="19" t="s">
        <v>1065</v>
      </c>
      <c r="M41" s="19" t="s">
        <v>1065</v>
      </c>
      <c r="N41" s="19" t="s">
        <v>1065</v>
      </c>
      <c r="O41" s="19" t="s">
        <v>1065</v>
      </c>
      <c r="P41" s="19" t="s">
        <v>1065</v>
      </c>
      <c r="Q41" s="19" t="s">
        <v>1065</v>
      </c>
      <c r="R41" s="19" t="s">
        <v>1065</v>
      </c>
      <c r="S41" s="19" t="s">
        <v>1065</v>
      </c>
      <c r="T41" s="19" t="s">
        <v>1065</v>
      </c>
      <c r="U41" s="19" t="s">
        <v>1065</v>
      </c>
      <c r="V41" s="19" t="s">
        <v>1065</v>
      </c>
      <c r="W41" s="29">
        <f t="shared" si="1"/>
        <v>0</v>
      </c>
      <c r="X41" s="29"/>
      <c r="Y41" s="29"/>
      <c r="Z41" s="29"/>
      <c r="AA41" s="29"/>
      <c r="AB41" s="29"/>
      <c r="AC41" s="29"/>
      <c r="AD41" s="29" t="e">
        <v>#N/A</v>
      </c>
      <c r="AE41" s="29" t="e">
        <v>#N/A</v>
      </c>
      <c r="AF41" s="30" t="str">
        <f>Table1[[#This Row],[2019 Scope 1 (MeT Co2)]]</f>
        <v>#ERROR!</v>
      </c>
      <c r="AG41" s="31" t="str">
        <f t="shared" si="2"/>
        <v>#ERROR!</v>
      </c>
      <c r="AH41" s="32" t="str">
        <f t="shared" si="3"/>
        <v>#ERROR!</v>
      </c>
      <c r="AI41" s="28"/>
      <c r="AJ41" s="28"/>
      <c r="AK41" s="29" t="e">
        <v>#N/A</v>
      </c>
      <c r="AL41" s="29" t="e">
        <v>#N/A</v>
      </c>
      <c r="AM41" s="30" t="str">
        <f>Table1[[#This Row],[2019 Scope 2 ]]</f>
        <v>#ERROR!</v>
      </c>
      <c r="AN41" s="31" t="str">
        <f t="shared" si="4"/>
        <v>#ERROR!</v>
      </c>
      <c r="AO41" s="32" t="str">
        <f t="shared" si="5"/>
        <v>#ERROR!</v>
      </c>
      <c r="AP41" s="31" t="str">
        <f t="shared" si="6"/>
        <v>#ERROR!</v>
      </c>
      <c r="AQ41" s="32" t="str">
        <f t="shared" si="7"/>
        <v>#ERROR!</v>
      </c>
      <c r="AR41" s="33" t="str">
        <f>Table1[[#This Row],[2019 Scope 3 ]]</f>
        <v>#ERROR!</v>
      </c>
      <c r="AS41" s="34" t="str">
        <f t="shared" si="8"/>
        <v>#ERROR!</v>
      </c>
      <c r="AT41" s="35" t="str">
        <f t="shared" si="9"/>
        <v>#ERROR!</v>
      </c>
    </row>
    <row r="42" ht="12.75" customHeight="1">
      <c r="A42" s="17">
        <f>companies!A42</f>
        <v>41</v>
      </c>
      <c r="B42" s="19" t="s">
        <v>1060</v>
      </c>
      <c r="C42" s="19">
        <v>9394598.0</v>
      </c>
      <c r="D42" s="19">
        <v>6103307.0</v>
      </c>
      <c r="E42" s="19">
        <v>4913525.0</v>
      </c>
      <c r="F42" s="19" t="s">
        <v>25</v>
      </c>
      <c r="G42" s="19" t="s">
        <v>25</v>
      </c>
      <c r="H42" s="19">
        <v>1.8864278E7</v>
      </c>
      <c r="I42" s="19" t="s">
        <v>25</v>
      </c>
      <c r="J42" s="19">
        <v>63094.0</v>
      </c>
      <c r="K42" s="19">
        <v>28980.0</v>
      </c>
      <c r="L42" s="19" t="s">
        <v>25</v>
      </c>
      <c r="M42" s="29">
        <v>19363.0</v>
      </c>
      <c r="N42" s="29">
        <v>0.0</v>
      </c>
      <c r="O42" s="29">
        <v>0.0</v>
      </c>
      <c r="P42" s="29">
        <v>8.4817268E7</v>
      </c>
      <c r="Q42" s="29">
        <v>0.0</v>
      </c>
      <c r="R42" s="19" t="s">
        <v>25</v>
      </c>
      <c r="S42" s="29">
        <v>0.0</v>
      </c>
      <c r="T42" s="29" t="s">
        <v>25</v>
      </c>
      <c r="U42" s="29">
        <v>0.0</v>
      </c>
      <c r="V42" s="29">
        <v>76320.0</v>
      </c>
      <c r="W42" s="29">
        <f t="shared" si="1"/>
        <v>103869303</v>
      </c>
      <c r="X42" s="19"/>
      <c r="Y42" s="19"/>
      <c r="Z42" s="19"/>
      <c r="AA42" s="19"/>
      <c r="AB42" s="19"/>
      <c r="AC42" s="19"/>
      <c r="AD42" s="29" t="s">
        <v>25</v>
      </c>
      <c r="AE42" s="29" t="s">
        <v>25</v>
      </c>
      <c r="AF42" s="30" t="str">
        <f>Table1[[#This Row],[2019 Scope 1 (MeT Co2)]]</f>
        <v>#ERROR!</v>
      </c>
      <c r="AG42" s="31" t="str">
        <f t="shared" si="2"/>
        <v>#ERROR!</v>
      </c>
      <c r="AH42" s="32" t="str">
        <f t="shared" si="3"/>
        <v>#ERROR!</v>
      </c>
      <c r="AI42" s="28"/>
      <c r="AJ42" s="28"/>
      <c r="AK42" s="29" t="s">
        <v>25</v>
      </c>
      <c r="AL42" s="29" t="s">
        <v>25</v>
      </c>
      <c r="AM42" s="30" t="str">
        <f>Table1[[#This Row],[2019 Scope 2 ]]</f>
        <v>#ERROR!</v>
      </c>
      <c r="AN42" s="31" t="str">
        <f t="shared" si="4"/>
        <v>#ERROR!</v>
      </c>
      <c r="AO42" s="32" t="str">
        <f t="shared" si="5"/>
        <v>#ERROR!</v>
      </c>
      <c r="AP42" s="31" t="str">
        <f t="shared" si="6"/>
        <v>#ERROR!</v>
      </c>
      <c r="AQ42" s="32" t="str">
        <f t="shared" si="7"/>
        <v>#ERROR!</v>
      </c>
      <c r="AR42" s="33" t="str">
        <f>Table1[[#This Row],[2019 Scope 3 ]]</f>
        <v>#ERROR!</v>
      </c>
      <c r="AS42" s="34" t="str">
        <f t="shared" si="8"/>
        <v>#ERROR!</v>
      </c>
      <c r="AT42" s="35" t="str">
        <f t="shared" si="9"/>
        <v>#ERROR!</v>
      </c>
      <c r="BI42" s="19">
        <v>6113.0</v>
      </c>
    </row>
    <row r="43" ht="12.75" customHeight="1">
      <c r="A43" s="17">
        <f>companies!A43</f>
        <v>42</v>
      </c>
      <c r="B43" s="19" t="s">
        <v>1060</v>
      </c>
      <c r="C43" s="19" t="s">
        <v>1065</v>
      </c>
      <c r="D43" s="19" t="s">
        <v>1065</v>
      </c>
      <c r="E43" s="19" t="s">
        <v>1065</v>
      </c>
      <c r="F43" s="19" t="s">
        <v>1065</v>
      </c>
      <c r="G43" s="19" t="s">
        <v>1065</v>
      </c>
      <c r="H43" s="19" t="s">
        <v>1065</v>
      </c>
      <c r="I43" s="19" t="s">
        <v>1065</v>
      </c>
      <c r="J43" s="19" t="s">
        <v>1065</v>
      </c>
      <c r="K43" s="19" t="s">
        <v>1065</v>
      </c>
      <c r="L43" s="19" t="s">
        <v>1065</v>
      </c>
      <c r="M43" s="19" t="s">
        <v>1065</v>
      </c>
      <c r="N43" s="19" t="s">
        <v>1065</v>
      </c>
      <c r="O43" s="19" t="s">
        <v>1065</v>
      </c>
      <c r="P43" s="19" t="s">
        <v>1065</v>
      </c>
      <c r="Q43" s="19" t="s">
        <v>1065</v>
      </c>
      <c r="R43" s="19" t="s">
        <v>1065</v>
      </c>
      <c r="S43" s="19" t="s">
        <v>1065</v>
      </c>
      <c r="T43" s="19" t="s">
        <v>1065</v>
      </c>
      <c r="U43" s="19" t="s">
        <v>1065</v>
      </c>
      <c r="V43" s="19" t="s">
        <v>1065</v>
      </c>
      <c r="W43" s="29">
        <f t="shared" si="1"/>
        <v>0</v>
      </c>
      <c r="X43" s="29"/>
      <c r="Y43" s="29"/>
      <c r="Z43" s="29"/>
      <c r="AA43" s="29"/>
      <c r="AB43" s="29"/>
      <c r="AC43" s="29"/>
      <c r="AD43" s="29" t="e">
        <v>#N/A</v>
      </c>
      <c r="AE43" s="29" t="e">
        <v>#N/A</v>
      </c>
      <c r="AF43" s="30" t="str">
        <f>Table1[[#This Row],[2019 Scope 1 (MeT Co2)]]</f>
        <v>#ERROR!</v>
      </c>
      <c r="AG43" s="31" t="str">
        <f t="shared" si="2"/>
        <v>#ERROR!</v>
      </c>
      <c r="AH43" s="32" t="str">
        <f t="shared" si="3"/>
        <v>#ERROR!</v>
      </c>
      <c r="AI43" s="28"/>
      <c r="AJ43" s="28"/>
      <c r="AK43" s="29" t="e">
        <v>#N/A</v>
      </c>
      <c r="AL43" s="29" t="e">
        <v>#N/A</v>
      </c>
      <c r="AM43" s="30" t="str">
        <f>Table1[[#This Row],[2019 Scope 2 ]]</f>
        <v>#ERROR!</v>
      </c>
      <c r="AN43" s="31" t="str">
        <f t="shared" si="4"/>
        <v>#ERROR!</v>
      </c>
      <c r="AO43" s="32" t="str">
        <f t="shared" si="5"/>
        <v>#ERROR!</v>
      </c>
      <c r="AP43" s="31" t="str">
        <f t="shared" si="6"/>
        <v>#ERROR!</v>
      </c>
      <c r="AQ43" s="32" t="str">
        <f t="shared" si="7"/>
        <v>#ERROR!</v>
      </c>
      <c r="AR43" s="33" t="str">
        <f>Table1[[#This Row],[2019 Scope 3 ]]</f>
        <v>#ERROR!</v>
      </c>
      <c r="AS43" s="34" t="str">
        <f t="shared" si="8"/>
        <v>#ERROR!</v>
      </c>
      <c r="AT43" s="35" t="str">
        <f t="shared" si="9"/>
        <v>#ERROR!</v>
      </c>
    </row>
    <row r="44" ht="12.75" customHeight="1">
      <c r="A44" s="17">
        <f>companies!A44</f>
        <v>43</v>
      </c>
      <c r="B44" s="19" t="s">
        <v>1060</v>
      </c>
      <c r="C44" s="19" t="s">
        <v>1065</v>
      </c>
      <c r="D44" s="19" t="s">
        <v>1065</v>
      </c>
      <c r="E44" s="19" t="s">
        <v>1065</v>
      </c>
      <c r="F44" s="19" t="s">
        <v>1065</v>
      </c>
      <c r="G44" s="19" t="s">
        <v>1065</v>
      </c>
      <c r="H44" s="19" t="s">
        <v>1065</v>
      </c>
      <c r="I44" s="19" t="s">
        <v>1065</v>
      </c>
      <c r="J44" s="19" t="s">
        <v>1065</v>
      </c>
      <c r="K44" s="19" t="s">
        <v>1065</v>
      </c>
      <c r="L44" s="19" t="s">
        <v>1065</v>
      </c>
      <c r="M44" s="19" t="s">
        <v>1065</v>
      </c>
      <c r="N44" s="19" t="s">
        <v>1065</v>
      </c>
      <c r="O44" s="19" t="s">
        <v>1065</v>
      </c>
      <c r="P44" s="19" t="s">
        <v>1065</v>
      </c>
      <c r="Q44" s="19" t="s">
        <v>1065</v>
      </c>
      <c r="R44" s="19" t="s">
        <v>1065</v>
      </c>
      <c r="S44" s="19" t="s">
        <v>1065</v>
      </c>
      <c r="T44" s="19" t="s">
        <v>1065</v>
      </c>
      <c r="U44" s="19" t="s">
        <v>1065</v>
      </c>
      <c r="V44" s="19" t="s">
        <v>1065</v>
      </c>
      <c r="W44" s="29">
        <f t="shared" si="1"/>
        <v>0</v>
      </c>
      <c r="X44" s="29"/>
      <c r="Y44" s="29"/>
      <c r="Z44" s="29"/>
      <c r="AA44" s="29"/>
      <c r="AB44" s="29"/>
      <c r="AC44" s="29"/>
      <c r="AD44" s="29" t="e">
        <v>#N/A</v>
      </c>
      <c r="AE44" s="29" t="e">
        <v>#N/A</v>
      </c>
      <c r="AF44" s="30" t="str">
        <f>Table1[[#This Row],[2019 Scope 1 (MeT Co2)]]</f>
        <v>#ERROR!</v>
      </c>
      <c r="AG44" s="31" t="str">
        <f t="shared" si="2"/>
        <v>#ERROR!</v>
      </c>
      <c r="AH44" s="32" t="str">
        <f t="shared" si="3"/>
        <v>#ERROR!</v>
      </c>
      <c r="AI44" s="28"/>
      <c r="AJ44" s="28"/>
      <c r="AK44" s="29" t="e">
        <v>#N/A</v>
      </c>
      <c r="AL44" s="29" t="e">
        <v>#N/A</v>
      </c>
      <c r="AM44" s="30" t="str">
        <f>Table1[[#This Row],[2019 Scope 2 ]]</f>
        <v>#ERROR!</v>
      </c>
      <c r="AN44" s="31" t="str">
        <f t="shared" si="4"/>
        <v>#ERROR!</v>
      </c>
      <c r="AO44" s="32" t="str">
        <f t="shared" si="5"/>
        <v>#ERROR!</v>
      </c>
      <c r="AP44" s="31" t="str">
        <f t="shared" si="6"/>
        <v>#ERROR!</v>
      </c>
      <c r="AQ44" s="32" t="str">
        <f t="shared" si="7"/>
        <v>#ERROR!</v>
      </c>
      <c r="AR44" s="33" t="str">
        <f>Table1[[#This Row],[2019 Scope 3 ]]</f>
        <v>#ERROR!</v>
      </c>
      <c r="AS44" s="34" t="str">
        <f t="shared" si="8"/>
        <v>#ERROR!</v>
      </c>
      <c r="AT44" s="35" t="str">
        <f t="shared" si="9"/>
        <v>#ERROR!</v>
      </c>
    </row>
    <row r="45" ht="12.75" customHeight="1">
      <c r="A45" s="17">
        <f>companies!A45</f>
        <v>44</v>
      </c>
      <c r="B45" s="19" t="s">
        <v>1060</v>
      </c>
      <c r="C45" s="19">
        <v>1.5406173E7</v>
      </c>
      <c r="D45" s="19">
        <v>995988.0</v>
      </c>
      <c r="E45" s="19">
        <v>995988.0</v>
      </c>
      <c r="F45" s="19" t="s">
        <v>25</v>
      </c>
      <c r="G45" s="19" t="s">
        <v>25</v>
      </c>
      <c r="H45" s="19" t="s">
        <v>25</v>
      </c>
      <c r="I45" s="19">
        <v>2817829.0</v>
      </c>
      <c r="J45" s="19" t="s">
        <v>25</v>
      </c>
      <c r="K45" s="19">
        <v>79054.0</v>
      </c>
      <c r="L45" s="19" t="s">
        <v>25</v>
      </c>
      <c r="M45" s="29" t="s">
        <v>25</v>
      </c>
      <c r="N45" s="29" t="s">
        <v>25</v>
      </c>
      <c r="O45" s="29" t="s">
        <v>25</v>
      </c>
      <c r="P45" s="29" t="s">
        <v>25</v>
      </c>
      <c r="Q45" s="29" t="s">
        <v>25</v>
      </c>
      <c r="R45" s="19">
        <v>202410.0</v>
      </c>
      <c r="S45" s="29" t="s">
        <v>25</v>
      </c>
      <c r="T45" s="29" t="s">
        <v>25</v>
      </c>
      <c r="U45" s="29" t="s">
        <v>25</v>
      </c>
      <c r="V45" s="29" t="s">
        <v>25</v>
      </c>
      <c r="W45" s="29">
        <f t="shared" si="1"/>
        <v>3099293</v>
      </c>
      <c r="X45" s="19"/>
      <c r="Y45" s="19"/>
      <c r="Z45" s="19"/>
      <c r="AA45" s="19"/>
      <c r="AB45" s="19"/>
      <c r="AC45" s="19"/>
      <c r="AD45" s="29" t="s">
        <v>25</v>
      </c>
      <c r="AE45" s="29" t="s">
        <v>25</v>
      </c>
      <c r="AF45" s="30" t="str">
        <f>Table1[[#This Row],[2019 Scope 1 (MeT Co2)]]</f>
        <v>#ERROR!</v>
      </c>
      <c r="AG45" s="31" t="str">
        <f t="shared" si="2"/>
        <v>#ERROR!</v>
      </c>
      <c r="AH45" s="32" t="str">
        <f t="shared" si="3"/>
        <v>#ERROR!</v>
      </c>
      <c r="AI45" s="28"/>
      <c r="AJ45" s="28"/>
      <c r="AK45" s="29" t="s">
        <v>25</v>
      </c>
      <c r="AL45" s="29" t="s">
        <v>25</v>
      </c>
      <c r="AM45" s="30" t="str">
        <f>Table1[[#This Row],[2019 Scope 2 ]]</f>
        <v>#ERROR!</v>
      </c>
      <c r="AN45" s="31" t="str">
        <f t="shared" si="4"/>
        <v>#ERROR!</v>
      </c>
      <c r="AO45" s="32" t="str">
        <f t="shared" si="5"/>
        <v>#ERROR!</v>
      </c>
      <c r="AP45" s="31" t="str">
        <f t="shared" si="6"/>
        <v>#ERROR!</v>
      </c>
      <c r="AQ45" s="32" t="str">
        <f t="shared" si="7"/>
        <v>#ERROR!</v>
      </c>
      <c r="AR45" s="33" t="str">
        <f>Table1[[#This Row],[2019 Scope 3 ]]</f>
        <v>#ERROR!</v>
      </c>
      <c r="AS45" s="34" t="str">
        <f t="shared" si="8"/>
        <v>#ERROR!</v>
      </c>
      <c r="AT45" s="35" t="str">
        <f t="shared" si="9"/>
        <v>#ERROR!</v>
      </c>
      <c r="BI45" s="16">
        <v>6287.0</v>
      </c>
    </row>
    <row r="46" ht="12.75" customHeight="1">
      <c r="A46" s="17">
        <f>companies!A46</f>
        <v>45</v>
      </c>
      <c r="B46" s="19" t="s">
        <v>1060</v>
      </c>
      <c r="C46" s="19">
        <v>1451947.0</v>
      </c>
      <c r="D46" s="19">
        <v>3195704.0</v>
      </c>
      <c r="E46" s="19">
        <v>3068182.0</v>
      </c>
      <c r="F46" s="19">
        <v>3.9676648E7</v>
      </c>
      <c r="G46" s="19">
        <v>1280384.0</v>
      </c>
      <c r="H46" s="19">
        <v>1066000.0</v>
      </c>
      <c r="I46" s="19">
        <v>2102900.0</v>
      </c>
      <c r="J46" s="19">
        <v>9297.0</v>
      </c>
      <c r="K46" s="19">
        <v>61306.0</v>
      </c>
      <c r="L46" s="19">
        <v>803387.0</v>
      </c>
      <c r="M46" s="29" t="s">
        <v>25</v>
      </c>
      <c r="N46" s="29" t="s">
        <v>25</v>
      </c>
      <c r="O46" s="29" t="s">
        <v>25</v>
      </c>
      <c r="P46" s="29">
        <v>1.3476E8</v>
      </c>
      <c r="Q46" s="29">
        <v>1360000.0</v>
      </c>
      <c r="R46" s="19" t="s">
        <v>25</v>
      </c>
      <c r="S46" s="29">
        <v>1957800.0</v>
      </c>
      <c r="T46" s="29" t="s">
        <v>25</v>
      </c>
      <c r="U46" s="29" t="s">
        <v>25</v>
      </c>
      <c r="V46" s="29" t="s">
        <v>25</v>
      </c>
      <c r="W46" s="29">
        <f t="shared" si="1"/>
        <v>183077722</v>
      </c>
      <c r="X46" s="19"/>
      <c r="Y46" s="19"/>
      <c r="Z46" s="19"/>
      <c r="AA46" s="19"/>
      <c r="AB46" s="19"/>
      <c r="AC46" s="19"/>
      <c r="AD46" s="29" t="s">
        <v>25</v>
      </c>
      <c r="AE46" s="29" t="s">
        <v>25</v>
      </c>
      <c r="AF46" s="30" t="str">
        <f>Table1[[#This Row],[2019 Scope 1 (MeT Co2)]]</f>
        <v>#ERROR!</v>
      </c>
      <c r="AG46" s="31" t="str">
        <f t="shared" si="2"/>
        <v>#ERROR!</v>
      </c>
      <c r="AH46" s="32" t="str">
        <f t="shared" si="3"/>
        <v>#ERROR!</v>
      </c>
      <c r="AI46" s="28"/>
      <c r="AJ46" s="28"/>
      <c r="AK46" s="29" t="s">
        <v>25</v>
      </c>
      <c r="AL46" s="29" t="s">
        <v>25</v>
      </c>
      <c r="AM46" s="30" t="str">
        <f>Table1[[#This Row],[2019 Scope 2 ]]</f>
        <v>#ERROR!</v>
      </c>
      <c r="AN46" s="31" t="str">
        <f t="shared" si="4"/>
        <v>#ERROR!</v>
      </c>
      <c r="AO46" s="32" t="str">
        <f t="shared" si="5"/>
        <v>#ERROR!</v>
      </c>
      <c r="AP46" s="31" t="str">
        <f t="shared" si="6"/>
        <v>#ERROR!</v>
      </c>
      <c r="AQ46" s="32" t="str">
        <f t="shared" si="7"/>
        <v>#ERROR!</v>
      </c>
      <c r="AR46" s="33" t="str">
        <f>Table1[[#This Row],[2019 Scope 3 ]]</f>
        <v>#ERROR!</v>
      </c>
      <c r="AS46" s="34" t="str">
        <f t="shared" si="8"/>
        <v>#ERROR!</v>
      </c>
      <c r="AT46" s="35" t="str">
        <f t="shared" si="9"/>
        <v>#ERROR!</v>
      </c>
      <c r="BI46" s="16">
        <v>6595.0</v>
      </c>
    </row>
    <row r="47" ht="12.75" customHeight="1">
      <c r="A47" s="17">
        <f>companies!A47</f>
        <v>46</v>
      </c>
      <c r="B47" s="19" t="s">
        <v>1060</v>
      </c>
      <c r="C47" s="19">
        <v>317081.0</v>
      </c>
      <c r="D47" s="19" t="s">
        <v>25</v>
      </c>
      <c r="E47" s="19">
        <v>445119.0</v>
      </c>
      <c r="F47" s="19" t="s">
        <v>25</v>
      </c>
      <c r="G47" s="19" t="s">
        <v>25</v>
      </c>
      <c r="H47" s="19" t="s">
        <v>25</v>
      </c>
      <c r="I47" s="19" t="s">
        <v>25</v>
      </c>
      <c r="J47" s="19" t="s">
        <v>25</v>
      </c>
      <c r="K47" s="19" t="s">
        <v>25</v>
      </c>
      <c r="L47" s="19" t="s">
        <v>25</v>
      </c>
      <c r="M47" s="29" t="s">
        <v>25</v>
      </c>
      <c r="N47" s="29" t="s">
        <v>25</v>
      </c>
      <c r="O47" s="29" t="s">
        <v>25</v>
      </c>
      <c r="P47" s="29" t="s">
        <v>25</v>
      </c>
      <c r="Q47" s="29" t="s">
        <v>25</v>
      </c>
      <c r="R47" s="19" t="s">
        <v>25</v>
      </c>
      <c r="S47" s="29" t="s">
        <v>25</v>
      </c>
      <c r="T47" s="29" t="s">
        <v>25</v>
      </c>
      <c r="U47" s="29" t="s">
        <v>25</v>
      </c>
      <c r="V47" s="29" t="s">
        <v>25</v>
      </c>
      <c r="W47" s="29">
        <f t="shared" si="1"/>
        <v>0</v>
      </c>
      <c r="X47" s="19"/>
      <c r="Y47" s="19"/>
      <c r="Z47" s="19"/>
      <c r="AA47" s="19"/>
      <c r="AB47" s="19"/>
      <c r="AC47" s="19"/>
      <c r="AD47" s="29" t="s">
        <v>1061</v>
      </c>
      <c r="AE47" s="29" t="s">
        <v>1062</v>
      </c>
      <c r="AF47" s="30" t="str">
        <f>Table1[[#This Row],[2019 Scope 1 (MeT Co2)]]</f>
        <v>#ERROR!</v>
      </c>
      <c r="AG47" s="31" t="str">
        <f t="shared" si="2"/>
        <v>#ERROR!</v>
      </c>
      <c r="AH47" s="32" t="str">
        <f t="shared" si="3"/>
        <v>#ERROR!</v>
      </c>
      <c r="AI47" s="28"/>
      <c r="AJ47" s="28"/>
      <c r="AK47" s="29" t="s">
        <v>1061</v>
      </c>
      <c r="AL47" s="29" t="s">
        <v>1062</v>
      </c>
      <c r="AM47" s="30" t="str">
        <f>Table1[[#This Row],[2019 Scope 2 ]]</f>
        <v>#ERROR!</v>
      </c>
      <c r="AN47" s="31" t="str">
        <f t="shared" si="4"/>
        <v>#ERROR!</v>
      </c>
      <c r="AO47" s="32" t="str">
        <f t="shared" si="5"/>
        <v>#ERROR!</v>
      </c>
      <c r="AP47" s="31" t="str">
        <f t="shared" si="6"/>
        <v>#ERROR!</v>
      </c>
      <c r="AQ47" s="32" t="str">
        <f t="shared" si="7"/>
        <v>#ERROR!</v>
      </c>
      <c r="AR47" s="33" t="str">
        <f>Table1[[#This Row],[2019 Scope 3 ]]</f>
        <v>#ERROR!</v>
      </c>
      <c r="AS47" s="34" t="str">
        <f t="shared" si="8"/>
        <v>#ERROR!</v>
      </c>
      <c r="AT47" s="35" t="str">
        <f t="shared" si="9"/>
        <v>#ERROR!</v>
      </c>
      <c r="BI47" s="16">
        <v>7147.0</v>
      </c>
    </row>
    <row r="48" ht="12.75" customHeight="1">
      <c r="A48" s="17">
        <f>companies!A48</f>
        <v>47</v>
      </c>
      <c r="B48" s="19" t="s">
        <v>1060</v>
      </c>
      <c r="C48" s="19">
        <v>997409.519</v>
      </c>
      <c r="D48" s="19">
        <v>1416578.884</v>
      </c>
      <c r="E48" s="19">
        <v>1387615.018</v>
      </c>
      <c r="F48" s="19" t="s">
        <v>25</v>
      </c>
      <c r="G48" s="19" t="s">
        <v>25</v>
      </c>
      <c r="H48" s="19" t="s">
        <v>25</v>
      </c>
      <c r="I48" s="19" t="s">
        <v>25</v>
      </c>
      <c r="J48" s="19" t="s">
        <v>25</v>
      </c>
      <c r="K48" s="19">
        <v>183639.078</v>
      </c>
      <c r="L48" s="19" t="s">
        <v>25</v>
      </c>
      <c r="M48" s="29" t="s">
        <v>25</v>
      </c>
      <c r="N48" s="29" t="s">
        <v>25</v>
      </c>
      <c r="O48" s="29" t="s">
        <v>25</v>
      </c>
      <c r="P48" s="29" t="s">
        <v>25</v>
      </c>
      <c r="Q48" s="29" t="s">
        <v>25</v>
      </c>
      <c r="R48" s="19" t="s">
        <v>25</v>
      </c>
      <c r="S48" s="29" t="s">
        <v>25</v>
      </c>
      <c r="T48" s="29">
        <v>682075.0</v>
      </c>
      <c r="U48" s="29" t="s">
        <v>25</v>
      </c>
      <c r="V48" s="29" t="s">
        <v>25</v>
      </c>
      <c r="W48" s="29">
        <f t="shared" si="1"/>
        <v>865714.078</v>
      </c>
      <c r="X48" s="29"/>
      <c r="Y48" s="29"/>
      <c r="Z48" s="29"/>
      <c r="AA48" s="29"/>
      <c r="AB48" s="29"/>
      <c r="AC48" s="29"/>
      <c r="AD48" s="29" t="s">
        <v>25</v>
      </c>
      <c r="AE48" s="29" t="s">
        <v>25</v>
      </c>
      <c r="AF48" s="30" t="str">
        <f>Table1[[#This Row],[2019 Scope 1 (MeT Co2)]]</f>
        <v>#ERROR!</v>
      </c>
      <c r="AG48" s="31" t="str">
        <f t="shared" si="2"/>
        <v>#ERROR!</v>
      </c>
      <c r="AH48" s="32" t="str">
        <f t="shared" si="3"/>
        <v>#ERROR!</v>
      </c>
      <c r="AI48" s="28"/>
      <c r="AJ48" s="28"/>
      <c r="AK48" s="29" t="s">
        <v>25</v>
      </c>
      <c r="AL48" s="29" t="s">
        <v>25</v>
      </c>
      <c r="AM48" s="30" t="str">
        <f>Table1[[#This Row],[2019 Scope 2 ]]</f>
        <v>#ERROR!</v>
      </c>
      <c r="AN48" s="31" t="str">
        <f t="shared" si="4"/>
        <v>#ERROR!</v>
      </c>
      <c r="AO48" s="32" t="str">
        <f t="shared" si="5"/>
        <v>#ERROR!</v>
      </c>
      <c r="AP48" s="31" t="str">
        <f t="shared" si="6"/>
        <v>#ERROR!</v>
      </c>
      <c r="AQ48" s="32" t="str">
        <f t="shared" si="7"/>
        <v>#ERROR!</v>
      </c>
      <c r="AR48" s="33" t="str">
        <f>Table1[[#This Row],[2019 Scope 3 ]]</f>
        <v>#ERROR!</v>
      </c>
      <c r="AS48" s="34" t="str">
        <f t="shared" si="8"/>
        <v>#ERROR!</v>
      </c>
      <c r="AT48" s="35" t="str">
        <f t="shared" si="9"/>
        <v>#ERROR!</v>
      </c>
      <c r="BI48" s="19">
        <v>7166.0</v>
      </c>
    </row>
    <row r="49" ht="12.75" customHeight="1">
      <c r="A49" s="17">
        <f>companies!A49</f>
        <v>48</v>
      </c>
      <c r="B49" s="19" t="s">
        <v>1060</v>
      </c>
      <c r="C49" s="19">
        <v>1589700.0</v>
      </c>
      <c r="D49" s="19">
        <v>4381970.0</v>
      </c>
      <c r="E49" s="19">
        <v>3721875.0</v>
      </c>
      <c r="F49" s="19">
        <v>4.5505504E7</v>
      </c>
      <c r="G49" s="19">
        <v>4597425.0</v>
      </c>
      <c r="H49" s="19">
        <v>322403.0</v>
      </c>
      <c r="I49" s="19">
        <v>3449729.0</v>
      </c>
      <c r="J49" s="19">
        <v>954.0</v>
      </c>
      <c r="K49" s="19">
        <v>40051.0</v>
      </c>
      <c r="L49" s="19">
        <v>123000.0</v>
      </c>
      <c r="M49" s="29">
        <v>10077.0</v>
      </c>
      <c r="N49" s="29">
        <v>1922037.0</v>
      </c>
      <c r="O49" s="29">
        <v>120731.0</v>
      </c>
      <c r="P49" s="29">
        <v>1.90123729E8</v>
      </c>
      <c r="Q49" s="29">
        <v>2938656.0</v>
      </c>
      <c r="R49" s="19">
        <v>20459.0</v>
      </c>
      <c r="S49" s="29">
        <v>138641.0</v>
      </c>
      <c r="T49" s="29" t="s">
        <v>25</v>
      </c>
      <c r="U49" s="29" t="s">
        <v>25</v>
      </c>
      <c r="V49" s="29" t="s">
        <v>25</v>
      </c>
      <c r="W49" s="29">
        <f t="shared" si="1"/>
        <v>249313396</v>
      </c>
      <c r="X49" s="19"/>
      <c r="Y49" s="19"/>
      <c r="Z49" s="19"/>
      <c r="AA49" s="19"/>
      <c r="AB49" s="19"/>
      <c r="AC49" s="19"/>
      <c r="AD49" s="29" t="s">
        <v>25</v>
      </c>
      <c r="AE49" s="29" t="s">
        <v>25</v>
      </c>
      <c r="AF49" s="30" t="str">
        <f>Table1[[#This Row],[2019 Scope 1 (MeT Co2)]]</f>
        <v>#ERROR!</v>
      </c>
      <c r="AG49" s="31" t="str">
        <f t="shared" si="2"/>
        <v>#ERROR!</v>
      </c>
      <c r="AH49" s="32" t="str">
        <f t="shared" si="3"/>
        <v>#ERROR!</v>
      </c>
      <c r="AI49" s="28"/>
      <c r="AJ49" s="28"/>
      <c r="AK49" s="29" t="s">
        <v>25</v>
      </c>
      <c r="AL49" s="29" t="s">
        <v>25</v>
      </c>
      <c r="AM49" s="30" t="str">
        <f>Table1[[#This Row],[2019 Scope 2 ]]</f>
        <v>#ERROR!</v>
      </c>
      <c r="AN49" s="31" t="str">
        <f t="shared" si="4"/>
        <v>#ERROR!</v>
      </c>
      <c r="AO49" s="32" t="str">
        <f t="shared" si="5"/>
        <v>#ERROR!</v>
      </c>
      <c r="AP49" s="31" t="str">
        <f t="shared" si="6"/>
        <v>#ERROR!</v>
      </c>
      <c r="AQ49" s="32" t="str">
        <f t="shared" si="7"/>
        <v>#ERROR!</v>
      </c>
      <c r="AR49" s="33" t="str">
        <f>Table1[[#This Row],[2019 Scope 3 ]]</f>
        <v>#ERROR!</v>
      </c>
      <c r="AS49" s="34" t="str">
        <f t="shared" si="8"/>
        <v>#ERROR!</v>
      </c>
      <c r="AT49" s="35" t="str">
        <f t="shared" si="9"/>
        <v>#ERROR!</v>
      </c>
      <c r="BI49" s="16">
        <v>7164.0</v>
      </c>
    </row>
    <row r="50" ht="12.75" customHeight="1">
      <c r="A50" s="17">
        <f>companies!A50</f>
        <v>49</v>
      </c>
      <c r="B50" s="19" t="s">
        <v>1060</v>
      </c>
      <c r="C50" s="19">
        <v>52019.0</v>
      </c>
      <c r="D50" s="19">
        <v>42546.0</v>
      </c>
      <c r="E50" s="19">
        <v>21716.0</v>
      </c>
      <c r="F50" s="19">
        <v>1229479.0</v>
      </c>
      <c r="G50" s="19">
        <v>95700.0</v>
      </c>
      <c r="H50" s="19">
        <v>25250.0</v>
      </c>
      <c r="I50" s="19">
        <v>17003.0</v>
      </c>
      <c r="J50" s="19">
        <v>4810.0</v>
      </c>
      <c r="K50" s="19">
        <v>40399.0</v>
      </c>
      <c r="L50" s="19">
        <v>23656.0</v>
      </c>
      <c r="M50" s="29" t="s">
        <v>25</v>
      </c>
      <c r="N50" s="29" t="s">
        <v>25</v>
      </c>
      <c r="O50" s="29" t="s">
        <v>25</v>
      </c>
      <c r="P50" s="29" t="s">
        <v>25</v>
      </c>
      <c r="Q50" s="29" t="s">
        <v>25</v>
      </c>
      <c r="R50" s="19" t="s">
        <v>25</v>
      </c>
      <c r="S50" s="29" t="s">
        <v>25</v>
      </c>
      <c r="T50" s="29" t="s">
        <v>25</v>
      </c>
      <c r="U50" s="29" t="s">
        <v>25</v>
      </c>
      <c r="V50" s="29" t="s">
        <v>25</v>
      </c>
      <c r="W50" s="29">
        <f t="shared" si="1"/>
        <v>1436297</v>
      </c>
      <c r="X50" s="19"/>
      <c r="Y50" s="19"/>
      <c r="Z50" s="19"/>
      <c r="AA50" s="19"/>
      <c r="AB50" s="19"/>
      <c r="AC50" s="19"/>
      <c r="AD50" s="29" t="s">
        <v>25</v>
      </c>
      <c r="AE50" s="29" t="s">
        <v>25</v>
      </c>
      <c r="AF50" s="30" t="str">
        <f>Table1[[#This Row],[2019 Scope 1 (MeT Co2)]]</f>
        <v>#ERROR!</v>
      </c>
      <c r="AG50" s="31" t="str">
        <f t="shared" si="2"/>
        <v>#ERROR!</v>
      </c>
      <c r="AH50" s="32" t="str">
        <f t="shared" si="3"/>
        <v>#ERROR!</v>
      </c>
      <c r="AI50" s="28"/>
      <c r="AJ50" s="28"/>
      <c r="AK50" s="29" t="s">
        <v>25</v>
      </c>
      <c r="AL50" s="29" t="s">
        <v>25</v>
      </c>
      <c r="AM50" s="30" t="str">
        <f>Table1[[#This Row],[2019 Scope 2 ]]</f>
        <v>#ERROR!</v>
      </c>
      <c r="AN50" s="31" t="str">
        <f t="shared" si="4"/>
        <v>#ERROR!</v>
      </c>
      <c r="AO50" s="32" t="str">
        <f t="shared" si="5"/>
        <v>#ERROR!</v>
      </c>
      <c r="AP50" s="31" t="str">
        <f t="shared" si="6"/>
        <v>#ERROR!</v>
      </c>
      <c r="AQ50" s="32" t="str">
        <f t="shared" si="7"/>
        <v>#ERROR!</v>
      </c>
      <c r="AR50" s="33" t="str">
        <f>Table1[[#This Row],[2019 Scope 3 ]]</f>
        <v>#ERROR!</v>
      </c>
      <c r="AS50" s="34" t="str">
        <f t="shared" si="8"/>
        <v>#ERROR!</v>
      </c>
      <c r="AT50" s="35" t="str">
        <f t="shared" si="9"/>
        <v>#ERROR!</v>
      </c>
      <c r="BI50" s="16">
        <v>7345.0</v>
      </c>
    </row>
    <row r="51" ht="12.75" customHeight="1">
      <c r="A51" s="17">
        <f>companies!A51</f>
        <v>50</v>
      </c>
      <c r="B51" s="19" t="s">
        <v>1060</v>
      </c>
      <c r="C51" s="19">
        <v>12673.0</v>
      </c>
      <c r="D51" s="19">
        <v>166249.0</v>
      </c>
      <c r="E51" s="19">
        <v>9109.0</v>
      </c>
      <c r="F51" s="19">
        <v>1125000.0</v>
      </c>
      <c r="G51" s="19" t="s">
        <v>25</v>
      </c>
      <c r="H51" s="19">
        <v>40000.0</v>
      </c>
      <c r="I51" s="19" t="s">
        <v>25</v>
      </c>
      <c r="J51" s="19">
        <v>291.0</v>
      </c>
      <c r="K51" s="19">
        <v>135473.0</v>
      </c>
      <c r="L51" s="19">
        <v>91000.0</v>
      </c>
      <c r="M51" s="29" t="s">
        <v>25</v>
      </c>
      <c r="N51" s="29" t="s">
        <v>25</v>
      </c>
      <c r="O51" s="29" t="s">
        <v>25</v>
      </c>
      <c r="P51" s="29" t="s">
        <v>25</v>
      </c>
      <c r="Q51" s="29" t="s">
        <v>25</v>
      </c>
      <c r="R51" s="19">
        <v>12700.0</v>
      </c>
      <c r="S51" s="29" t="s">
        <v>25</v>
      </c>
      <c r="T51" s="29" t="s">
        <v>25</v>
      </c>
      <c r="U51" s="29" t="s">
        <v>25</v>
      </c>
      <c r="V51" s="29" t="s">
        <v>25</v>
      </c>
      <c r="W51" s="29">
        <f t="shared" si="1"/>
        <v>1404464</v>
      </c>
      <c r="X51" s="19"/>
      <c r="Y51" s="19"/>
      <c r="Z51" s="19"/>
      <c r="AA51" s="19"/>
      <c r="AB51" s="19"/>
      <c r="AC51" s="19"/>
      <c r="AD51" s="29" t="s">
        <v>25</v>
      </c>
      <c r="AE51" s="29" t="s">
        <v>25</v>
      </c>
      <c r="AF51" s="30" t="str">
        <f>Table1[[#This Row],[2019 Scope 1 (MeT Co2)]]</f>
        <v>#ERROR!</v>
      </c>
      <c r="AG51" s="31" t="str">
        <f t="shared" si="2"/>
        <v>#ERROR!</v>
      </c>
      <c r="AH51" s="32" t="str">
        <f t="shared" si="3"/>
        <v>#ERROR!</v>
      </c>
      <c r="AI51" s="28"/>
      <c r="AJ51" s="28"/>
      <c r="AK51" s="29" t="s">
        <v>25</v>
      </c>
      <c r="AL51" s="29" t="s">
        <v>25</v>
      </c>
      <c r="AM51" s="30" t="str">
        <f>Table1[[#This Row],[2019 Scope 2 ]]</f>
        <v>#ERROR!</v>
      </c>
      <c r="AN51" s="31" t="str">
        <f t="shared" si="4"/>
        <v>#ERROR!</v>
      </c>
      <c r="AO51" s="32" t="str">
        <f t="shared" si="5"/>
        <v>#ERROR!</v>
      </c>
      <c r="AP51" s="31" t="str">
        <f t="shared" si="6"/>
        <v>#ERROR!</v>
      </c>
      <c r="AQ51" s="32" t="str">
        <f t="shared" si="7"/>
        <v>#ERROR!</v>
      </c>
      <c r="AR51" s="33" t="str">
        <f>Table1[[#This Row],[2019 Scope 3 ]]</f>
        <v>#ERROR!</v>
      </c>
      <c r="AS51" s="34" t="str">
        <f t="shared" si="8"/>
        <v>#ERROR!</v>
      </c>
      <c r="AT51" s="35" t="str">
        <f t="shared" si="9"/>
        <v>#ERROR!</v>
      </c>
      <c r="BI51" s="16">
        <v>7599.0</v>
      </c>
    </row>
    <row r="52" ht="12.75" customHeight="1">
      <c r="A52" s="17">
        <f>companies!A52</f>
        <v>51</v>
      </c>
      <c r="B52" s="19" t="s">
        <v>1060</v>
      </c>
      <c r="C52" s="19">
        <v>554317.0</v>
      </c>
      <c r="D52" s="19">
        <v>1393916.0</v>
      </c>
      <c r="E52" s="19">
        <v>1302648.0</v>
      </c>
      <c r="F52" s="19">
        <v>4.4487507E7</v>
      </c>
      <c r="G52" s="19" t="s">
        <v>25</v>
      </c>
      <c r="H52" s="19">
        <v>420000.0</v>
      </c>
      <c r="I52" s="19">
        <v>2665080.0</v>
      </c>
      <c r="J52" s="19" t="s">
        <v>25</v>
      </c>
      <c r="K52" s="19" t="s">
        <v>25</v>
      </c>
      <c r="L52" s="19">
        <v>564400.0</v>
      </c>
      <c r="M52" s="29" t="s">
        <v>25</v>
      </c>
      <c r="N52" s="29" t="s">
        <v>25</v>
      </c>
      <c r="O52" s="29" t="s">
        <v>25</v>
      </c>
      <c r="P52" s="29">
        <v>1.56500611E8</v>
      </c>
      <c r="Q52" s="29" t="s">
        <v>25</v>
      </c>
      <c r="R52" s="19" t="s">
        <v>25</v>
      </c>
      <c r="S52" s="29" t="s">
        <v>25</v>
      </c>
      <c r="T52" s="29" t="s">
        <v>25</v>
      </c>
      <c r="U52" s="29" t="s">
        <v>25</v>
      </c>
      <c r="V52" s="29" t="s">
        <v>25</v>
      </c>
      <c r="W52" s="29">
        <f t="shared" si="1"/>
        <v>204637598</v>
      </c>
      <c r="X52" s="19"/>
      <c r="Y52" s="19"/>
      <c r="Z52" s="19"/>
      <c r="AA52" s="19"/>
      <c r="AB52" s="19"/>
      <c r="AC52" s="19"/>
      <c r="AD52" s="29" t="s">
        <v>25</v>
      </c>
      <c r="AE52" s="29" t="s">
        <v>25</v>
      </c>
      <c r="AF52" s="30" t="str">
        <f>Table1[[#This Row],[2019 Scope 1 (MeT Co2)]]</f>
        <v>#ERROR!</v>
      </c>
      <c r="AG52" s="31" t="str">
        <f t="shared" si="2"/>
        <v>#ERROR!</v>
      </c>
      <c r="AH52" s="32" t="str">
        <f t="shared" si="3"/>
        <v>#ERROR!</v>
      </c>
      <c r="AI52" s="28"/>
      <c r="AJ52" s="28"/>
      <c r="AK52" s="29" t="s">
        <v>25</v>
      </c>
      <c r="AL52" s="29" t="s">
        <v>25</v>
      </c>
      <c r="AM52" s="30" t="str">
        <f>Table1[[#This Row],[2019 Scope 2 ]]</f>
        <v>#ERROR!</v>
      </c>
      <c r="AN52" s="31" t="str">
        <f t="shared" si="4"/>
        <v>#ERROR!</v>
      </c>
      <c r="AO52" s="32" t="str">
        <f t="shared" si="5"/>
        <v>#ERROR!</v>
      </c>
      <c r="AP52" s="31" t="str">
        <f t="shared" si="6"/>
        <v>#ERROR!</v>
      </c>
      <c r="AQ52" s="32" t="str">
        <f t="shared" si="7"/>
        <v>#ERROR!</v>
      </c>
      <c r="AR52" s="33" t="str">
        <f>Table1[[#This Row],[2019 Scope 3 ]]</f>
        <v>#ERROR!</v>
      </c>
      <c r="AS52" s="34" t="str">
        <f t="shared" si="8"/>
        <v>#ERROR!</v>
      </c>
      <c r="AT52" s="35" t="str">
        <f t="shared" si="9"/>
        <v>#ERROR!</v>
      </c>
      <c r="BI52" s="16">
        <v>8526.0</v>
      </c>
    </row>
    <row r="53" ht="12.75" customHeight="1">
      <c r="A53" s="17">
        <f>companies!A53</f>
        <v>52</v>
      </c>
      <c r="B53" s="19" t="s">
        <v>1060</v>
      </c>
      <c r="C53" s="19">
        <v>1090649.0</v>
      </c>
      <c r="D53" s="19">
        <v>951982.0</v>
      </c>
      <c r="E53" s="19">
        <v>933484.0</v>
      </c>
      <c r="F53" s="19">
        <v>1.6976983E7</v>
      </c>
      <c r="G53" s="19">
        <v>518408.0</v>
      </c>
      <c r="H53" s="19">
        <v>306478.0</v>
      </c>
      <c r="I53" s="19" t="s">
        <v>25</v>
      </c>
      <c r="J53" s="19" t="s">
        <v>25</v>
      </c>
      <c r="K53" s="19">
        <v>163207.0</v>
      </c>
      <c r="L53" s="19">
        <v>104444.0</v>
      </c>
      <c r="M53" s="29" t="s">
        <v>25</v>
      </c>
      <c r="N53" s="29" t="s">
        <v>25</v>
      </c>
      <c r="O53" s="29" t="s">
        <v>25</v>
      </c>
      <c r="P53" s="29" t="s">
        <v>25</v>
      </c>
      <c r="Q53" s="29" t="s">
        <v>25</v>
      </c>
      <c r="R53" s="19">
        <v>17530.0</v>
      </c>
      <c r="S53" s="29" t="s">
        <v>25</v>
      </c>
      <c r="T53" s="29" t="s">
        <v>25</v>
      </c>
      <c r="U53" s="29" t="s">
        <v>25</v>
      </c>
      <c r="V53" s="29" t="s">
        <v>25</v>
      </c>
      <c r="W53" s="29">
        <f t="shared" si="1"/>
        <v>18087050</v>
      </c>
      <c r="X53" s="19"/>
      <c r="Y53" s="19"/>
      <c r="Z53" s="19"/>
      <c r="AA53" s="19"/>
      <c r="AB53" s="19"/>
      <c r="AC53" s="19"/>
      <c r="AD53" s="29" t="s">
        <v>25</v>
      </c>
      <c r="AE53" s="29" t="s">
        <v>25</v>
      </c>
      <c r="AF53" s="30" t="str">
        <f>Table1[[#This Row],[2019 Scope 1 (MeT Co2)]]</f>
        <v>#ERROR!</v>
      </c>
      <c r="AG53" s="31" t="str">
        <f t="shared" si="2"/>
        <v>#ERROR!</v>
      </c>
      <c r="AH53" s="32" t="str">
        <f t="shared" si="3"/>
        <v>#ERROR!</v>
      </c>
      <c r="AI53" s="28"/>
      <c r="AJ53" s="28"/>
      <c r="AK53" s="29" t="s">
        <v>25</v>
      </c>
      <c r="AL53" s="29" t="s">
        <v>25</v>
      </c>
      <c r="AM53" s="30" t="str">
        <f>Table1[[#This Row],[2019 Scope 2 ]]</f>
        <v>#ERROR!</v>
      </c>
      <c r="AN53" s="31" t="str">
        <f t="shared" si="4"/>
        <v>#ERROR!</v>
      </c>
      <c r="AO53" s="32" t="str">
        <f t="shared" si="5"/>
        <v>#ERROR!</v>
      </c>
      <c r="AP53" s="31" t="str">
        <f t="shared" si="6"/>
        <v>#ERROR!</v>
      </c>
      <c r="AQ53" s="32" t="str">
        <f t="shared" si="7"/>
        <v>#ERROR!</v>
      </c>
      <c r="AR53" s="33" t="str">
        <f>Table1[[#This Row],[2019 Scope 3 ]]</f>
        <v>#ERROR!</v>
      </c>
      <c r="AS53" s="34" t="str">
        <f t="shared" si="8"/>
        <v>#ERROR!</v>
      </c>
      <c r="AT53" s="35" t="str">
        <f t="shared" si="9"/>
        <v>#ERROR!</v>
      </c>
      <c r="BI53" s="16">
        <v>8553.0</v>
      </c>
    </row>
    <row r="54" ht="12.75" customHeight="1">
      <c r="A54" s="17">
        <f>companies!A54</f>
        <v>53</v>
      </c>
      <c r="B54" s="19" t="s">
        <v>1060</v>
      </c>
      <c r="C54" s="19">
        <v>117723.0</v>
      </c>
      <c r="D54" s="19">
        <v>987066.0</v>
      </c>
      <c r="E54" s="19">
        <v>827369.0</v>
      </c>
      <c r="F54" s="19">
        <v>318989.0</v>
      </c>
      <c r="G54" s="19" t="s">
        <v>25</v>
      </c>
      <c r="H54" s="19" t="s">
        <v>25</v>
      </c>
      <c r="I54" s="19" t="s">
        <v>25</v>
      </c>
      <c r="J54" s="19" t="s">
        <v>25</v>
      </c>
      <c r="K54" s="19">
        <v>393448.0</v>
      </c>
      <c r="L54" s="19">
        <v>119404.0</v>
      </c>
      <c r="M54" s="29">
        <v>39505.0</v>
      </c>
      <c r="N54" s="29" t="s">
        <v>25</v>
      </c>
      <c r="O54" s="29" t="s">
        <v>25</v>
      </c>
      <c r="P54" s="29">
        <v>287068.0</v>
      </c>
      <c r="Q54" s="29" t="s">
        <v>25</v>
      </c>
      <c r="R54" s="19" t="s">
        <v>25</v>
      </c>
      <c r="S54" s="29" t="s">
        <v>25</v>
      </c>
      <c r="T54" s="29" t="s">
        <v>25</v>
      </c>
      <c r="U54" s="29" t="s">
        <v>25</v>
      </c>
      <c r="V54" s="29" t="s">
        <v>25</v>
      </c>
      <c r="W54" s="29">
        <f t="shared" si="1"/>
        <v>1158414</v>
      </c>
      <c r="X54" s="19"/>
      <c r="Y54" s="19"/>
      <c r="Z54" s="19"/>
      <c r="AA54" s="19"/>
      <c r="AB54" s="19"/>
      <c r="AC54" s="19"/>
      <c r="AD54" s="29" t="s">
        <v>25</v>
      </c>
      <c r="AE54" s="29" t="s">
        <v>25</v>
      </c>
      <c r="AF54" s="30" t="str">
        <f>Table1[[#This Row],[2019 Scope 1 (MeT Co2)]]</f>
        <v>#ERROR!</v>
      </c>
      <c r="AG54" s="31" t="str">
        <f t="shared" si="2"/>
        <v>#ERROR!</v>
      </c>
      <c r="AH54" s="32" t="str">
        <f t="shared" si="3"/>
        <v>#ERROR!</v>
      </c>
      <c r="AI54" s="28"/>
      <c r="AJ54" s="28"/>
      <c r="AK54" s="29" t="s">
        <v>25</v>
      </c>
      <c r="AL54" s="29" t="s">
        <v>25</v>
      </c>
      <c r="AM54" s="30" t="str">
        <f>Table1[[#This Row],[2019 Scope 2 ]]</f>
        <v>#ERROR!</v>
      </c>
      <c r="AN54" s="31" t="str">
        <f t="shared" si="4"/>
        <v>#ERROR!</v>
      </c>
      <c r="AO54" s="32" t="str">
        <f t="shared" si="5"/>
        <v>#ERROR!</v>
      </c>
      <c r="AP54" s="31" t="str">
        <f t="shared" si="6"/>
        <v>#ERROR!</v>
      </c>
      <c r="AQ54" s="32" t="str">
        <f t="shared" si="7"/>
        <v>#ERROR!</v>
      </c>
      <c r="AR54" s="33" t="str">
        <f>Table1[[#This Row],[2019 Scope 3 ]]</f>
        <v>#ERROR!</v>
      </c>
      <c r="AS54" s="34" t="str">
        <f t="shared" si="8"/>
        <v>#ERROR!</v>
      </c>
      <c r="AT54" s="35" t="str">
        <f t="shared" si="9"/>
        <v>#ERROR!</v>
      </c>
      <c r="BI54" s="19">
        <v>9284.0</v>
      </c>
    </row>
    <row r="55" ht="12.75" customHeight="1">
      <c r="A55" s="17">
        <f>companies!A55</f>
        <v>54</v>
      </c>
      <c r="B55" s="19" t="s">
        <v>1060</v>
      </c>
      <c r="C55" s="19">
        <v>1489000.0</v>
      </c>
      <c r="D55" s="19">
        <v>3345000.0</v>
      </c>
      <c r="E55" s="19">
        <v>1299000.0</v>
      </c>
      <c r="F55" s="19">
        <v>4446000.0</v>
      </c>
      <c r="G55" s="19">
        <v>36000.0</v>
      </c>
      <c r="H55" s="19">
        <v>115000.0</v>
      </c>
      <c r="I55" s="19">
        <v>157000.0</v>
      </c>
      <c r="J55" s="19">
        <v>2000.0</v>
      </c>
      <c r="K55" s="19">
        <v>136000.0</v>
      </c>
      <c r="L55" s="19">
        <v>516000.0</v>
      </c>
      <c r="M55" s="29">
        <v>21000.0</v>
      </c>
      <c r="N55" s="29">
        <v>98000.0</v>
      </c>
      <c r="O55" s="29">
        <v>285000.0</v>
      </c>
      <c r="P55" s="29">
        <v>3927000.0</v>
      </c>
      <c r="Q55" s="29" t="s">
        <v>25</v>
      </c>
      <c r="R55" s="19" t="s">
        <v>25</v>
      </c>
      <c r="S55" s="29" t="s">
        <v>25</v>
      </c>
      <c r="T55" s="29" t="s">
        <v>25</v>
      </c>
      <c r="U55" s="29" t="s">
        <v>25</v>
      </c>
      <c r="V55" s="29" t="s">
        <v>25</v>
      </c>
      <c r="W55" s="29">
        <f t="shared" si="1"/>
        <v>9739000</v>
      </c>
      <c r="X55" s="19"/>
      <c r="Y55" s="19"/>
      <c r="Z55" s="19"/>
      <c r="AA55" s="19"/>
      <c r="AB55" s="19"/>
      <c r="AC55" s="19"/>
      <c r="AD55" s="29" t="s">
        <v>25</v>
      </c>
      <c r="AE55" s="29" t="s">
        <v>25</v>
      </c>
      <c r="AF55" s="30" t="str">
        <f>Table1[[#This Row],[2019 Scope 1 (MeT Co2)]]</f>
        <v>#ERROR!</v>
      </c>
      <c r="AG55" s="31" t="str">
        <f t="shared" si="2"/>
        <v>#ERROR!</v>
      </c>
      <c r="AH55" s="32" t="str">
        <f t="shared" si="3"/>
        <v>#ERROR!</v>
      </c>
      <c r="AI55" s="28"/>
      <c r="AJ55" s="28"/>
      <c r="AK55" s="29" t="s">
        <v>25</v>
      </c>
      <c r="AL55" s="29" t="s">
        <v>25</v>
      </c>
      <c r="AM55" s="30" t="str">
        <f>Table1[[#This Row],[2019 Scope 2 ]]</f>
        <v>#ERROR!</v>
      </c>
      <c r="AN55" s="31" t="str">
        <f t="shared" si="4"/>
        <v>#ERROR!</v>
      </c>
      <c r="AO55" s="32" t="str">
        <f t="shared" si="5"/>
        <v>#ERROR!</v>
      </c>
      <c r="AP55" s="31" t="str">
        <f t="shared" si="6"/>
        <v>#ERROR!</v>
      </c>
      <c r="AQ55" s="32" t="str">
        <f t="shared" si="7"/>
        <v>#ERROR!</v>
      </c>
      <c r="AR55" s="33" t="str">
        <f>Table1[[#This Row],[2019 Scope 3 ]]</f>
        <v>#ERROR!</v>
      </c>
      <c r="AS55" s="34" t="str">
        <f t="shared" si="8"/>
        <v>#ERROR!</v>
      </c>
      <c r="AT55" s="35" t="str">
        <f t="shared" si="9"/>
        <v>#ERROR!</v>
      </c>
      <c r="BI55" s="16">
        <v>9298.0</v>
      </c>
    </row>
    <row r="56" ht="12.75" customHeight="1">
      <c r="A56" s="17">
        <f>companies!A56</f>
        <v>55</v>
      </c>
      <c r="B56" s="19" t="s">
        <v>1060</v>
      </c>
      <c r="C56" s="19">
        <v>415094.0</v>
      </c>
      <c r="D56" s="19">
        <v>648598.0</v>
      </c>
      <c r="E56" s="19">
        <v>518542.0</v>
      </c>
      <c r="F56" s="19">
        <v>9229943.0</v>
      </c>
      <c r="G56" s="19">
        <v>281092.0</v>
      </c>
      <c r="H56" s="19">
        <v>47245.0</v>
      </c>
      <c r="I56" s="19">
        <v>2201590.0</v>
      </c>
      <c r="J56" s="19">
        <v>3618.0</v>
      </c>
      <c r="K56" s="19">
        <v>601637.0</v>
      </c>
      <c r="L56" s="19">
        <v>267881.0</v>
      </c>
      <c r="M56" s="29">
        <v>39830.0</v>
      </c>
      <c r="N56" s="29">
        <v>65447.0</v>
      </c>
      <c r="O56" s="29" t="s">
        <v>25</v>
      </c>
      <c r="P56" s="29">
        <v>7417224.0</v>
      </c>
      <c r="Q56" s="29">
        <v>209994.0</v>
      </c>
      <c r="R56" s="19" t="s">
        <v>25</v>
      </c>
      <c r="S56" s="29" t="s">
        <v>25</v>
      </c>
      <c r="T56" s="29" t="s">
        <v>25</v>
      </c>
      <c r="U56" s="29" t="s">
        <v>25</v>
      </c>
      <c r="V56" s="29" t="s">
        <v>25</v>
      </c>
      <c r="W56" s="29">
        <f t="shared" si="1"/>
        <v>20365501</v>
      </c>
      <c r="X56" s="19"/>
      <c r="Y56" s="19"/>
      <c r="Z56" s="19"/>
      <c r="AA56" s="19"/>
      <c r="AB56" s="19"/>
      <c r="AC56" s="19"/>
      <c r="AD56" s="29" t="s">
        <v>25</v>
      </c>
      <c r="AE56" s="29" t="s">
        <v>25</v>
      </c>
      <c r="AF56" s="30" t="str">
        <f>Table1[[#This Row],[2019 Scope 1 (MeT Co2)]]</f>
        <v>#ERROR!</v>
      </c>
      <c r="AG56" s="31" t="str">
        <f t="shared" si="2"/>
        <v>#ERROR!</v>
      </c>
      <c r="AH56" s="32" t="str">
        <f t="shared" si="3"/>
        <v>#ERROR!</v>
      </c>
      <c r="AI56" s="28"/>
      <c r="AJ56" s="28"/>
      <c r="AK56" s="29" t="s">
        <v>25</v>
      </c>
      <c r="AL56" s="29" t="s">
        <v>25</v>
      </c>
      <c r="AM56" s="30" t="str">
        <f>Table1[[#This Row],[2019 Scope 2 ]]</f>
        <v>#ERROR!</v>
      </c>
      <c r="AN56" s="31" t="str">
        <f t="shared" si="4"/>
        <v>#ERROR!</v>
      </c>
      <c r="AO56" s="32" t="str">
        <f t="shared" si="5"/>
        <v>#ERROR!</v>
      </c>
      <c r="AP56" s="31" t="str">
        <f t="shared" si="6"/>
        <v>#ERROR!</v>
      </c>
      <c r="AQ56" s="32" t="str">
        <f t="shared" si="7"/>
        <v>#ERROR!</v>
      </c>
      <c r="AR56" s="33" t="str">
        <f>Table1[[#This Row],[2019 Scope 3 ]]</f>
        <v>#ERROR!</v>
      </c>
      <c r="AS56" s="34" t="str">
        <f t="shared" si="8"/>
        <v>#ERROR!</v>
      </c>
      <c r="AT56" s="35" t="str">
        <f t="shared" si="9"/>
        <v>#ERROR!</v>
      </c>
      <c r="BI56" s="16">
        <v>9829.0</v>
      </c>
    </row>
    <row r="57" ht="12.75" customHeight="1">
      <c r="A57" s="17">
        <f>companies!A57</f>
        <v>56</v>
      </c>
      <c r="B57" s="19" t="s">
        <v>1060</v>
      </c>
      <c r="C57" s="19">
        <v>81655.0</v>
      </c>
      <c r="D57" s="19">
        <v>692299.0</v>
      </c>
      <c r="E57" s="19">
        <v>556142.0</v>
      </c>
      <c r="F57" s="19" t="s">
        <v>25</v>
      </c>
      <c r="G57" s="19" t="s">
        <v>25</v>
      </c>
      <c r="H57" s="19">
        <v>32229.0</v>
      </c>
      <c r="I57" s="19" t="s">
        <v>25</v>
      </c>
      <c r="J57" s="19" t="s">
        <v>25</v>
      </c>
      <c r="K57" s="19">
        <v>181004.0</v>
      </c>
      <c r="L57" s="19" t="s">
        <v>25</v>
      </c>
      <c r="M57" s="29" t="s">
        <v>25</v>
      </c>
      <c r="N57" s="29" t="s">
        <v>25</v>
      </c>
      <c r="O57" s="29" t="s">
        <v>25</v>
      </c>
      <c r="P57" s="29" t="s">
        <v>25</v>
      </c>
      <c r="Q57" s="29" t="s">
        <v>25</v>
      </c>
      <c r="R57" s="19" t="s">
        <v>25</v>
      </c>
      <c r="S57" s="29" t="s">
        <v>25</v>
      </c>
      <c r="T57" s="29" t="s">
        <v>25</v>
      </c>
      <c r="U57" s="29" t="s">
        <v>25</v>
      </c>
      <c r="V57" s="29" t="s">
        <v>25</v>
      </c>
      <c r="W57" s="29">
        <f t="shared" si="1"/>
        <v>213233</v>
      </c>
      <c r="X57" s="19"/>
      <c r="Y57" s="19"/>
      <c r="Z57" s="19"/>
      <c r="AA57" s="19"/>
      <c r="AB57" s="19"/>
      <c r="AC57" s="19"/>
      <c r="AD57" s="29" t="s">
        <v>25</v>
      </c>
      <c r="AE57" s="29" t="s">
        <v>25</v>
      </c>
      <c r="AF57" s="30" t="str">
        <f>Table1[[#This Row],[2019 Scope 1 (MeT Co2)]]</f>
        <v>#ERROR!</v>
      </c>
      <c r="AG57" s="31" t="str">
        <f t="shared" si="2"/>
        <v>#ERROR!</v>
      </c>
      <c r="AH57" s="32" t="str">
        <f t="shared" si="3"/>
        <v>#ERROR!</v>
      </c>
      <c r="AI57" s="28"/>
      <c r="AJ57" s="28"/>
      <c r="AK57" s="29" t="s">
        <v>25</v>
      </c>
      <c r="AL57" s="29" t="s">
        <v>25</v>
      </c>
      <c r="AM57" s="30" t="str">
        <f>Table1[[#This Row],[2019 Scope 2 ]]</f>
        <v>#ERROR!</v>
      </c>
      <c r="AN57" s="31" t="str">
        <f t="shared" si="4"/>
        <v>#ERROR!</v>
      </c>
      <c r="AO57" s="32" t="str">
        <f t="shared" si="5"/>
        <v>#ERROR!</v>
      </c>
      <c r="AP57" s="31" t="str">
        <f t="shared" si="6"/>
        <v>#ERROR!</v>
      </c>
      <c r="AQ57" s="32" t="str">
        <f t="shared" si="7"/>
        <v>#ERROR!</v>
      </c>
      <c r="AR57" s="33" t="str">
        <f>Table1[[#This Row],[2019 Scope 3 ]]</f>
        <v>#ERROR!</v>
      </c>
      <c r="AS57" s="34" t="str">
        <f t="shared" si="8"/>
        <v>#ERROR!</v>
      </c>
      <c r="AT57" s="35" t="str">
        <f t="shared" si="9"/>
        <v>#ERROR!</v>
      </c>
      <c r="BI57" s="16">
        <v>9871.0</v>
      </c>
    </row>
    <row r="58" ht="12.75" customHeight="1">
      <c r="A58" s="17">
        <f>companies!A58</f>
        <v>57</v>
      </c>
      <c r="B58" s="19" t="s">
        <v>1060</v>
      </c>
      <c r="C58" s="19" t="s">
        <v>1065</v>
      </c>
      <c r="D58" s="19" t="s">
        <v>1065</v>
      </c>
      <c r="E58" s="19" t="s">
        <v>1065</v>
      </c>
      <c r="F58" s="19" t="s">
        <v>1065</v>
      </c>
      <c r="G58" s="19" t="s">
        <v>1065</v>
      </c>
      <c r="H58" s="19" t="s">
        <v>1065</v>
      </c>
      <c r="I58" s="19" t="s">
        <v>1065</v>
      </c>
      <c r="J58" s="19" t="s">
        <v>1065</v>
      </c>
      <c r="K58" s="19" t="s">
        <v>1065</v>
      </c>
      <c r="L58" s="19" t="s">
        <v>1065</v>
      </c>
      <c r="M58" s="19" t="s">
        <v>1065</v>
      </c>
      <c r="N58" s="19" t="s">
        <v>1065</v>
      </c>
      <c r="O58" s="19" t="s">
        <v>1065</v>
      </c>
      <c r="P58" s="19" t="s">
        <v>1065</v>
      </c>
      <c r="Q58" s="19" t="s">
        <v>1065</v>
      </c>
      <c r="R58" s="19" t="s">
        <v>1065</v>
      </c>
      <c r="S58" s="19" t="s">
        <v>1065</v>
      </c>
      <c r="T58" s="19" t="s">
        <v>1065</v>
      </c>
      <c r="U58" s="19" t="s">
        <v>1065</v>
      </c>
      <c r="V58" s="19" t="s">
        <v>1065</v>
      </c>
      <c r="W58" s="29">
        <f t="shared" si="1"/>
        <v>0</v>
      </c>
      <c r="X58" s="29"/>
      <c r="Y58" s="29"/>
      <c r="Z58" s="29"/>
      <c r="AA58" s="29"/>
      <c r="AB58" s="29"/>
      <c r="AC58" s="29"/>
      <c r="AD58" s="29" t="e">
        <v>#N/A</v>
      </c>
      <c r="AE58" s="29" t="e">
        <v>#N/A</v>
      </c>
      <c r="AF58" s="30" t="str">
        <f>Table1[[#This Row],[2019 Scope 1 (MeT Co2)]]</f>
        <v>#ERROR!</v>
      </c>
      <c r="AG58" s="31" t="str">
        <f t="shared" si="2"/>
        <v>#ERROR!</v>
      </c>
      <c r="AH58" s="32" t="str">
        <f t="shared" si="3"/>
        <v>#ERROR!</v>
      </c>
      <c r="AI58" s="28"/>
      <c r="AJ58" s="28"/>
      <c r="AK58" s="29" t="e">
        <v>#N/A</v>
      </c>
      <c r="AL58" s="29" t="e">
        <v>#N/A</v>
      </c>
      <c r="AM58" s="30" t="str">
        <f>Table1[[#This Row],[2019 Scope 2 ]]</f>
        <v>#ERROR!</v>
      </c>
      <c r="AN58" s="31" t="str">
        <f t="shared" si="4"/>
        <v>#ERROR!</v>
      </c>
      <c r="AO58" s="32" t="str">
        <f t="shared" si="5"/>
        <v>#ERROR!</v>
      </c>
      <c r="AP58" s="31" t="str">
        <f t="shared" si="6"/>
        <v>#ERROR!</v>
      </c>
      <c r="AQ58" s="32" t="str">
        <f t="shared" si="7"/>
        <v>#ERROR!</v>
      </c>
      <c r="AR58" s="33" t="str">
        <f>Table1[[#This Row],[2019 Scope 3 ]]</f>
        <v>#ERROR!</v>
      </c>
      <c r="AS58" s="34" t="str">
        <f t="shared" si="8"/>
        <v>#ERROR!</v>
      </c>
      <c r="AT58" s="35" t="str">
        <f t="shared" si="9"/>
        <v>#ERROR!</v>
      </c>
    </row>
    <row r="59" ht="12.75" customHeight="1">
      <c r="A59" s="17">
        <f>companies!A59</f>
        <v>58</v>
      </c>
      <c r="B59" s="19" t="s">
        <v>1060</v>
      </c>
      <c r="C59" s="19">
        <v>649256.0</v>
      </c>
      <c r="D59" s="19">
        <v>773066.0</v>
      </c>
      <c r="E59" s="19" t="s">
        <v>25</v>
      </c>
      <c r="F59" s="19">
        <v>1.8282750168E7</v>
      </c>
      <c r="G59" s="19">
        <v>397603.648</v>
      </c>
      <c r="H59" s="19">
        <v>717228.775</v>
      </c>
      <c r="I59" s="19">
        <v>1366415.404</v>
      </c>
      <c r="J59" s="19">
        <v>52106.122</v>
      </c>
      <c r="K59" s="19">
        <v>18988.075</v>
      </c>
      <c r="L59" s="19">
        <v>105896.625</v>
      </c>
      <c r="M59" s="29" t="s">
        <v>25</v>
      </c>
      <c r="N59" s="29">
        <v>1307392.304</v>
      </c>
      <c r="O59" s="29" t="s">
        <v>25</v>
      </c>
      <c r="P59" s="29" t="s">
        <v>25</v>
      </c>
      <c r="Q59" s="29">
        <v>1029151.785</v>
      </c>
      <c r="R59" s="19" t="s">
        <v>25</v>
      </c>
      <c r="S59" s="29" t="s">
        <v>25</v>
      </c>
      <c r="T59" s="29" t="s">
        <v>25</v>
      </c>
      <c r="U59" s="29" t="s">
        <v>25</v>
      </c>
      <c r="V59" s="29" t="s">
        <v>25</v>
      </c>
      <c r="W59" s="29">
        <f t="shared" si="1"/>
        <v>23277532.91</v>
      </c>
      <c r="X59" s="29"/>
      <c r="Y59" s="29"/>
      <c r="Z59" s="29"/>
      <c r="AA59" s="29"/>
      <c r="AB59" s="29"/>
      <c r="AC59" s="29"/>
      <c r="AD59" s="29" t="s">
        <v>25</v>
      </c>
      <c r="AE59" s="29" t="s">
        <v>25</v>
      </c>
      <c r="AF59" s="30" t="str">
        <f>Table1[[#This Row],[2019 Scope 1 (MeT Co2)]]</f>
        <v>#ERROR!</v>
      </c>
      <c r="AG59" s="31" t="str">
        <f t="shared" si="2"/>
        <v>#ERROR!</v>
      </c>
      <c r="AH59" s="32" t="str">
        <f t="shared" si="3"/>
        <v>#ERROR!</v>
      </c>
      <c r="AI59" s="28"/>
      <c r="AJ59" s="28"/>
      <c r="AK59" s="29" t="s">
        <v>25</v>
      </c>
      <c r="AL59" s="29" t="s">
        <v>25</v>
      </c>
      <c r="AM59" s="30" t="str">
        <f>Table1[[#This Row],[2019 Scope 2 ]]</f>
        <v>#ERROR!</v>
      </c>
      <c r="AN59" s="31" t="str">
        <f t="shared" si="4"/>
        <v>#ERROR!</v>
      </c>
      <c r="AO59" s="32" t="str">
        <f t="shared" si="5"/>
        <v>#ERROR!</v>
      </c>
      <c r="AP59" s="31" t="str">
        <f t="shared" si="6"/>
        <v>#ERROR!</v>
      </c>
      <c r="AQ59" s="32" t="str">
        <f t="shared" si="7"/>
        <v>#ERROR!</v>
      </c>
      <c r="AR59" s="33" t="str">
        <f>Table1[[#This Row],[2019 Scope 3 ]]</f>
        <v>#ERROR!</v>
      </c>
      <c r="AS59" s="34" t="str">
        <f t="shared" si="8"/>
        <v>#ERROR!</v>
      </c>
      <c r="AT59" s="35" t="str">
        <f t="shared" si="9"/>
        <v>#ERROR!</v>
      </c>
      <c r="BI59" s="16">
        <v>58857.0</v>
      </c>
    </row>
    <row r="60" ht="12.75" customHeight="1">
      <c r="A60" s="17">
        <f>companies!A60</f>
        <v>59</v>
      </c>
      <c r="B60" s="19" t="s">
        <v>1060</v>
      </c>
      <c r="C60" s="19">
        <v>305362.0</v>
      </c>
      <c r="D60" s="19">
        <v>662659.0</v>
      </c>
      <c r="E60" s="19">
        <v>466073.0</v>
      </c>
      <c r="F60" s="19">
        <v>7700000.0</v>
      </c>
      <c r="G60" s="19">
        <v>370000.0</v>
      </c>
      <c r="H60" s="19">
        <v>105000.0</v>
      </c>
      <c r="I60" s="19">
        <v>60000.0</v>
      </c>
      <c r="J60" s="19">
        <v>4500.0</v>
      </c>
      <c r="K60" s="19">
        <v>190000.0</v>
      </c>
      <c r="L60" s="19">
        <v>215000.0</v>
      </c>
      <c r="M60" s="29" t="s">
        <v>25</v>
      </c>
      <c r="N60" s="29" t="s">
        <v>25</v>
      </c>
      <c r="O60" s="29" t="s">
        <v>25</v>
      </c>
      <c r="P60" s="29">
        <v>2.2E7</v>
      </c>
      <c r="Q60" s="29" t="s">
        <v>25</v>
      </c>
      <c r="R60" s="19" t="s">
        <v>25</v>
      </c>
      <c r="S60" s="29" t="s">
        <v>25</v>
      </c>
      <c r="T60" s="29" t="s">
        <v>25</v>
      </c>
      <c r="U60" s="29" t="s">
        <v>25</v>
      </c>
      <c r="V60" s="29" t="s">
        <v>25</v>
      </c>
      <c r="W60" s="29">
        <f t="shared" si="1"/>
        <v>30644500</v>
      </c>
      <c r="X60" s="19"/>
      <c r="Y60" s="19"/>
      <c r="Z60" s="19"/>
      <c r="AA60" s="19"/>
      <c r="AB60" s="19"/>
      <c r="AC60" s="19"/>
      <c r="AD60" s="29" t="s">
        <v>25</v>
      </c>
      <c r="AE60" s="29" t="s">
        <v>25</v>
      </c>
      <c r="AF60" s="30" t="str">
        <f>Table1[[#This Row],[2019 Scope 1 (MeT Co2)]]</f>
        <v>#ERROR!</v>
      </c>
      <c r="AG60" s="31" t="str">
        <f t="shared" si="2"/>
        <v>#ERROR!</v>
      </c>
      <c r="AH60" s="32" t="str">
        <f t="shared" si="3"/>
        <v>#ERROR!</v>
      </c>
      <c r="AI60" s="28"/>
      <c r="AJ60" s="28"/>
      <c r="AK60" s="29" t="s">
        <v>25</v>
      </c>
      <c r="AL60" s="29" t="s">
        <v>25</v>
      </c>
      <c r="AM60" s="30" t="str">
        <f>Table1[[#This Row],[2019 Scope 2 ]]</f>
        <v>#ERROR!</v>
      </c>
      <c r="AN60" s="31" t="str">
        <f t="shared" si="4"/>
        <v>#ERROR!</v>
      </c>
      <c r="AO60" s="32" t="str">
        <f t="shared" si="5"/>
        <v>#ERROR!</v>
      </c>
      <c r="AP60" s="31" t="str">
        <f t="shared" si="6"/>
        <v>#ERROR!</v>
      </c>
      <c r="AQ60" s="32" t="str">
        <f t="shared" si="7"/>
        <v>#ERROR!</v>
      </c>
      <c r="AR60" s="33" t="str">
        <f>Table1[[#This Row],[2019 Scope 3 ]]</f>
        <v>#ERROR!</v>
      </c>
      <c r="AS60" s="34" t="str">
        <f t="shared" si="8"/>
        <v>#ERROR!</v>
      </c>
      <c r="AT60" s="35" t="str">
        <f t="shared" si="9"/>
        <v>#ERROR!</v>
      </c>
      <c r="BI60" s="16" t="s">
        <v>976</v>
      </c>
    </row>
    <row r="61" ht="12.75" customHeight="1">
      <c r="A61" s="17">
        <f>companies!A61</f>
        <v>60</v>
      </c>
      <c r="B61" s="19" t="s">
        <v>1060</v>
      </c>
      <c r="C61" s="19">
        <v>484737.0</v>
      </c>
      <c r="D61" s="19">
        <v>1623768.0</v>
      </c>
      <c r="E61" s="19" t="s">
        <v>25</v>
      </c>
      <c r="F61" s="19" t="s">
        <v>25</v>
      </c>
      <c r="G61" s="19" t="s">
        <v>25</v>
      </c>
      <c r="H61" s="19" t="s">
        <v>25</v>
      </c>
      <c r="I61" s="19">
        <v>426134.0</v>
      </c>
      <c r="J61" s="19" t="s">
        <v>25</v>
      </c>
      <c r="K61" s="19">
        <v>10700.0</v>
      </c>
      <c r="L61" s="19" t="s">
        <v>25</v>
      </c>
      <c r="M61" s="29" t="s">
        <v>25</v>
      </c>
      <c r="N61" s="29" t="s">
        <v>25</v>
      </c>
      <c r="O61" s="29" t="s">
        <v>25</v>
      </c>
      <c r="P61" s="29">
        <v>1.2320822578E8</v>
      </c>
      <c r="Q61" s="29" t="s">
        <v>25</v>
      </c>
      <c r="R61" s="19" t="s">
        <v>25</v>
      </c>
      <c r="S61" s="29" t="s">
        <v>25</v>
      </c>
      <c r="T61" s="29" t="s">
        <v>25</v>
      </c>
      <c r="U61" s="29" t="s">
        <v>25</v>
      </c>
      <c r="V61" s="29" t="s">
        <v>25</v>
      </c>
      <c r="W61" s="29">
        <f t="shared" si="1"/>
        <v>123645059.8</v>
      </c>
      <c r="X61" s="29"/>
      <c r="Y61" s="29"/>
      <c r="Z61" s="29"/>
      <c r="AA61" s="29"/>
      <c r="AB61" s="29"/>
      <c r="AC61" s="29"/>
      <c r="AD61" s="29" t="s">
        <v>25</v>
      </c>
      <c r="AE61" s="29" t="s">
        <v>25</v>
      </c>
      <c r="AF61" s="30" t="str">
        <f>Table1[[#This Row],[2019 Scope 1 (MeT Co2)]]</f>
        <v>#ERROR!</v>
      </c>
      <c r="AG61" s="31" t="str">
        <f t="shared" si="2"/>
        <v>#ERROR!</v>
      </c>
      <c r="AH61" s="32" t="str">
        <f t="shared" si="3"/>
        <v>#ERROR!</v>
      </c>
      <c r="AI61" s="28"/>
      <c r="AJ61" s="28"/>
      <c r="AK61" s="29" t="s">
        <v>25</v>
      </c>
      <c r="AL61" s="29" t="s">
        <v>25</v>
      </c>
      <c r="AM61" s="30" t="str">
        <f>Table1[[#This Row],[2019 Scope 2 ]]</f>
        <v>#ERROR!</v>
      </c>
      <c r="AN61" s="31" t="str">
        <f t="shared" si="4"/>
        <v>#ERROR!</v>
      </c>
      <c r="AO61" s="32" t="str">
        <f t="shared" si="5"/>
        <v>#ERROR!</v>
      </c>
      <c r="AP61" s="31" t="str">
        <f t="shared" si="6"/>
        <v>#ERROR!</v>
      </c>
      <c r="AQ61" s="32" t="str">
        <f t="shared" si="7"/>
        <v>#ERROR!</v>
      </c>
      <c r="AR61" s="33" t="str">
        <f>Table1[[#This Row],[2019 Scope 3 ]]</f>
        <v>#ERROR!</v>
      </c>
      <c r="AS61" s="34" t="str">
        <f t="shared" si="8"/>
        <v>#ERROR!</v>
      </c>
      <c r="AT61" s="35" t="str">
        <f t="shared" si="9"/>
        <v>#ERROR!</v>
      </c>
      <c r="BI61" s="16">
        <v>11017.0</v>
      </c>
    </row>
    <row r="62" ht="12.75" customHeight="1">
      <c r="A62" s="17">
        <f>companies!A62</f>
        <v>61</v>
      </c>
      <c r="B62" s="19" t="s">
        <v>1060</v>
      </c>
      <c r="C62" s="19">
        <v>4758.4</v>
      </c>
      <c r="D62" s="19">
        <v>52140.56</v>
      </c>
      <c r="E62" s="19">
        <v>162.0</v>
      </c>
      <c r="F62" s="19">
        <v>396269.96</v>
      </c>
      <c r="G62" s="19">
        <v>0.0</v>
      </c>
      <c r="H62" s="19">
        <v>8451.87</v>
      </c>
      <c r="I62" s="19">
        <v>0.0</v>
      </c>
      <c r="J62" s="19">
        <v>1288.49</v>
      </c>
      <c r="K62" s="19">
        <v>53738.0</v>
      </c>
      <c r="L62" s="19">
        <v>43263.87</v>
      </c>
      <c r="M62" s="29" t="s">
        <v>25</v>
      </c>
      <c r="N62" s="29" t="s">
        <v>25</v>
      </c>
      <c r="O62" s="29" t="s">
        <v>25</v>
      </c>
      <c r="P62" s="29" t="s">
        <v>25</v>
      </c>
      <c r="Q62" s="29" t="s">
        <v>25</v>
      </c>
      <c r="R62" s="19" t="s">
        <v>25</v>
      </c>
      <c r="S62" s="29" t="s">
        <v>25</v>
      </c>
      <c r="T62" s="29" t="s">
        <v>25</v>
      </c>
      <c r="U62" s="29" t="s">
        <v>25</v>
      </c>
      <c r="V62" s="29" t="s">
        <v>25</v>
      </c>
      <c r="W62" s="29">
        <f t="shared" si="1"/>
        <v>503012.19</v>
      </c>
      <c r="X62" s="19"/>
      <c r="Y62" s="19"/>
      <c r="Z62" s="19"/>
      <c r="AA62" s="19"/>
      <c r="AB62" s="19"/>
      <c r="AC62" s="19"/>
      <c r="AD62" s="29" t="s">
        <v>25</v>
      </c>
      <c r="AE62" s="29" t="s">
        <v>25</v>
      </c>
      <c r="AF62" s="30" t="str">
        <f>Table1[[#This Row],[2019 Scope 1 (MeT Co2)]]</f>
        <v>#ERROR!</v>
      </c>
      <c r="AG62" s="31" t="str">
        <f t="shared" si="2"/>
        <v>#ERROR!</v>
      </c>
      <c r="AH62" s="32" t="str">
        <f t="shared" si="3"/>
        <v>#ERROR!</v>
      </c>
      <c r="AI62" s="28"/>
      <c r="AJ62" s="28"/>
      <c r="AK62" s="29" t="s">
        <v>25</v>
      </c>
      <c r="AL62" s="29" t="s">
        <v>25</v>
      </c>
      <c r="AM62" s="30" t="str">
        <f>Table1[[#This Row],[2019 Scope 2 ]]</f>
        <v>#ERROR!</v>
      </c>
      <c r="AN62" s="31" t="str">
        <f t="shared" si="4"/>
        <v>#ERROR!</v>
      </c>
      <c r="AO62" s="32" t="str">
        <f t="shared" si="5"/>
        <v>#ERROR!</v>
      </c>
      <c r="AP62" s="31" t="str">
        <f t="shared" si="6"/>
        <v>#ERROR!</v>
      </c>
      <c r="AQ62" s="32" t="str">
        <f t="shared" si="7"/>
        <v>#ERROR!</v>
      </c>
      <c r="AR62" s="33" t="str">
        <f>Table1[[#This Row],[2019 Scope 3 ]]</f>
        <v>#ERROR!</v>
      </c>
      <c r="AS62" s="34" t="str">
        <f t="shared" si="8"/>
        <v>#ERROR!</v>
      </c>
      <c r="AT62" s="35" t="str">
        <f t="shared" si="9"/>
        <v>#ERROR!</v>
      </c>
      <c r="BI62" s="16">
        <v>11421.0</v>
      </c>
    </row>
    <row r="63" ht="12.75" customHeight="1">
      <c r="A63" s="17">
        <f>companies!A63</f>
        <v>62</v>
      </c>
      <c r="B63" s="19" t="s">
        <v>1060</v>
      </c>
      <c r="C63" s="19">
        <v>107034.65</v>
      </c>
      <c r="D63" s="19">
        <v>569598.23</v>
      </c>
      <c r="E63" s="19">
        <v>492114.18</v>
      </c>
      <c r="F63" s="19">
        <v>4.111585155E7</v>
      </c>
      <c r="G63" s="19" t="s">
        <v>25</v>
      </c>
      <c r="H63" s="19">
        <v>2358793.15</v>
      </c>
      <c r="I63" s="19">
        <v>1947637.85</v>
      </c>
      <c r="J63" s="19">
        <v>1535857.79</v>
      </c>
      <c r="K63" s="19" t="s">
        <v>25</v>
      </c>
      <c r="L63" s="19" t="s">
        <v>25</v>
      </c>
      <c r="M63" s="29" t="s">
        <v>25</v>
      </c>
      <c r="N63" s="29" t="s">
        <v>25</v>
      </c>
      <c r="O63" s="29" t="s">
        <v>25</v>
      </c>
      <c r="P63" s="29" t="s">
        <v>25</v>
      </c>
      <c r="Q63" s="29" t="s">
        <v>25</v>
      </c>
      <c r="R63" s="19" t="s">
        <v>25</v>
      </c>
      <c r="S63" s="29">
        <v>5997501.76</v>
      </c>
      <c r="T63" s="29" t="s">
        <v>25</v>
      </c>
      <c r="U63" s="29" t="s">
        <v>25</v>
      </c>
      <c r="V63" s="29" t="s">
        <v>25</v>
      </c>
      <c r="W63" s="29">
        <f t="shared" si="1"/>
        <v>52955642.1</v>
      </c>
      <c r="X63" s="29"/>
      <c r="Y63" s="29"/>
      <c r="Z63" s="29"/>
      <c r="AA63" s="29"/>
      <c r="AB63" s="29"/>
      <c r="AC63" s="29"/>
      <c r="AD63" s="29" t="s">
        <v>1061</v>
      </c>
      <c r="AE63" s="29" t="s">
        <v>1062</v>
      </c>
      <c r="AF63" s="30" t="str">
        <f>Table1[[#This Row],[2019 Scope 1 (MeT Co2)]]</f>
        <v>#ERROR!</v>
      </c>
      <c r="AG63" s="31" t="str">
        <f t="shared" si="2"/>
        <v>#ERROR!</v>
      </c>
      <c r="AH63" s="32" t="str">
        <f t="shared" si="3"/>
        <v>#ERROR!</v>
      </c>
      <c r="AI63" s="28"/>
      <c r="AJ63" s="28"/>
      <c r="AK63" s="29" t="s">
        <v>1061</v>
      </c>
      <c r="AL63" s="29" t="s">
        <v>1062</v>
      </c>
      <c r="AM63" s="30" t="str">
        <f>Table1[[#This Row],[2019 Scope 2 ]]</f>
        <v>#ERROR!</v>
      </c>
      <c r="AN63" s="31" t="str">
        <f t="shared" si="4"/>
        <v>#ERROR!</v>
      </c>
      <c r="AO63" s="32" t="str">
        <f t="shared" si="5"/>
        <v>#ERROR!</v>
      </c>
      <c r="AP63" s="31" t="str">
        <f t="shared" si="6"/>
        <v>#ERROR!</v>
      </c>
      <c r="AQ63" s="32" t="str">
        <f t="shared" si="7"/>
        <v>#ERROR!</v>
      </c>
      <c r="AR63" s="33" t="str">
        <f>Table1[[#This Row],[2019 Scope 3 ]]</f>
        <v>#ERROR!</v>
      </c>
      <c r="AS63" s="34" t="str">
        <f t="shared" si="8"/>
        <v>#ERROR!</v>
      </c>
      <c r="AT63" s="35" t="str">
        <f t="shared" si="9"/>
        <v>#ERROR!</v>
      </c>
      <c r="BI63" s="16">
        <v>11581.0</v>
      </c>
    </row>
    <row r="64" ht="12.75" customHeight="1">
      <c r="A64" s="17">
        <f>companies!A64</f>
        <v>63</v>
      </c>
      <c r="B64" s="19" t="s">
        <v>1060</v>
      </c>
      <c r="C64" s="19">
        <v>61803.0</v>
      </c>
      <c r="D64" s="19" t="s">
        <v>25</v>
      </c>
      <c r="E64" s="19">
        <v>218742.0</v>
      </c>
      <c r="F64" s="19" t="s">
        <v>25</v>
      </c>
      <c r="G64" s="19" t="s">
        <v>25</v>
      </c>
      <c r="H64" s="19" t="s">
        <v>25</v>
      </c>
      <c r="I64" s="19" t="s">
        <v>25</v>
      </c>
      <c r="J64" s="19" t="s">
        <v>25</v>
      </c>
      <c r="K64" s="19">
        <v>235863.0</v>
      </c>
      <c r="L64" s="19" t="s">
        <v>25</v>
      </c>
      <c r="M64" s="29" t="s">
        <v>25</v>
      </c>
      <c r="N64" s="29">
        <v>42619.0</v>
      </c>
      <c r="O64" s="29" t="s">
        <v>25</v>
      </c>
      <c r="P64" s="29" t="s">
        <v>25</v>
      </c>
      <c r="Q64" s="29" t="s">
        <v>25</v>
      </c>
      <c r="R64" s="19" t="s">
        <v>25</v>
      </c>
      <c r="S64" s="29" t="s">
        <v>25</v>
      </c>
      <c r="T64" s="29" t="s">
        <v>25</v>
      </c>
      <c r="U64" s="29" t="s">
        <v>25</v>
      </c>
      <c r="V64" s="29" t="s">
        <v>25</v>
      </c>
      <c r="W64" s="29">
        <f t="shared" si="1"/>
        <v>278482</v>
      </c>
      <c r="X64" s="19"/>
      <c r="Y64" s="19"/>
      <c r="Z64" s="19"/>
      <c r="AA64" s="19"/>
      <c r="AB64" s="19"/>
      <c r="AC64" s="19"/>
      <c r="AD64" s="29" t="s">
        <v>25</v>
      </c>
      <c r="AE64" s="29" t="s">
        <v>25</v>
      </c>
      <c r="AF64" s="30" t="str">
        <f>Table1[[#This Row],[2019 Scope 1 (MeT Co2)]]</f>
        <v>#ERROR!</v>
      </c>
      <c r="AG64" s="31" t="str">
        <f t="shared" si="2"/>
        <v>#ERROR!</v>
      </c>
      <c r="AH64" s="32" t="str">
        <f t="shared" si="3"/>
        <v>#ERROR!</v>
      </c>
      <c r="AI64" s="28"/>
      <c r="AJ64" s="28"/>
      <c r="AK64" s="29" t="s">
        <v>25</v>
      </c>
      <c r="AL64" s="29" t="s">
        <v>25</v>
      </c>
      <c r="AM64" s="30" t="str">
        <f>Table1[[#This Row],[2019 Scope 2 ]]</f>
        <v>#ERROR!</v>
      </c>
      <c r="AN64" s="31" t="str">
        <f t="shared" si="4"/>
        <v>#ERROR!</v>
      </c>
      <c r="AO64" s="32" t="str">
        <f t="shared" si="5"/>
        <v>#ERROR!</v>
      </c>
      <c r="AP64" s="31" t="str">
        <f t="shared" si="6"/>
        <v>#ERROR!</v>
      </c>
      <c r="AQ64" s="32" t="str">
        <f t="shared" si="7"/>
        <v>#ERROR!</v>
      </c>
      <c r="AR64" s="33" t="str">
        <f>Table1[[#This Row],[2019 Scope 3 ]]</f>
        <v>#ERROR!</v>
      </c>
      <c r="AS64" s="34" t="str">
        <f t="shared" si="8"/>
        <v>#ERROR!</v>
      </c>
      <c r="AT64" s="35" t="str">
        <f t="shared" si="9"/>
        <v>#ERROR!</v>
      </c>
      <c r="BI64" s="19">
        <v>11651.0</v>
      </c>
    </row>
    <row r="65" ht="12.75" customHeight="1">
      <c r="A65" s="17">
        <f>companies!A65</f>
        <v>64</v>
      </c>
      <c r="B65" s="19" t="s">
        <v>1060</v>
      </c>
      <c r="C65" s="19">
        <v>755340.0</v>
      </c>
      <c r="D65" s="19">
        <v>413550.0</v>
      </c>
      <c r="E65" s="19">
        <v>316630.0</v>
      </c>
      <c r="F65" s="19">
        <v>5155100.0</v>
      </c>
      <c r="G65" s="19">
        <v>339900.0</v>
      </c>
      <c r="H65" s="19">
        <v>240700.0</v>
      </c>
      <c r="I65" s="19">
        <v>271200.0</v>
      </c>
      <c r="J65" s="19">
        <v>19500.0</v>
      </c>
      <c r="K65" s="19">
        <v>340400.0</v>
      </c>
      <c r="L65" s="19">
        <v>272000.0</v>
      </c>
      <c r="M65" s="29" t="s">
        <v>25</v>
      </c>
      <c r="N65" s="29">
        <v>133200.0</v>
      </c>
      <c r="O65" s="29" t="s">
        <v>25</v>
      </c>
      <c r="P65" s="29">
        <v>142100.0</v>
      </c>
      <c r="Q65" s="29">
        <v>51500.0</v>
      </c>
      <c r="R65" s="19" t="s">
        <v>25</v>
      </c>
      <c r="S65" s="29" t="s">
        <v>25</v>
      </c>
      <c r="T65" s="29" t="s">
        <v>25</v>
      </c>
      <c r="U65" s="29" t="s">
        <v>25</v>
      </c>
      <c r="V65" s="29" t="s">
        <v>25</v>
      </c>
      <c r="W65" s="29">
        <f t="shared" si="1"/>
        <v>6965600</v>
      </c>
      <c r="X65" s="19"/>
      <c r="Y65" s="19"/>
      <c r="Z65" s="19"/>
      <c r="AA65" s="19"/>
      <c r="AB65" s="19"/>
      <c r="AC65" s="19"/>
      <c r="AD65" s="29" t="s">
        <v>25</v>
      </c>
      <c r="AE65" s="29" t="s">
        <v>25</v>
      </c>
      <c r="AF65" s="30" t="str">
        <f>Table1[[#This Row],[2019 Scope 1 (MeT Co2)]]</f>
        <v>#ERROR!</v>
      </c>
      <c r="AG65" s="31" t="str">
        <f t="shared" si="2"/>
        <v>#ERROR!</v>
      </c>
      <c r="AH65" s="32" t="str">
        <f t="shared" si="3"/>
        <v>#ERROR!</v>
      </c>
      <c r="AI65" s="28"/>
      <c r="AJ65" s="28"/>
      <c r="AK65" s="29" t="s">
        <v>25</v>
      </c>
      <c r="AL65" s="29" t="s">
        <v>25</v>
      </c>
      <c r="AM65" s="30" t="str">
        <f>Table1[[#This Row],[2019 Scope 2 ]]</f>
        <v>#ERROR!</v>
      </c>
      <c r="AN65" s="31" t="str">
        <f t="shared" si="4"/>
        <v>#ERROR!</v>
      </c>
      <c r="AO65" s="32" t="str">
        <f t="shared" si="5"/>
        <v>#ERROR!</v>
      </c>
      <c r="AP65" s="31" t="str">
        <f t="shared" si="6"/>
        <v>#ERROR!</v>
      </c>
      <c r="AQ65" s="32" t="str">
        <f t="shared" si="7"/>
        <v>#ERROR!</v>
      </c>
      <c r="AR65" s="33" t="str">
        <f>Table1[[#This Row],[2019 Scope 3 ]]</f>
        <v>#ERROR!</v>
      </c>
      <c r="AS65" s="34" t="str">
        <f t="shared" si="8"/>
        <v>#ERROR!</v>
      </c>
      <c r="AT65" s="35" t="str">
        <f t="shared" si="9"/>
        <v>#ERROR!</v>
      </c>
      <c r="BI65" s="16">
        <v>11765.0</v>
      </c>
    </row>
    <row r="66" ht="12.75" customHeight="1">
      <c r="A66" s="17">
        <f>companies!A66</f>
        <v>65</v>
      </c>
      <c r="B66" s="19" t="s">
        <v>1060</v>
      </c>
      <c r="C66" s="19">
        <v>13613.0</v>
      </c>
      <c r="D66" s="19">
        <v>90280.0</v>
      </c>
      <c r="E66" s="19">
        <v>0.0</v>
      </c>
      <c r="F66" s="19">
        <v>5248302.0</v>
      </c>
      <c r="G66" s="19">
        <v>261.15</v>
      </c>
      <c r="H66" s="19">
        <v>21804.0</v>
      </c>
      <c r="I66" s="19">
        <v>6781.0</v>
      </c>
      <c r="J66" s="19">
        <v>810.0</v>
      </c>
      <c r="K66" s="19">
        <v>25959.0</v>
      </c>
      <c r="L66" s="19">
        <v>150269.0</v>
      </c>
      <c r="M66" s="29" t="s">
        <v>25</v>
      </c>
      <c r="N66" s="29" t="s">
        <v>25</v>
      </c>
      <c r="O66" s="29" t="s">
        <v>25</v>
      </c>
      <c r="P66" s="29" t="s">
        <v>25</v>
      </c>
      <c r="Q66" s="29" t="s">
        <v>25</v>
      </c>
      <c r="R66" s="19">
        <v>7777.0</v>
      </c>
      <c r="S66" s="29" t="s">
        <v>25</v>
      </c>
      <c r="T66" s="29" t="s">
        <v>25</v>
      </c>
      <c r="U66" s="29" t="s">
        <v>25</v>
      </c>
      <c r="V66" s="29" t="s">
        <v>25</v>
      </c>
      <c r="W66" s="29">
        <f t="shared" si="1"/>
        <v>5461963.15</v>
      </c>
      <c r="X66" s="19"/>
      <c r="Y66" s="19"/>
      <c r="Z66" s="19"/>
      <c r="AA66" s="19"/>
      <c r="AB66" s="19"/>
      <c r="AC66" s="19"/>
      <c r="AD66" s="29" t="s">
        <v>25</v>
      </c>
      <c r="AE66" s="29" t="s">
        <v>25</v>
      </c>
      <c r="AF66" s="30" t="str">
        <f>Table1[[#This Row],[2019 Scope 1 (MeT Co2)]]</f>
        <v>#ERROR!</v>
      </c>
      <c r="AG66" s="31" t="str">
        <f t="shared" si="2"/>
        <v>#ERROR!</v>
      </c>
      <c r="AH66" s="32" t="str">
        <f t="shared" si="3"/>
        <v>#ERROR!</v>
      </c>
      <c r="AI66" s="28"/>
      <c r="AJ66" s="28"/>
      <c r="AK66" s="29" t="s">
        <v>25</v>
      </c>
      <c r="AL66" s="29" t="s">
        <v>25</v>
      </c>
      <c r="AM66" s="30" t="str">
        <f>Table1[[#This Row],[2019 Scope 2 ]]</f>
        <v>#ERROR!</v>
      </c>
      <c r="AN66" s="31" t="str">
        <f t="shared" si="4"/>
        <v>#ERROR!</v>
      </c>
      <c r="AO66" s="32" t="str">
        <f t="shared" si="5"/>
        <v>#ERROR!</v>
      </c>
      <c r="AP66" s="31" t="str">
        <f t="shared" si="6"/>
        <v>#ERROR!</v>
      </c>
      <c r="AQ66" s="32" t="str">
        <f t="shared" si="7"/>
        <v>#ERROR!</v>
      </c>
      <c r="AR66" s="33" t="str">
        <f>Table1[[#This Row],[2019 Scope 3 ]]</f>
        <v>#ERROR!</v>
      </c>
      <c r="AS66" s="34" t="str">
        <f t="shared" si="8"/>
        <v>#ERROR!</v>
      </c>
      <c r="AT66" s="35" t="str">
        <f t="shared" si="9"/>
        <v>#ERROR!</v>
      </c>
      <c r="BI66" s="16">
        <v>11796.0</v>
      </c>
    </row>
    <row r="67" ht="12.75" customHeight="1">
      <c r="A67" s="17">
        <f>companies!A67</f>
        <v>66</v>
      </c>
      <c r="B67" s="19" t="s">
        <v>1060</v>
      </c>
      <c r="C67" s="19">
        <v>113412.0</v>
      </c>
      <c r="D67" s="19">
        <v>3556553.0</v>
      </c>
      <c r="E67" s="19">
        <v>275375.0</v>
      </c>
      <c r="F67" s="19">
        <v>4200000.0</v>
      </c>
      <c r="G67" s="19">
        <v>2100000.0</v>
      </c>
      <c r="H67" s="19">
        <v>170000.0</v>
      </c>
      <c r="I67" s="19">
        <v>60000.0</v>
      </c>
      <c r="J67" s="19">
        <v>1200.0</v>
      </c>
      <c r="K67" s="19">
        <v>392557.0</v>
      </c>
      <c r="L67" s="19">
        <v>395000.0</v>
      </c>
      <c r="M67" s="29" t="s">
        <v>25</v>
      </c>
      <c r="N67" s="29">
        <v>53000.0</v>
      </c>
      <c r="O67" s="29" t="s">
        <v>25</v>
      </c>
      <c r="P67" s="29">
        <v>3874000.0</v>
      </c>
      <c r="Q67" s="29">
        <v>76000.0</v>
      </c>
      <c r="R67" s="19">
        <v>770.0</v>
      </c>
      <c r="S67" s="29" t="s">
        <v>25</v>
      </c>
      <c r="T67" s="29" t="s">
        <v>25</v>
      </c>
      <c r="U67" s="29" t="s">
        <v>25</v>
      </c>
      <c r="V67" s="29" t="s">
        <v>25</v>
      </c>
      <c r="W67" s="29">
        <f t="shared" si="1"/>
        <v>11322527</v>
      </c>
      <c r="X67" s="19"/>
      <c r="Y67" s="19"/>
      <c r="Z67" s="19"/>
      <c r="AA67" s="19"/>
      <c r="AB67" s="19"/>
      <c r="AC67" s="19"/>
      <c r="AD67" s="29" t="s">
        <v>25</v>
      </c>
      <c r="AE67" s="29" t="s">
        <v>25</v>
      </c>
      <c r="AF67" s="30" t="str">
        <f>Table1[[#This Row],[2019 Scope 1 (MeT Co2)]]</f>
        <v>#ERROR!</v>
      </c>
      <c r="AG67" s="31" t="str">
        <f t="shared" si="2"/>
        <v>#ERROR!</v>
      </c>
      <c r="AH67" s="32" t="str">
        <f t="shared" si="3"/>
        <v>#ERROR!</v>
      </c>
      <c r="AI67" s="28"/>
      <c r="AJ67" s="28"/>
      <c r="AK67" s="29" t="s">
        <v>25</v>
      </c>
      <c r="AL67" s="29" t="s">
        <v>25</v>
      </c>
      <c r="AM67" s="30" t="str">
        <f>Table1[[#This Row],[2019 Scope 2 ]]</f>
        <v>#ERROR!</v>
      </c>
      <c r="AN67" s="31" t="str">
        <f t="shared" si="4"/>
        <v>#ERROR!</v>
      </c>
      <c r="AO67" s="32" t="str">
        <f t="shared" si="5"/>
        <v>#ERROR!</v>
      </c>
      <c r="AP67" s="31" t="str">
        <f t="shared" si="6"/>
        <v>#ERROR!</v>
      </c>
      <c r="AQ67" s="32" t="str">
        <f t="shared" si="7"/>
        <v>#ERROR!</v>
      </c>
      <c r="AR67" s="33" t="str">
        <f>Table1[[#This Row],[2019 Scope 3 ]]</f>
        <v>#ERROR!</v>
      </c>
      <c r="AS67" s="34" t="str">
        <f t="shared" si="8"/>
        <v>#ERROR!</v>
      </c>
      <c r="AT67" s="35" t="str">
        <f t="shared" si="9"/>
        <v>#ERROR!</v>
      </c>
      <c r="BI67" s="16">
        <v>11930.0</v>
      </c>
    </row>
    <row r="68" ht="12.75" customHeight="1">
      <c r="A68" s="17">
        <f>companies!A68</f>
        <v>67</v>
      </c>
      <c r="B68" s="19" t="s">
        <v>1060</v>
      </c>
      <c r="C68" s="19">
        <v>856590.0</v>
      </c>
      <c r="D68" s="19">
        <v>938601.0</v>
      </c>
      <c r="E68" s="19">
        <v>906349.0</v>
      </c>
      <c r="F68" s="19">
        <v>1.5034298E7</v>
      </c>
      <c r="G68" s="19" t="s">
        <v>25</v>
      </c>
      <c r="H68" s="19">
        <v>1164761.0</v>
      </c>
      <c r="I68" s="19">
        <v>2311217.0</v>
      </c>
      <c r="J68" s="19">
        <v>84072.0</v>
      </c>
      <c r="K68" s="19">
        <v>41446.0</v>
      </c>
      <c r="L68" s="19">
        <v>190306.0</v>
      </c>
      <c r="M68" s="29" t="s">
        <v>25</v>
      </c>
      <c r="N68" s="29">
        <v>89945.0</v>
      </c>
      <c r="O68" s="29" t="s">
        <v>25</v>
      </c>
      <c r="P68" s="29">
        <v>52986.0</v>
      </c>
      <c r="Q68" s="29">
        <v>883179.0</v>
      </c>
      <c r="R68" s="19" t="s">
        <v>25</v>
      </c>
      <c r="S68" s="29" t="s">
        <v>25</v>
      </c>
      <c r="T68" s="29" t="s">
        <v>25</v>
      </c>
      <c r="U68" s="29" t="s">
        <v>25</v>
      </c>
      <c r="V68" s="29" t="s">
        <v>25</v>
      </c>
      <c r="W68" s="29">
        <f t="shared" si="1"/>
        <v>19852210</v>
      </c>
      <c r="X68" s="19"/>
      <c r="Y68" s="19"/>
      <c r="Z68" s="19"/>
      <c r="AA68" s="19"/>
      <c r="AB68" s="19"/>
      <c r="AC68" s="19"/>
      <c r="AD68" s="29" t="s">
        <v>25</v>
      </c>
      <c r="AE68" s="29" t="s">
        <v>25</v>
      </c>
      <c r="AF68" s="30" t="str">
        <f>Table1[[#This Row],[2019 Scope 1 (MeT Co2)]]</f>
        <v>#ERROR!</v>
      </c>
      <c r="AG68" s="31" t="str">
        <f t="shared" si="2"/>
        <v>#ERROR!</v>
      </c>
      <c r="AH68" s="32" t="str">
        <f t="shared" si="3"/>
        <v>#ERROR!</v>
      </c>
      <c r="AI68" s="28"/>
      <c r="AJ68" s="28"/>
      <c r="AK68" s="29" t="s">
        <v>25</v>
      </c>
      <c r="AL68" s="29" t="s">
        <v>25</v>
      </c>
      <c r="AM68" s="30" t="str">
        <f>Table1[[#This Row],[2019 Scope 2 ]]</f>
        <v>#ERROR!</v>
      </c>
      <c r="AN68" s="31" t="str">
        <f t="shared" si="4"/>
        <v>#ERROR!</v>
      </c>
      <c r="AO68" s="32" t="str">
        <f t="shared" si="5"/>
        <v>#ERROR!</v>
      </c>
      <c r="AP68" s="31" t="str">
        <f t="shared" si="6"/>
        <v>#ERROR!</v>
      </c>
      <c r="AQ68" s="32" t="str">
        <f t="shared" si="7"/>
        <v>#ERROR!</v>
      </c>
      <c r="AR68" s="33" t="str">
        <f>Table1[[#This Row],[2019 Scope 3 ]]</f>
        <v>#ERROR!</v>
      </c>
      <c r="AS68" s="34" t="str">
        <f t="shared" si="8"/>
        <v>#ERROR!</v>
      </c>
      <c r="AT68" s="35" t="str">
        <f t="shared" si="9"/>
        <v>#ERROR!</v>
      </c>
      <c r="BI68" s="16">
        <v>42037.0</v>
      </c>
    </row>
    <row r="69" ht="12.75" customHeight="1">
      <c r="A69" s="17">
        <f>companies!A69</f>
        <v>68</v>
      </c>
      <c r="B69" s="19" t="s">
        <v>1060</v>
      </c>
      <c r="C69" s="19">
        <v>28300.0</v>
      </c>
      <c r="D69" s="19">
        <v>199800.0</v>
      </c>
      <c r="E69" s="19">
        <v>176200.0</v>
      </c>
      <c r="F69" s="19">
        <v>911000.0</v>
      </c>
      <c r="G69" s="19">
        <v>192000.0</v>
      </c>
      <c r="H69" s="19">
        <v>46600.0</v>
      </c>
      <c r="I69" s="19" t="s">
        <v>25</v>
      </c>
      <c r="J69" s="19">
        <v>6490.0</v>
      </c>
      <c r="K69" s="19">
        <v>99700.0</v>
      </c>
      <c r="L69" s="19">
        <v>112550.0</v>
      </c>
      <c r="M69" s="29" t="s">
        <v>25</v>
      </c>
      <c r="N69" s="29" t="s">
        <v>25</v>
      </c>
      <c r="O69" s="29" t="s">
        <v>25</v>
      </c>
      <c r="P69" s="29" t="s">
        <v>25</v>
      </c>
      <c r="Q69" s="29">
        <v>6000.0</v>
      </c>
      <c r="R69" s="19">
        <v>200.0</v>
      </c>
      <c r="S69" s="29" t="s">
        <v>25</v>
      </c>
      <c r="T69" s="29" t="s">
        <v>25</v>
      </c>
      <c r="U69" s="29" t="s">
        <v>25</v>
      </c>
      <c r="V69" s="29" t="s">
        <v>25</v>
      </c>
      <c r="W69" s="29">
        <f t="shared" si="1"/>
        <v>1374540</v>
      </c>
      <c r="X69" s="19"/>
      <c r="Y69" s="19"/>
      <c r="Z69" s="19"/>
      <c r="AA69" s="19"/>
      <c r="AB69" s="19"/>
      <c r="AC69" s="19"/>
      <c r="AD69" s="29" t="s">
        <v>25</v>
      </c>
      <c r="AE69" s="29" t="s">
        <v>25</v>
      </c>
      <c r="AF69" s="30" t="str">
        <f>Table1[[#This Row],[2019 Scope 1 (MeT Co2)]]</f>
        <v>#ERROR!</v>
      </c>
      <c r="AG69" s="31" t="str">
        <f t="shared" si="2"/>
        <v>#ERROR!</v>
      </c>
      <c r="AH69" s="32" t="str">
        <f t="shared" si="3"/>
        <v>#ERROR!</v>
      </c>
      <c r="AI69" s="28"/>
      <c r="AJ69" s="28"/>
      <c r="AK69" s="29" t="s">
        <v>25</v>
      </c>
      <c r="AL69" s="29" t="s">
        <v>25</v>
      </c>
      <c r="AM69" s="30" t="str">
        <f>Table1[[#This Row],[2019 Scope 2 ]]</f>
        <v>#ERROR!</v>
      </c>
      <c r="AN69" s="31" t="str">
        <f t="shared" si="4"/>
        <v>#ERROR!</v>
      </c>
      <c r="AO69" s="32" t="str">
        <f t="shared" si="5"/>
        <v>#ERROR!</v>
      </c>
      <c r="AP69" s="31" t="str">
        <f t="shared" si="6"/>
        <v>#ERROR!</v>
      </c>
      <c r="AQ69" s="32" t="str">
        <f t="shared" si="7"/>
        <v>#ERROR!</v>
      </c>
      <c r="AR69" s="33" t="str">
        <f>Table1[[#This Row],[2019 Scope 3 ]]</f>
        <v>#ERROR!</v>
      </c>
      <c r="AS69" s="34" t="str">
        <f t="shared" si="8"/>
        <v>#ERROR!</v>
      </c>
      <c r="AT69" s="35" t="str">
        <f t="shared" si="9"/>
        <v>#ERROR!</v>
      </c>
      <c r="BI69" s="16">
        <v>12406.0</v>
      </c>
    </row>
    <row r="70" ht="12.75" customHeight="1">
      <c r="A70" s="17">
        <f>companies!A70</f>
        <v>69</v>
      </c>
      <c r="B70" s="19" t="s">
        <v>1060</v>
      </c>
      <c r="C70" s="19" t="s">
        <v>1065</v>
      </c>
      <c r="D70" s="19" t="s">
        <v>1065</v>
      </c>
      <c r="E70" s="19" t="s">
        <v>1065</v>
      </c>
      <c r="F70" s="19" t="s">
        <v>1065</v>
      </c>
      <c r="G70" s="19" t="s">
        <v>1065</v>
      </c>
      <c r="H70" s="19" t="s">
        <v>1065</v>
      </c>
      <c r="I70" s="19" t="s">
        <v>1065</v>
      </c>
      <c r="J70" s="19" t="s">
        <v>1065</v>
      </c>
      <c r="K70" s="19" t="s">
        <v>1065</v>
      </c>
      <c r="L70" s="19" t="s">
        <v>1065</v>
      </c>
      <c r="M70" s="19" t="s">
        <v>1065</v>
      </c>
      <c r="N70" s="19" t="s">
        <v>1065</v>
      </c>
      <c r="O70" s="19" t="s">
        <v>1065</v>
      </c>
      <c r="P70" s="19" t="s">
        <v>1065</v>
      </c>
      <c r="Q70" s="19" t="s">
        <v>1065</v>
      </c>
      <c r="R70" s="19" t="s">
        <v>1065</v>
      </c>
      <c r="S70" s="19" t="s">
        <v>1065</v>
      </c>
      <c r="T70" s="19" t="s">
        <v>1065</v>
      </c>
      <c r="U70" s="19" t="s">
        <v>1065</v>
      </c>
      <c r="V70" s="19" t="s">
        <v>1065</v>
      </c>
      <c r="W70" s="29">
        <f t="shared" si="1"/>
        <v>0</v>
      </c>
      <c r="X70" s="29"/>
      <c r="Y70" s="29"/>
      <c r="Z70" s="29"/>
      <c r="AA70" s="29"/>
      <c r="AB70" s="29"/>
      <c r="AC70" s="29"/>
      <c r="AD70" s="29" t="e">
        <v>#N/A</v>
      </c>
      <c r="AE70" s="29" t="e">
        <v>#N/A</v>
      </c>
      <c r="AF70" s="30" t="str">
        <f>Table1[[#This Row],[2019 Scope 1 (MeT Co2)]]</f>
        <v>#ERROR!</v>
      </c>
      <c r="AG70" s="31" t="str">
        <f t="shared" si="2"/>
        <v>#ERROR!</v>
      </c>
      <c r="AH70" s="32" t="str">
        <f t="shared" si="3"/>
        <v>#ERROR!</v>
      </c>
      <c r="AI70" s="28"/>
      <c r="AJ70" s="28"/>
      <c r="AK70" s="29" t="e">
        <v>#N/A</v>
      </c>
      <c r="AL70" s="29" t="e">
        <v>#N/A</v>
      </c>
      <c r="AM70" s="30" t="str">
        <f>Table1[[#This Row],[2019 Scope 2 ]]</f>
        <v>#ERROR!</v>
      </c>
      <c r="AN70" s="31" t="str">
        <f t="shared" si="4"/>
        <v>#ERROR!</v>
      </c>
      <c r="AO70" s="32" t="str">
        <f t="shared" si="5"/>
        <v>#ERROR!</v>
      </c>
      <c r="AP70" s="31" t="str">
        <f t="shared" si="6"/>
        <v>#ERROR!</v>
      </c>
      <c r="AQ70" s="32" t="str">
        <f t="shared" si="7"/>
        <v>#ERROR!</v>
      </c>
      <c r="AR70" s="33" t="str">
        <f>Table1[[#This Row],[2019 Scope 3 ]]</f>
        <v>#ERROR!</v>
      </c>
      <c r="AS70" s="34" t="str">
        <f t="shared" si="8"/>
        <v>#ERROR!</v>
      </c>
      <c r="AT70" s="35" t="str">
        <f t="shared" si="9"/>
        <v>#ERROR!</v>
      </c>
    </row>
    <row r="71" ht="12.75" customHeight="1">
      <c r="A71" s="17">
        <f>companies!A71</f>
        <v>70</v>
      </c>
      <c r="B71" s="19" t="s">
        <v>1060</v>
      </c>
      <c r="C71" s="19" t="s">
        <v>1065</v>
      </c>
      <c r="D71" s="19" t="s">
        <v>1065</v>
      </c>
      <c r="E71" s="19" t="s">
        <v>1065</v>
      </c>
      <c r="F71" s="19" t="s">
        <v>1065</v>
      </c>
      <c r="G71" s="19" t="s">
        <v>1065</v>
      </c>
      <c r="H71" s="19" t="s">
        <v>1065</v>
      </c>
      <c r="I71" s="19" t="s">
        <v>1065</v>
      </c>
      <c r="J71" s="19" t="s">
        <v>1065</v>
      </c>
      <c r="K71" s="19" t="s">
        <v>1065</v>
      </c>
      <c r="L71" s="19" t="s">
        <v>1065</v>
      </c>
      <c r="M71" s="19" t="s">
        <v>1065</v>
      </c>
      <c r="N71" s="19" t="s">
        <v>1065</v>
      </c>
      <c r="O71" s="19" t="s">
        <v>1065</v>
      </c>
      <c r="P71" s="19" t="s">
        <v>1065</v>
      </c>
      <c r="Q71" s="19" t="s">
        <v>1065</v>
      </c>
      <c r="R71" s="19" t="s">
        <v>1065</v>
      </c>
      <c r="S71" s="19" t="s">
        <v>1065</v>
      </c>
      <c r="T71" s="19" t="s">
        <v>1065</v>
      </c>
      <c r="U71" s="19" t="s">
        <v>1065</v>
      </c>
      <c r="V71" s="19" t="s">
        <v>1065</v>
      </c>
      <c r="W71" s="29">
        <f t="shared" si="1"/>
        <v>0</v>
      </c>
      <c r="X71" s="29"/>
      <c r="Y71" s="29"/>
      <c r="Z71" s="29"/>
      <c r="AA71" s="29"/>
      <c r="AB71" s="29"/>
      <c r="AC71" s="29"/>
      <c r="AD71" s="29" t="e">
        <v>#N/A</v>
      </c>
      <c r="AE71" s="29" t="e">
        <v>#N/A</v>
      </c>
      <c r="AF71" s="30" t="str">
        <f>Table1[[#This Row],[2019 Scope 1 (MeT Co2)]]</f>
        <v>#ERROR!</v>
      </c>
      <c r="AG71" s="31" t="str">
        <f t="shared" si="2"/>
        <v>#ERROR!</v>
      </c>
      <c r="AH71" s="32" t="str">
        <f t="shared" si="3"/>
        <v>#ERROR!</v>
      </c>
      <c r="AI71" s="28"/>
      <c r="AJ71" s="28"/>
      <c r="AK71" s="29" t="e">
        <v>#N/A</v>
      </c>
      <c r="AL71" s="29" t="e">
        <v>#N/A</v>
      </c>
      <c r="AM71" s="30" t="str">
        <f>Table1[[#This Row],[2019 Scope 2 ]]</f>
        <v>#ERROR!</v>
      </c>
      <c r="AN71" s="31" t="str">
        <f t="shared" si="4"/>
        <v>#ERROR!</v>
      </c>
      <c r="AO71" s="32" t="str">
        <f t="shared" si="5"/>
        <v>#ERROR!</v>
      </c>
      <c r="AP71" s="31" t="str">
        <f t="shared" si="6"/>
        <v>#ERROR!</v>
      </c>
      <c r="AQ71" s="32" t="str">
        <f t="shared" si="7"/>
        <v>#ERROR!</v>
      </c>
      <c r="AR71" s="33" t="str">
        <f>Table1[[#This Row],[2019 Scope 3 ]]</f>
        <v>#ERROR!</v>
      </c>
      <c r="AS71" s="34" t="str">
        <f t="shared" si="8"/>
        <v>#ERROR!</v>
      </c>
      <c r="AT71" s="35" t="str">
        <f t="shared" si="9"/>
        <v>#ERROR!</v>
      </c>
    </row>
    <row r="72" ht="12.75" customHeight="1">
      <c r="A72" s="17">
        <f>companies!A72</f>
        <v>71</v>
      </c>
      <c r="B72" s="19" t="s">
        <v>1060</v>
      </c>
      <c r="C72" s="19">
        <v>46714.0</v>
      </c>
      <c r="D72" s="19">
        <v>258171.0</v>
      </c>
      <c r="E72" s="19">
        <v>209065.0</v>
      </c>
      <c r="F72" s="19">
        <v>7700000.0</v>
      </c>
      <c r="G72" s="19" t="s">
        <v>25</v>
      </c>
      <c r="H72" s="19">
        <v>15000.0</v>
      </c>
      <c r="I72" s="19">
        <v>1100000.0</v>
      </c>
      <c r="J72" s="19">
        <v>2000.0</v>
      </c>
      <c r="K72" s="19">
        <v>89000.0</v>
      </c>
      <c r="L72" s="19">
        <v>131000.0</v>
      </c>
      <c r="M72" s="29" t="s">
        <v>25</v>
      </c>
      <c r="N72" s="29">
        <v>101000.0</v>
      </c>
      <c r="O72" s="29" t="s">
        <v>25</v>
      </c>
      <c r="P72" s="29">
        <v>6200000.0</v>
      </c>
      <c r="Q72" s="29">
        <v>439000.0</v>
      </c>
      <c r="R72" s="19" t="s">
        <v>25</v>
      </c>
      <c r="S72" s="29" t="s">
        <v>25</v>
      </c>
      <c r="T72" s="29" t="s">
        <v>25</v>
      </c>
      <c r="U72" s="29" t="s">
        <v>25</v>
      </c>
      <c r="V72" s="29" t="s">
        <v>25</v>
      </c>
      <c r="W72" s="29">
        <f t="shared" si="1"/>
        <v>15777000</v>
      </c>
      <c r="X72" s="19"/>
      <c r="Y72" s="19"/>
      <c r="Z72" s="19"/>
      <c r="AA72" s="19"/>
      <c r="AB72" s="19"/>
      <c r="AC72" s="19"/>
      <c r="AD72" s="29" t="s">
        <v>1066</v>
      </c>
      <c r="AE72" s="29" t="s">
        <v>1067</v>
      </c>
      <c r="AF72" s="30" t="str">
        <f>Table1[[#This Row],[2019 Scope 1 (MeT Co2)]]</f>
        <v>#ERROR!</v>
      </c>
      <c r="AG72" s="31" t="str">
        <f t="shared" si="2"/>
        <v>#ERROR!</v>
      </c>
      <c r="AH72" s="32" t="str">
        <f t="shared" si="3"/>
        <v>#ERROR!</v>
      </c>
      <c r="AI72" s="28"/>
      <c r="AJ72" s="28"/>
      <c r="AK72" s="29" t="s">
        <v>1066</v>
      </c>
      <c r="AL72" s="29" t="s">
        <v>1067</v>
      </c>
      <c r="AM72" s="30" t="str">
        <f>Table1[[#This Row],[2019 Scope 2 ]]</f>
        <v>#ERROR!</v>
      </c>
      <c r="AN72" s="31" t="str">
        <f t="shared" si="4"/>
        <v>#ERROR!</v>
      </c>
      <c r="AO72" s="32" t="str">
        <f t="shared" si="5"/>
        <v>#ERROR!</v>
      </c>
      <c r="AP72" s="31" t="str">
        <f t="shared" si="6"/>
        <v>#ERROR!</v>
      </c>
      <c r="AQ72" s="32" t="str">
        <f t="shared" si="7"/>
        <v>#ERROR!</v>
      </c>
      <c r="AR72" s="33" t="str">
        <f>Table1[[#This Row],[2019 Scope 3 ]]</f>
        <v>#ERROR!</v>
      </c>
      <c r="AS72" s="34" t="str">
        <f t="shared" si="8"/>
        <v>#ERROR!</v>
      </c>
      <c r="AT72" s="35" t="str">
        <f t="shared" si="9"/>
        <v>#ERROR!</v>
      </c>
      <c r="BI72" s="16">
        <v>13279.0</v>
      </c>
    </row>
    <row r="73" ht="12.75" customHeight="1">
      <c r="A73" s="17">
        <f>companies!A73</f>
        <v>72</v>
      </c>
      <c r="B73" s="19" t="s">
        <v>1060</v>
      </c>
      <c r="C73" s="19">
        <v>2817.0</v>
      </c>
      <c r="D73" s="19">
        <v>74692.0</v>
      </c>
      <c r="E73" s="19">
        <v>65936.0</v>
      </c>
      <c r="F73" s="19">
        <v>224687.0</v>
      </c>
      <c r="G73" s="19">
        <v>72946.0</v>
      </c>
      <c r="H73" s="19">
        <v>27885.0</v>
      </c>
      <c r="I73" s="19">
        <v>30380.0</v>
      </c>
      <c r="J73" s="19">
        <v>752.0</v>
      </c>
      <c r="K73" s="19">
        <v>31285.0</v>
      </c>
      <c r="L73" s="19">
        <v>17929.0</v>
      </c>
      <c r="M73" s="29">
        <v>9329.0</v>
      </c>
      <c r="N73" s="29" t="s">
        <v>25</v>
      </c>
      <c r="O73" s="29" t="s">
        <v>25</v>
      </c>
      <c r="P73" s="29" t="s">
        <v>25</v>
      </c>
      <c r="Q73" s="29" t="s">
        <v>25</v>
      </c>
      <c r="R73" s="19" t="s">
        <v>25</v>
      </c>
      <c r="S73" s="29" t="s">
        <v>25</v>
      </c>
      <c r="T73" s="29" t="s">
        <v>25</v>
      </c>
      <c r="U73" s="29" t="s">
        <v>25</v>
      </c>
      <c r="V73" s="29" t="s">
        <v>25</v>
      </c>
      <c r="W73" s="29">
        <f t="shared" si="1"/>
        <v>415193</v>
      </c>
      <c r="X73" s="19"/>
      <c r="Y73" s="19"/>
      <c r="Z73" s="19"/>
      <c r="AA73" s="19"/>
      <c r="AB73" s="19"/>
      <c r="AC73" s="19"/>
      <c r="AD73" s="29" t="s">
        <v>25</v>
      </c>
      <c r="AE73" s="29" t="s">
        <v>25</v>
      </c>
      <c r="AF73" s="30" t="str">
        <f>Table1[[#This Row],[2019 Scope 1 (MeT Co2)]]</f>
        <v>#ERROR!</v>
      </c>
      <c r="AG73" s="31" t="str">
        <f t="shared" si="2"/>
        <v>#ERROR!</v>
      </c>
      <c r="AH73" s="32" t="str">
        <f t="shared" si="3"/>
        <v>#ERROR!</v>
      </c>
      <c r="AI73" s="28"/>
      <c r="AJ73" s="28"/>
      <c r="AK73" s="29" t="s">
        <v>25</v>
      </c>
      <c r="AL73" s="29" t="s">
        <v>25</v>
      </c>
      <c r="AM73" s="30" t="str">
        <f>Table1[[#This Row],[2019 Scope 2 ]]</f>
        <v>#ERROR!</v>
      </c>
      <c r="AN73" s="31" t="str">
        <f t="shared" si="4"/>
        <v>#ERROR!</v>
      </c>
      <c r="AO73" s="36" t="str">
        <f t="shared" si="5"/>
        <v>#ERROR!</v>
      </c>
      <c r="AP73" s="31" t="str">
        <f t="shared" si="6"/>
        <v>#ERROR!</v>
      </c>
      <c r="AQ73" s="36" t="str">
        <f t="shared" si="7"/>
        <v>#ERROR!</v>
      </c>
      <c r="AR73" s="33" t="str">
        <f>Table1[[#This Row],[2019 Scope 3 ]]</f>
        <v>#ERROR!</v>
      </c>
      <c r="AS73" s="34" t="str">
        <f t="shared" si="8"/>
        <v>#ERROR!</v>
      </c>
      <c r="AT73" s="35" t="str">
        <f t="shared" si="9"/>
        <v>#ERROR!</v>
      </c>
      <c r="BI73" s="19">
        <v>13604.0</v>
      </c>
    </row>
    <row r="74" ht="12.75" customHeight="1">
      <c r="A74" s="17">
        <f>companies!A74</f>
        <v>73</v>
      </c>
      <c r="B74" s="19" t="s">
        <v>1060</v>
      </c>
      <c r="C74" s="19">
        <v>2.2430197E7</v>
      </c>
      <c r="D74" s="19">
        <v>6420000.0</v>
      </c>
      <c r="E74" s="19" t="s">
        <v>25</v>
      </c>
      <c r="F74" s="19" t="s">
        <v>25</v>
      </c>
      <c r="G74" s="19" t="s">
        <v>25</v>
      </c>
      <c r="H74" s="19" t="s">
        <v>25</v>
      </c>
      <c r="I74" s="19">
        <v>0.0</v>
      </c>
      <c r="J74" s="19" t="s">
        <v>25</v>
      </c>
      <c r="K74" s="19" t="s">
        <v>25</v>
      </c>
      <c r="L74" s="19" t="s">
        <v>25</v>
      </c>
      <c r="M74" s="29" t="s">
        <v>25</v>
      </c>
      <c r="N74" s="29" t="s">
        <v>25</v>
      </c>
      <c r="O74" s="29">
        <v>1.03E8</v>
      </c>
      <c r="P74" s="29">
        <v>1.03E8</v>
      </c>
      <c r="Q74" s="29" t="s">
        <v>25</v>
      </c>
      <c r="R74" s="19" t="s">
        <v>25</v>
      </c>
      <c r="S74" s="29" t="s">
        <v>25</v>
      </c>
      <c r="T74" s="29" t="s">
        <v>25</v>
      </c>
      <c r="U74" s="29" t="s">
        <v>25</v>
      </c>
      <c r="V74" s="29" t="s">
        <v>25</v>
      </c>
      <c r="W74" s="29">
        <f t="shared" si="1"/>
        <v>206000000</v>
      </c>
      <c r="X74" s="29"/>
      <c r="Y74" s="29"/>
      <c r="Z74" s="29"/>
      <c r="AA74" s="29"/>
      <c r="AB74" s="29"/>
      <c r="AC74" s="29"/>
      <c r="AD74" s="29" t="s">
        <v>25</v>
      </c>
      <c r="AE74" s="29" t="s">
        <v>25</v>
      </c>
      <c r="AF74" s="30" t="str">
        <f>Table1[[#This Row],[2019 Scope 1 (MeT Co2)]]</f>
        <v>#ERROR!</v>
      </c>
      <c r="AG74" s="31" t="str">
        <f t="shared" si="2"/>
        <v>#ERROR!</v>
      </c>
      <c r="AH74" s="32" t="str">
        <f t="shared" si="3"/>
        <v>#ERROR!</v>
      </c>
      <c r="AI74" s="28"/>
      <c r="AJ74" s="28"/>
      <c r="AK74" s="29" t="s">
        <v>25</v>
      </c>
      <c r="AL74" s="29" t="s">
        <v>25</v>
      </c>
      <c r="AM74" s="30" t="str">
        <f>Table1[[#This Row],[2019 Scope 2 ]]</f>
        <v>#ERROR!</v>
      </c>
      <c r="AN74" s="31" t="str">
        <f t="shared" si="4"/>
        <v>#ERROR!</v>
      </c>
      <c r="AO74" s="32" t="str">
        <f t="shared" si="5"/>
        <v>#ERROR!</v>
      </c>
      <c r="AP74" s="31" t="str">
        <f t="shared" si="6"/>
        <v>#ERROR!</v>
      </c>
      <c r="AQ74" s="32" t="str">
        <f t="shared" si="7"/>
        <v>#ERROR!</v>
      </c>
      <c r="AR74" s="33" t="str">
        <f>Table1[[#This Row],[2019 Scope 3 ]]</f>
        <v>#ERROR!</v>
      </c>
      <c r="AS74" s="34" t="str">
        <f t="shared" si="8"/>
        <v>#ERROR!</v>
      </c>
      <c r="AT74" s="35" t="str">
        <f t="shared" si="9"/>
        <v>#ERROR!</v>
      </c>
      <c r="BI74" s="16">
        <v>13649.0</v>
      </c>
    </row>
    <row r="75" ht="12.75" customHeight="1">
      <c r="A75" s="17">
        <f>companies!A75</f>
        <v>74</v>
      </c>
      <c r="B75" s="19" t="s">
        <v>1060</v>
      </c>
      <c r="C75" s="19">
        <v>16520.0</v>
      </c>
      <c r="D75" s="19">
        <v>560683.0</v>
      </c>
      <c r="E75" s="19">
        <v>349022.0</v>
      </c>
      <c r="F75" s="19">
        <v>1139792.0</v>
      </c>
      <c r="G75" s="19">
        <v>151888.0</v>
      </c>
      <c r="H75" s="19">
        <v>21233.0</v>
      </c>
      <c r="I75" s="19">
        <v>8956.0</v>
      </c>
      <c r="J75" s="19">
        <v>1055.0</v>
      </c>
      <c r="K75" s="19">
        <v>173807.0</v>
      </c>
      <c r="L75" s="19">
        <v>70.0</v>
      </c>
      <c r="M75" s="29" t="s">
        <v>25</v>
      </c>
      <c r="N75" s="29">
        <v>35824.0</v>
      </c>
      <c r="O75" s="29" t="s">
        <v>25</v>
      </c>
      <c r="P75" s="29" t="s">
        <v>25</v>
      </c>
      <c r="Q75" s="29" t="s">
        <v>25</v>
      </c>
      <c r="R75" s="19">
        <v>10915.0</v>
      </c>
      <c r="S75" s="29" t="s">
        <v>25</v>
      </c>
      <c r="T75" s="29" t="s">
        <v>25</v>
      </c>
      <c r="U75" s="29" t="s">
        <v>25</v>
      </c>
      <c r="V75" s="29" t="s">
        <v>25</v>
      </c>
      <c r="W75" s="29">
        <f t="shared" si="1"/>
        <v>1543540</v>
      </c>
      <c r="X75" s="19"/>
      <c r="Y75" s="19"/>
      <c r="Z75" s="19"/>
      <c r="AA75" s="19"/>
      <c r="AB75" s="19"/>
      <c r="AC75" s="19"/>
      <c r="AD75" s="29" t="s">
        <v>25</v>
      </c>
      <c r="AE75" s="29" t="s">
        <v>25</v>
      </c>
      <c r="AF75" s="30" t="str">
        <f>Table1[[#This Row],[2019 Scope 1 (MeT Co2)]]</f>
        <v>#ERROR!</v>
      </c>
      <c r="AG75" s="31" t="str">
        <f t="shared" si="2"/>
        <v>#ERROR!</v>
      </c>
      <c r="AH75" s="32" t="str">
        <f t="shared" si="3"/>
        <v>#ERROR!</v>
      </c>
      <c r="AI75" s="28"/>
      <c r="AJ75" s="28"/>
      <c r="AK75" s="29" t="s">
        <v>25</v>
      </c>
      <c r="AL75" s="29" t="s">
        <v>25</v>
      </c>
      <c r="AM75" s="30" t="str">
        <f>Table1[[#This Row],[2019 Scope 2 ]]</f>
        <v>#ERROR!</v>
      </c>
      <c r="AN75" s="31" t="str">
        <f t="shared" si="4"/>
        <v>#ERROR!</v>
      </c>
      <c r="AO75" s="32" t="str">
        <f t="shared" si="5"/>
        <v>#ERROR!</v>
      </c>
      <c r="AP75" s="31" t="str">
        <f t="shared" si="6"/>
        <v>#ERROR!</v>
      </c>
      <c r="AQ75" s="32" t="str">
        <f t="shared" si="7"/>
        <v>#ERROR!</v>
      </c>
      <c r="AR75" s="33" t="str">
        <f>Table1[[#This Row],[2019 Scope 3 ]]</f>
        <v>#ERROR!</v>
      </c>
      <c r="AS75" s="34" t="str">
        <f t="shared" si="8"/>
        <v>#ERROR!</v>
      </c>
      <c r="AT75" s="35" t="str">
        <f t="shared" si="9"/>
        <v>#ERROR!</v>
      </c>
      <c r="BI75" s="16">
        <v>14013.0</v>
      </c>
    </row>
    <row r="76" ht="12.75" customHeight="1">
      <c r="A76" s="17">
        <f>companies!A76</f>
        <v>75</v>
      </c>
      <c r="B76" s="19" t="s">
        <v>1060</v>
      </c>
      <c r="C76" s="19">
        <v>9897.0</v>
      </c>
      <c r="D76" s="19" t="s">
        <v>25</v>
      </c>
      <c r="E76" s="19">
        <v>47911.0</v>
      </c>
      <c r="F76" s="19" t="s">
        <v>25</v>
      </c>
      <c r="G76" s="19" t="s">
        <v>25</v>
      </c>
      <c r="H76" s="19" t="s">
        <v>25</v>
      </c>
      <c r="I76" s="19" t="s">
        <v>25</v>
      </c>
      <c r="J76" s="19" t="s">
        <v>25</v>
      </c>
      <c r="K76" s="19">
        <v>32130.06</v>
      </c>
      <c r="L76" s="19" t="s">
        <v>25</v>
      </c>
      <c r="M76" s="29" t="s">
        <v>25</v>
      </c>
      <c r="N76" s="29" t="s">
        <v>25</v>
      </c>
      <c r="O76" s="29" t="s">
        <v>25</v>
      </c>
      <c r="P76" s="29" t="s">
        <v>25</v>
      </c>
      <c r="Q76" s="29" t="s">
        <v>25</v>
      </c>
      <c r="R76" s="19" t="s">
        <v>25</v>
      </c>
      <c r="S76" s="29" t="s">
        <v>25</v>
      </c>
      <c r="T76" s="29" t="s">
        <v>25</v>
      </c>
      <c r="U76" s="29" t="s">
        <v>25</v>
      </c>
      <c r="V76" s="29" t="s">
        <v>25</v>
      </c>
      <c r="W76" s="29">
        <f t="shared" si="1"/>
        <v>32130.06</v>
      </c>
      <c r="X76" s="19"/>
      <c r="Y76" s="19"/>
      <c r="Z76" s="19"/>
      <c r="AA76" s="19"/>
      <c r="AB76" s="19"/>
      <c r="AC76" s="19"/>
      <c r="AD76" s="29" t="s">
        <v>1061</v>
      </c>
      <c r="AE76" s="29" t="s">
        <v>1062</v>
      </c>
      <c r="AF76" s="30" t="str">
        <f>Table1[[#This Row],[2019 Scope 1 (MeT Co2)]]</f>
        <v>#ERROR!</v>
      </c>
      <c r="AG76" s="31" t="str">
        <f t="shared" si="2"/>
        <v>#ERROR!</v>
      </c>
      <c r="AH76" s="32" t="str">
        <f t="shared" si="3"/>
        <v>#ERROR!</v>
      </c>
      <c r="AI76" s="28"/>
      <c r="AJ76" s="28"/>
      <c r="AK76" s="29" t="s">
        <v>1061</v>
      </c>
      <c r="AL76" s="29" t="s">
        <v>1062</v>
      </c>
      <c r="AM76" s="30" t="str">
        <f>Table1[[#This Row],[2019 Scope 2 ]]</f>
        <v>#ERROR!</v>
      </c>
      <c r="AN76" s="31" t="str">
        <f t="shared" si="4"/>
        <v>#ERROR!</v>
      </c>
      <c r="AO76" s="32" t="str">
        <f t="shared" si="5"/>
        <v>#ERROR!</v>
      </c>
      <c r="AP76" s="31" t="str">
        <f t="shared" si="6"/>
        <v>#ERROR!</v>
      </c>
      <c r="AQ76" s="32" t="str">
        <f t="shared" si="7"/>
        <v>#ERROR!</v>
      </c>
      <c r="AR76" s="33" t="str">
        <f>Table1[[#This Row],[2019 Scope 3 ]]</f>
        <v>#ERROR!</v>
      </c>
      <c r="AS76" s="34" t="str">
        <f t="shared" si="8"/>
        <v>#ERROR!</v>
      </c>
      <c r="AT76" s="35" t="str">
        <f t="shared" si="9"/>
        <v>#ERROR!</v>
      </c>
      <c r="BI76" s="19">
        <v>58304.0</v>
      </c>
    </row>
    <row r="77" ht="12.75" customHeight="1">
      <c r="A77" s="17">
        <f>companies!A77</f>
        <v>76</v>
      </c>
      <c r="B77" s="19" t="s">
        <v>1060</v>
      </c>
      <c r="C77" s="19">
        <v>3552415.0</v>
      </c>
      <c r="D77" s="19">
        <v>1556523.0</v>
      </c>
      <c r="E77" s="19">
        <v>1425255.0</v>
      </c>
      <c r="F77" s="19">
        <v>3.3599797E7</v>
      </c>
      <c r="G77" s="19">
        <v>600278.0</v>
      </c>
      <c r="H77" s="19">
        <v>946616.0</v>
      </c>
      <c r="I77" s="19">
        <v>720951.0</v>
      </c>
      <c r="J77" s="19">
        <v>25353.0</v>
      </c>
      <c r="K77" s="19">
        <v>140452.0</v>
      </c>
      <c r="L77" s="19">
        <v>201663.0</v>
      </c>
      <c r="M77" s="29" t="s">
        <v>25</v>
      </c>
      <c r="N77" s="29">
        <v>1.1088559E7</v>
      </c>
      <c r="O77" s="29">
        <v>231426.0</v>
      </c>
      <c r="P77" s="29" t="s">
        <v>25</v>
      </c>
      <c r="Q77" s="29">
        <v>811130.0</v>
      </c>
      <c r="R77" s="19" t="s">
        <v>25</v>
      </c>
      <c r="S77" s="29">
        <v>1843424.0</v>
      </c>
      <c r="T77" s="29">
        <v>255417.0</v>
      </c>
      <c r="U77" s="29" t="s">
        <v>25</v>
      </c>
      <c r="V77" s="29" t="s">
        <v>25</v>
      </c>
      <c r="W77" s="29">
        <f t="shared" si="1"/>
        <v>50465066</v>
      </c>
      <c r="X77" s="19"/>
      <c r="Y77" s="19"/>
      <c r="Z77" s="19"/>
      <c r="AA77" s="19"/>
      <c r="AB77" s="19"/>
      <c r="AC77" s="19"/>
      <c r="AD77" s="29" t="s">
        <v>25</v>
      </c>
      <c r="AE77" s="29" t="s">
        <v>25</v>
      </c>
      <c r="AF77" s="30" t="str">
        <f>Table1[[#This Row],[2019 Scope 1 (MeT Co2)]]</f>
        <v>#ERROR!</v>
      </c>
      <c r="AG77" s="31" t="str">
        <f t="shared" si="2"/>
        <v>#ERROR!</v>
      </c>
      <c r="AH77" s="32" t="str">
        <f t="shared" si="3"/>
        <v>#ERROR!</v>
      </c>
      <c r="AI77" s="28"/>
      <c r="AJ77" s="28"/>
      <c r="AK77" s="29" t="s">
        <v>25</v>
      </c>
      <c r="AL77" s="29" t="s">
        <v>25</v>
      </c>
      <c r="AM77" s="30" t="str">
        <f>Table1[[#This Row],[2019 Scope 2 ]]</f>
        <v>#ERROR!</v>
      </c>
      <c r="AN77" s="31" t="str">
        <f t="shared" si="4"/>
        <v>#ERROR!</v>
      </c>
      <c r="AO77" s="32" t="str">
        <f t="shared" si="5"/>
        <v>#ERROR!</v>
      </c>
      <c r="AP77" s="31" t="str">
        <f t="shared" si="6"/>
        <v>#ERROR!</v>
      </c>
      <c r="AQ77" s="32" t="str">
        <f t="shared" si="7"/>
        <v>#ERROR!</v>
      </c>
      <c r="AR77" s="33" t="str">
        <f>Table1[[#This Row],[2019 Scope 3 ]]</f>
        <v>#ERROR!</v>
      </c>
      <c r="AS77" s="34" t="str">
        <f t="shared" si="8"/>
        <v>#ERROR!</v>
      </c>
      <c r="AT77" s="35" t="str">
        <f t="shared" si="9"/>
        <v>#ERROR!</v>
      </c>
      <c r="BI77" s="16">
        <v>14605.0</v>
      </c>
    </row>
    <row r="78" ht="12.75" customHeight="1">
      <c r="A78" s="17">
        <f>companies!A78</f>
        <v>77</v>
      </c>
      <c r="B78" s="19" t="s">
        <v>1060</v>
      </c>
      <c r="C78" s="19">
        <v>734638.0</v>
      </c>
      <c r="D78" s="19">
        <v>762286.0</v>
      </c>
      <c r="E78" s="19">
        <v>634205.0</v>
      </c>
      <c r="F78" s="19">
        <v>3794093.0</v>
      </c>
      <c r="G78" s="19">
        <v>345953.0</v>
      </c>
      <c r="H78" s="19">
        <v>252909.0</v>
      </c>
      <c r="I78" s="19">
        <v>873030.0</v>
      </c>
      <c r="J78" s="19">
        <v>16420.0</v>
      </c>
      <c r="K78" s="19">
        <v>195718.0</v>
      </c>
      <c r="L78" s="19">
        <v>60645.0</v>
      </c>
      <c r="M78" s="29">
        <v>36273.0</v>
      </c>
      <c r="N78" s="29">
        <v>99576.0</v>
      </c>
      <c r="O78" s="29" t="s">
        <v>25</v>
      </c>
      <c r="P78" s="29" t="s">
        <v>25</v>
      </c>
      <c r="Q78" s="29" t="s">
        <v>25</v>
      </c>
      <c r="R78" s="19" t="s">
        <v>25</v>
      </c>
      <c r="S78" s="29" t="s">
        <v>25</v>
      </c>
      <c r="T78" s="29">
        <v>33892.0</v>
      </c>
      <c r="U78" s="29" t="s">
        <v>25</v>
      </c>
      <c r="V78" s="29" t="s">
        <v>25</v>
      </c>
      <c r="W78" s="29">
        <f t="shared" si="1"/>
        <v>5708509</v>
      </c>
      <c r="X78" s="19"/>
      <c r="Y78" s="19"/>
      <c r="Z78" s="19"/>
      <c r="AA78" s="19"/>
      <c r="AB78" s="19"/>
      <c r="AC78" s="19"/>
      <c r="AD78" s="29" t="s">
        <v>1061</v>
      </c>
      <c r="AE78" s="29" t="s">
        <v>1062</v>
      </c>
      <c r="AF78" s="30" t="str">
        <f>Table1[[#This Row],[2019 Scope 1 (MeT Co2)]]</f>
        <v>#ERROR!</v>
      </c>
      <c r="AG78" s="31" t="str">
        <f t="shared" si="2"/>
        <v>#ERROR!</v>
      </c>
      <c r="AH78" s="32" t="str">
        <f t="shared" si="3"/>
        <v>#ERROR!</v>
      </c>
      <c r="AI78" s="28"/>
      <c r="AJ78" s="28"/>
      <c r="AK78" s="29" t="s">
        <v>1061</v>
      </c>
      <c r="AL78" s="29" t="s">
        <v>1062</v>
      </c>
      <c r="AM78" s="30" t="str">
        <f>Table1[[#This Row],[2019 Scope 2 ]]</f>
        <v>#ERROR!</v>
      </c>
      <c r="AN78" s="31" t="str">
        <f t="shared" si="4"/>
        <v>#ERROR!</v>
      </c>
      <c r="AO78" s="32" t="str">
        <f t="shared" si="5"/>
        <v>#ERROR!</v>
      </c>
      <c r="AP78" s="31" t="str">
        <f t="shared" si="6"/>
        <v>#ERROR!</v>
      </c>
      <c r="AQ78" s="32" t="str">
        <f t="shared" si="7"/>
        <v>#ERROR!</v>
      </c>
      <c r="AR78" s="33" t="str">
        <f>Table1[[#This Row],[2019 Scope 3 ]]</f>
        <v>#ERROR!</v>
      </c>
      <c r="AS78" s="34" t="str">
        <f t="shared" si="8"/>
        <v>#ERROR!</v>
      </c>
      <c r="AT78" s="35" t="str">
        <f t="shared" si="9"/>
        <v>#ERROR!</v>
      </c>
      <c r="BI78" s="16">
        <v>14683.0</v>
      </c>
    </row>
    <row r="79" ht="12.75" customHeight="1">
      <c r="A79" s="17">
        <f>companies!A79</f>
        <v>78</v>
      </c>
      <c r="B79" s="19" t="s">
        <v>1060</v>
      </c>
      <c r="C79" s="19">
        <v>397210.0</v>
      </c>
      <c r="D79" s="19">
        <v>447322.0</v>
      </c>
      <c r="E79" s="19">
        <v>158672.0</v>
      </c>
      <c r="F79" s="19">
        <v>3079756.0</v>
      </c>
      <c r="G79" s="19">
        <v>112716.0</v>
      </c>
      <c r="H79" s="19">
        <v>113778.0</v>
      </c>
      <c r="I79" s="19">
        <v>437675.0</v>
      </c>
      <c r="J79" s="19">
        <v>1832.0</v>
      </c>
      <c r="K79" s="19">
        <v>111283.0</v>
      </c>
      <c r="L79" s="19">
        <v>58200.0</v>
      </c>
      <c r="M79" s="29" t="s">
        <v>25</v>
      </c>
      <c r="N79" s="29">
        <v>46621.0</v>
      </c>
      <c r="O79" s="29" t="s">
        <v>25</v>
      </c>
      <c r="P79" s="29">
        <v>107477.0</v>
      </c>
      <c r="Q79" s="29">
        <v>57272.0</v>
      </c>
      <c r="R79" s="19" t="s">
        <v>25</v>
      </c>
      <c r="S79" s="29" t="s">
        <v>25</v>
      </c>
      <c r="T79" s="29" t="s">
        <v>25</v>
      </c>
      <c r="U79" s="29" t="s">
        <v>25</v>
      </c>
      <c r="V79" s="29" t="s">
        <v>25</v>
      </c>
      <c r="W79" s="29">
        <f t="shared" si="1"/>
        <v>4126610</v>
      </c>
      <c r="X79" s="19"/>
      <c r="Y79" s="19"/>
      <c r="Z79" s="19"/>
      <c r="AA79" s="19"/>
      <c r="AB79" s="19"/>
      <c r="AC79" s="19"/>
      <c r="AD79" s="29" t="s">
        <v>25</v>
      </c>
      <c r="AE79" s="29" t="s">
        <v>25</v>
      </c>
      <c r="AF79" s="30" t="str">
        <f>Table1[[#This Row],[2019 Scope 1 (MeT Co2)]]</f>
        <v>#ERROR!</v>
      </c>
      <c r="AG79" s="31" t="str">
        <f t="shared" si="2"/>
        <v>#ERROR!</v>
      </c>
      <c r="AH79" s="32" t="str">
        <f t="shared" si="3"/>
        <v>#ERROR!</v>
      </c>
      <c r="AI79" s="28"/>
      <c r="AJ79" s="28"/>
      <c r="AK79" s="29" t="s">
        <v>25</v>
      </c>
      <c r="AL79" s="29" t="s">
        <v>25</v>
      </c>
      <c r="AM79" s="30" t="str">
        <f>Table1[[#This Row],[2019 Scope 2 ]]</f>
        <v>#ERROR!</v>
      </c>
      <c r="AN79" s="31" t="str">
        <f t="shared" si="4"/>
        <v>#ERROR!</v>
      </c>
      <c r="AO79" s="32" t="str">
        <f t="shared" si="5"/>
        <v>#ERROR!</v>
      </c>
      <c r="AP79" s="31" t="str">
        <f t="shared" si="6"/>
        <v>#ERROR!</v>
      </c>
      <c r="AQ79" s="32" t="str">
        <f t="shared" si="7"/>
        <v>#ERROR!</v>
      </c>
      <c r="AR79" s="33" t="str">
        <f>Table1[[#This Row],[2019 Scope 3 ]]</f>
        <v>#ERROR!</v>
      </c>
      <c r="AS79" s="34" t="str">
        <f t="shared" si="8"/>
        <v>#ERROR!</v>
      </c>
      <c r="AT79" s="35" t="str">
        <f t="shared" si="9"/>
        <v>#ERROR!</v>
      </c>
      <c r="BI79" s="19">
        <v>14712.0</v>
      </c>
    </row>
    <row r="80" ht="12.75" customHeight="1">
      <c r="A80" s="17">
        <f>companies!A80</f>
        <v>79</v>
      </c>
      <c r="B80" s="19" t="s">
        <v>1060</v>
      </c>
      <c r="C80" s="19">
        <v>2210497.0</v>
      </c>
      <c r="D80" s="19">
        <v>2544389.0</v>
      </c>
      <c r="E80" s="19">
        <v>1839862.0</v>
      </c>
      <c r="F80" s="19">
        <v>1.64210001E8</v>
      </c>
      <c r="G80" s="19">
        <v>247000.0</v>
      </c>
      <c r="H80" s="19">
        <v>495000.0</v>
      </c>
      <c r="I80" s="19">
        <v>0.0</v>
      </c>
      <c r="J80" s="19">
        <v>9000.0</v>
      </c>
      <c r="K80" s="19">
        <v>151042.0</v>
      </c>
      <c r="L80" s="19">
        <v>117000.0</v>
      </c>
      <c r="M80" s="29" t="s">
        <v>25</v>
      </c>
      <c r="N80" s="29">
        <v>3700000.0</v>
      </c>
      <c r="O80" s="29" t="s">
        <v>25</v>
      </c>
      <c r="P80" s="29">
        <v>1.99133E8</v>
      </c>
      <c r="Q80" s="29">
        <v>1.3251E7</v>
      </c>
      <c r="R80" s="19" t="s">
        <v>25</v>
      </c>
      <c r="S80" s="29" t="s">
        <v>25</v>
      </c>
      <c r="T80" s="29" t="s">
        <v>25</v>
      </c>
      <c r="U80" s="29" t="s">
        <v>25</v>
      </c>
      <c r="V80" s="29" t="s">
        <v>25</v>
      </c>
      <c r="W80" s="29">
        <f t="shared" si="1"/>
        <v>381313043</v>
      </c>
      <c r="X80" s="19"/>
      <c r="Y80" s="19"/>
      <c r="Z80" s="19"/>
      <c r="AA80" s="19"/>
      <c r="AB80" s="19"/>
      <c r="AC80" s="19"/>
      <c r="AD80" s="29" t="s">
        <v>25</v>
      </c>
      <c r="AE80" s="29" t="s">
        <v>25</v>
      </c>
      <c r="AF80" s="30" t="str">
        <f>Table1[[#This Row],[2019 Scope 1 (MeT Co2)]]</f>
        <v>#ERROR!</v>
      </c>
      <c r="AG80" s="31" t="str">
        <f t="shared" si="2"/>
        <v>#ERROR!</v>
      </c>
      <c r="AH80" s="32" t="str">
        <f t="shared" si="3"/>
        <v>#ERROR!</v>
      </c>
      <c r="AI80" s="28"/>
      <c r="AJ80" s="28"/>
      <c r="AK80" s="29" t="s">
        <v>25</v>
      </c>
      <c r="AL80" s="29" t="s">
        <v>25</v>
      </c>
      <c r="AM80" s="30" t="str">
        <f>Table1[[#This Row],[2019 Scope 2 ]]</f>
        <v>#ERROR!</v>
      </c>
      <c r="AN80" s="31" t="str">
        <f t="shared" si="4"/>
        <v>#ERROR!</v>
      </c>
      <c r="AO80" s="32" t="str">
        <f t="shared" si="5"/>
        <v>#ERROR!</v>
      </c>
      <c r="AP80" s="31" t="str">
        <f t="shared" si="6"/>
        <v>#ERROR!</v>
      </c>
      <c r="AQ80" s="32" t="str">
        <f t="shared" si="7"/>
        <v>#ERROR!</v>
      </c>
      <c r="AR80" s="33" t="str">
        <f>Table1[[#This Row],[2019 Scope 3 ]]</f>
        <v>#ERROR!</v>
      </c>
      <c r="AS80" s="34" t="str">
        <f t="shared" si="8"/>
        <v>#ERROR!</v>
      </c>
      <c r="AT80" s="35" t="str">
        <f t="shared" si="9"/>
        <v>#ERROR!</v>
      </c>
      <c r="BI80" s="19">
        <v>15132.0</v>
      </c>
    </row>
    <row r="81" ht="12.75" customHeight="1">
      <c r="A81" s="17">
        <f>companies!A81</f>
        <v>80</v>
      </c>
      <c r="B81" s="19" t="s">
        <v>1060</v>
      </c>
      <c r="C81" s="19">
        <v>78290.0</v>
      </c>
      <c r="D81" s="19">
        <v>135967.0</v>
      </c>
      <c r="E81" s="19">
        <v>114060.0</v>
      </c>
      <c r="F81" s="19" t="s">
        <v>25</v>
      </c>
      <c r="G81" s="19" t="s">
        <v>25</v>
      </c>
      <c r="H81" s="19" t="s">
        <v>25</v>
      </c>
      <c r="I81" s="19" t="s">
        <v>25</v>
      </c>
      <c r="J81" s="19" t="s">
        <v>25</v>
      </c>
      <c r="K81" s="19">
        <v>80928.0</v>
      </c>
      <c r="L81" s="19">
        <v>30324.0</v>
      </c>
      <c r="M81" s="29" t="s">
        <v>25</v>
      </c>
      <c r="N81" s="29" t="s">
        <v>25</v>
      </c>
      <c r="O81" s="29" t="s">
        <v>25</v>
      </c>
      <c r="P81" s="29" t="s">
        <v>25</v>
      </c>
      <c r="Q81" s="29" t="s">
        <v>25</v>
      </c>
      <c r="R81" s="19" t="s">
        <v>25</v>
      </c>
      <c r="S81" s="29" t="s">
        <v>25</v>
      </c>
      <c r="T81" s="29" t="s">
        <v>25</v>
      </c>
      <c r="U81" s="29" t="s">
        <v>25</v>
      </c>
      <c r="V81" s="29" t="s">
        <v>25</v>
      </c>
      <c r="W81" s="29">
        <f t="shared" si="1"/>
        <v>111252</v>
      </c>
      <c r="X81" s="19"/>
      <c r="Y81" s="19"/>
      <c r="Z81" s="19"/>
      <c r="AA81" s="19"/>
      <c r="AB81" s="19"/>
      <c r="AC81" s="19"/>
      <c r="AD81" s="29" t="s">
        <v>25</v>
      </c>
      <c r="AE81" s="29" t="s">
        <v>25</v>
      </c>
      <c r="AF81" s="30" t="str">
        <f>Table1[[#This Row],[2019 Scope 1 (MeT Co2)]]</f>
        <v>#ERROR!</v>
      </c>
      <c r="AG81" s="31" t="str">
        <f t="shared" si="2"/>
        <v>#ERROR!</v>
      </c>
      <c r="AH81" s="32" t="str">
        <f t="shared" si="3"/>
        <v>#ERROR!</v>
      </c>
      <c r="AI81" s="28"/>
      <c r="AJ81" s="28"/>
      <c r="AK81" s="29" t="s">
        <v>25</v>
      </c>
      <c r="AL81" s="29" t="s">
        <v>25</v>
      </c>
      <c r="AM81" s="30" t="str">
        <f>Table1[[#This Row],[2019 Scope 2 ]]</f>
        <v>#ERROR!</v>
      </c>
      <c r="AN81" s="31" t="str">
        <f t="shared" si="4"/>
        <v>#ERROR!</v>
      </c>
      <c r="AO81" s="32" t="str">
        <f t="shared" si="5"/>
        <v>#ERROR!</v>
      </c>
      <c r="AP81" s="31" t="str">
        <f t="shared" si="6"/>
        <v>#ERROR!</v>
      </c>
      <c r="AQ81" s="32" t="str">
        <f t="shared" si="7"/>
        <v>#ERROR!</v>
      </c>
      <c r="AR81" s="33" t="str">
        <f>Table1[[#This Row],[2019 Scope 3 ]]</f>
        <v>#ERROR!</v>
      </c>
      <c r="AS81" s="34" t="str">
        <f t="shared" si="8"/>
        <v>#ERROR!</v>
      </c>
      <c r="AT81" s="35" t="str">
        <f t="shared" si="9"/>
        <v>#ERROR!</v>
      </c>
      <c r="BI81" s="19">
        <v>15419.0</v>
      </c>
    </row>
    <row r="82" ht="12.75" customHeight="1">
      <c r="A82" s="17">
        <f>companies!A82</f>
        <v>81</v>
      </c>
      <c r="B82" s="19" t="s">
        <v>1060</v>
      </c>
      <c r="C82" s="19" t="s">
        <v>1065</v>
      </c>
      <c r="D82" s="19" t="s">
        <v>1065</v>
      </c>
      <c r="E82" s="19" t="s">
        <v>1065</v>
      </c>
      <c r="F82" s="19" t="s">
        <v>1065</v>
      </c>
      <c r="G82" s="19" t="s">
        <v>1065</v>
      </c>
      <c r="H82" s="19" t="s">
        <v>1065</v>
      </c>
      <c r="I82" s="19" t="s">
        <v>1065</v>
      </c>
      <c r="J82" s="19" t="s">
        <v>1065</v>
      </c>
      <c r="K82" s="19" t="s">
        <v>1065</v>
      </c>
      <c r="L82" s="19" t="s">
        <v>1065</v>
      </c>
      <c r="M82" s="19" t="s">
        <v>1065</v>
      </c>
      <c r="N82" s="19" t="s">
        <v>1065</v>
      </c>
      <c r="O82" s="19" t="s">
        <v>1065</v>
      </c>
      <c r="P82" s="19" t="s">
        <v>1065</v>
      </c>
      <c r="Q82" s="19" t="s">
        <v>1065</v>
      </c>
      <c r="R82" s="19" t="s">
        <v>1065</v>
      </c>
      <c r="S82" s="19" t="s">
        <v>1065</v>
      </c>
      <c r="T82" s="19" t="s">
        <v>1065</v>
      </c>
      <c r="U82" s="19" t="s">
        <v>1065</v>
      </c>
      <c r="V82" s="19" t="s">
        <v>1065</v>
      </c>
      <c r="W82" s="29">
        <f t="shared" si="1"/>
        <v>0</v>
      </c>
      <c r="X82" s="29"/>
      <c r="Y82" s="29"/>
      <c r="Z82" s="29"/>
      <c r="AA82" s="29"/>
      <c r="AB82" s="29"/>
      <c r="AC82" s="29"/>
      <c r="AD82" s="29" t="e">
        <v>#N/A</v>
      </c>
      <c r="AE82" s="29" t="e">
        <v>#N/A</v>
      </c>
      <c r="AF82" s="30" t="str">
        <f>Table1[[#This Row],[2019 Scope 1 (MeT Co2)]]</f>
        <v>#ERROR!</v>
      </c>
      <c r="AG82" s="31" t="str">
        <f t="shared" si="2"/>
        <v>#ERROR!</v>
      </c>
      <c r="AH82" s="32" t="str">
        <f t="shared" si="3"/>
        <v>#ERROR!</v>
      </c>
      <c r="AI82" s="28"/>
      <c r="AJ82" s="28"/>
      <c r="AK82" s="29" t="e">
        <v>#N/A</v>
      </c>
      <c r="AL82" s="29" t="e">
        <v>#N/A</v>
      </c>
      <c r="AM82" s="30" t="str">
        <f>Table1[[#This Row],[2019 Scope 2 ]]</f>
        <v>#ERROR!</v>
      </c>
      <c r="AN82" s="31" t="str">
        <f t="shared" si="4"/>
        <v>#ERROR!</v>
      </c>
      <c r="AO82" s="32" t="str">
        <f t="shared" si="5"/>
        <v>#ERROR!</v>
      </c>
      <c r="AP82" s="31" t="str">
        <f t="shared" si="6"/>
        <v>#ERROR!</v>
      </c>
      <c r="AQ82" s="32" t="str">
        <f t="shared" si="7"/>
        <v>#ERROR!</v>
      </c>
      <c r="AR82" s="33" t="str">
        <f>Table1[[#This Row],[2019 Scope 3 ]]</f>
        <v>#ERROR!</v>
      </c>
      <c r="AS82" s="34" t="str">
        <f t="shared" si="8"/>
        <v>#ERROR!</v>
      </c>
      <c r="AT82" s="35" t="str">
        <f t="shared" si="9"/>
        <v>#ERROR!</v>
      </c>
    </row>
    <row r="83" ht="12.75" customHeight="1">
      <c r="A83" s="17">
        <f>companies!A83</f>
        <v>82</v>
      </c>
      <c r="B83" s="19" t="s">
        <v>1060</v>
      </c>
      <c r="C83" s="19">
        <v>5747.0</v>
      </c>
      <c r="D83" s="19">
        <v>290938.0</v>
      </c>
      <c r="E83" s="19">
        <v>134760.0</v>
      </c>
      <c r="F83" s="19">
        <v>550606.0</v>
      </c>
      <c r="G83" s="19">
        <v>149751.0</v>
      </c>
      <c r="H83" s="19">
        <v>25675.0</v>
      </c>
      <c r="I83" s="19">
        <v>4517.0</v>
      </c>
      <c r="J83" s="19">
        <v>221.0</v>
      </c>
      <c r="K83" s="19">
        <v>142000.0</v>
      </c>
      <c r="L83" s="19">
        <v>36000.0</v>
      </c>
      <c r="M83" s="29">
        <v>95321.0</v>
      </c>
      <c r="N83" s="29" t="s">
        <v>25</v>
      </c>
      <c r="O83" s="29" t="s">
        <v>25</v>
      </c>
      <c r="P83" s="29">
        <v>22020.0</v>
      </c>
      <c r="Q83" s="29" t="s">
        <v>25</v>
      </c>
      <c r="R83" s="19" t="s">
        <v>25</v>
      </c>
      <c r="S83" s="29" t="s">
        <v>25</v>
      </c>
      <c r="T83" s="29">
        <v>1440.0</v>
      </c>
      <c r="U83" s="29" t="s">
        <v>25</v>
      </c>
      <c r="V83" s="29" t="s">
        <v>25</v>
      </c>
      <c r="W83" s="29">
        <f t="shared" si="1"/>
        <v>1027551</v>
      </c>
      <c r="X83" s="19"/>
      <c r="Y83" s="19"/>
      <c r="Z83" s="19"/>
      <c r="AA83" s="19"/>
      <c r="AB83" s="19"/>
      <c r="AC83" s="19"/>
      <c r="AD83" s="29" t="s">
        <v>25</v>
      </c>
      <c r="AE83" s="29" t="s">
        <v>25</v>
      </c>
      <c r="AF83" s="30" t="str">
        <f>Table1[[#This Row],[2019 Scope 1 (MeT Co2)]]</f>
        <v>#ERROR!</v>
      </c>
      <c r="AG83" s="31" t="str">
        <f t="shared" si="2"/>
        <v>#ERROR!</v>
      </c>
      <c r="AH83" s="36" t="str">
        <f t="shared" si="3"/>
        <v>#ERROR!</v>
      </c>
      <c r="AI83" s="28"/>
      <c r="AJ83" s="28"/>
      <c r="AK83" s="29" t="s">
        <v>25</v>
      </c>
      <c r="AL83" s="29" t="s">
        <v>25</v>
      </c>
      <c r="AM83" s="30" t="str">
        <f>Table1[[#This Row],[2019 Scope 2 ]]</f>
        <v>#ERROR!</v>
      </c>
      <c r="AN83" s="31" t="str">
        <f t="shared" si="4"/>
        <v>#ERROR!</v>
      </c>
      <c r="AO83" s="36" t="str">
        <f t="shared" si="5"/>
        <v>#ERROR!</v>
      </c>
      <c r="AP83" s="31" t="str">
        <f t="shared" si="6"/>
        <v>#ERROR!</v>
      </c>
      <c r="AQ83" s="36" t="str">
        <f t="shared" si="7"/>
        <v>#ERROR!</v>
      </c>
      <c r="AR83" s="33" t="str">
        <f>Table1[[#This Row],[2019 Scope 3 ]]</f>
        <v>#ERROR!</v>
      </c>
      <c r="AS83" s="34" t="str">
        <f t="shared" si="8"/>
        <v>#ERROR!</v>
      </c>
      <c r="AT83" s="35" t="str">
        <f t="shared" si="9"/>
        <v>#ERROR!</v>
      </c>
      <c r="BI83" s="19">
        <v>16158.0</v>
      </c>
    </row>
    <row r="84" ht="12.75" customHeight="1">
      <c r="A84" s="17">
        <f>companies!A84</f>
        <v>83</v>
      </c>
      <c r="B84" s="19" t="s">
        <v>1060</v>
      </c>
      <c r="C84" s="19" t="s">
        <v>1065</v>
      </c>
      <c r="D84" s="19" t="s">
        <v>1065</v>
      </c>
      <c r="E84" s="19" t="s">
        <v>1065</v>
      </c>
      <c r="F84" s="19" t="s">
        <v>1065</v>
      </c>
      <c r="G84" s="19" t="s">
        <v>1065</v>
      </c>
      <c r="H84" s="19" t="s">
        <v>1065</v>
      </c>
      <c r="I84" s="19" t="s">
        <v>1065</v>
      </c>
      <c r="J84" s="19" t="s">
        <v>1065</v>
      </c>
      <c r="K84" s="19" t="s">
        <v>1065</v>
      </c>
      <c r="L84" s="19" t="s">
        <v>1065</v>
      </c>
      <c r="M84" s="19" t="s">
        <v>1065</v>
      </c>
      <c r="N84" s="19" t="s">
        <v>1065</v>
      </c>
      <c r="O84" s="19" t="s">
        <v>1065</v>
      </c>
      <c r="P84" s="19" t="s">
        <v>1065</v>
      </c>
      <c r="Q84" s="19" t="s">
        <v>1065</v>
      </c>
      <c r="R84" s="19" t="s">
        <v>1065</v>
      </c>
      <c r="S84" s="19" t="s">
        <v>1065</v>
      </c>
      <c r="T84" s="19" t="s">
        <v>1065</v>
      </c>
      <c r="U84" s="19" t="s">
        <v>1065</v>
      </c>
      <c r="V84" s="19" t="s">
        <v>1065</v>
      </c>
      <c r="W84" s="29">
        <f t="shared" si="1"/>
        <v>0</v>
      </c>
      <c r="X84" s="29"/>
      <c r="Y84" s="29"/>
      <c r="Z84" s="29"/>
      <c r="AA84" s="29"/>
      <c r="AB84" s="29"/>
      <c r="AC84" s="29"/>
      <c r="AD84" s="29" t="e">
        <v>#N/A</v>
      </c>
      <c r="AE84" s="29" t="e">
        <v>#N/A</v>
      </c>
      <c r="AF84" s="30" t="str">
        <f>Table1[[#This Row],[2019 Scope 1 (MeT Co2)]]</f>
        <v>#ERROR!</v>
      </c>
      <c r="AG84" s="31" t="str">
        <f t="shared" si="2"/>
        <v>#ERROR!</v>
      </c>
      <c r="AH84" s="32" t="str">
        <f t="shared" si="3"/>
        <v>#ERROR!</v>
      </c>
      <c r="AI84" s="28"/>
      <c r="AJ84" s="28"/>
      <c r="AK84" s="29" t="e">
        <v>#N/A</v>
      </c>
      <c r="AL84" s="29" t="e">
        <v>#N/A</v>
      </c>
      <c r="AM84" s="30" t="str">
        <f>Table1[[#This Row],[2019 Scope 2 ]]</f>
        <v>#ERROR!</v>
      </c>
      <c r="AN84" s="31" t="str">
        <f t="shared" si="4"/>
        <v>#ERROR!</v>
      </c>
      <c r="AO84" s="32" t="str">
        <f t="shared" si="5"/>
        <v>#ERROR!</v>
      </c>
      <c r="AP84" s="31" t="str">
        <f t="shared" si="6"/>
        <v>#ERROR!</v>
      </c>
      <c r="AQ84" s="32" t="str">
        <f t="shared" si="7"/>
        <v>#ERROR!</v>
      </c>
      <c r="AR84" s="33" t="str">
        <f>Table1[[#This Row],[2019 Scope 3 ]]</f>
        <v>#ERROR!</v>
      </c>
      <c r="AS84" s="34" t="str">
        <f t="shared" si="8"/>
        <v>#ERROR!</v>
      </c>
      <c r="AT84" s="35" t="str">
        <f t="shared" si="9"/>
        <v>#ERROR!</v>
      </c>
    </row>
    <row r="85" ht="12.75" customHeight="1">
      <c r="A85" s="17">
        <f>companies!A85</f>
        <v>84</v>
      </c>
      <c r="B85" s="19" t="s">
        <v>1060</v>
      </c>
      <c r="C85" s="19">
        <v>16863.186</v>
      </c>
      <c r="D85" s="19">
        <v>249714.82</v>
      </c>
      <c r="E85" s="19">
        <v>249714.82</v>
      </c>
      <c r="F85" s="19" t="s">
        <v>25</v>
      </c>
      <c r="G85" s="19" t="s">
        <v>25</v>
      </c>
      <c r="H85" s="19">
        <v>11746.0</v>
      </c>
      <c r="I85" s="19" t="s">
        <v>25</v>
      </c>
      <c r="J85" s="19">
        <v>136900.0</v>
      </c>
      <c r="K85" s="19">
        <v>5154.0</v>
      </c>
      <c r="L85" s="19">
        <v>6531.0</v>
      </c>
      <c r="M85" s="29" t="s">
        <v>25</v>
      </c>
      <c r="N85" s="29" t="s">
        <v>25</v>
      </c>
      <c r="O85" s="29" t="s">
        <v>25</v>
      </c>
      <c r="P85" s="29" t="s">
        <v>25</v>
      </c>
      <c r="Q85" s="29" t="s">
        <v>25</v>
      </c>
      <c r="R85" s="19">
        <v>419157.0</v>
      </c>
      <c r="S85" s="29" t="s">
        <v>25</v>
      </c>
      <c r="T85" s="29" t="s">
        <v>25</v>
      </c>
      <c r="U85" s="29" t="s">
        <v>25</v>
      </c>
      <c r="V85" s="29" t="s">
        <v>25</v>
      </c>
      <c r="W85" s="29">
        <f t="shared" si="1"/>
        <v>579488</v>
      </c>
      <c r="X85" s="29"/>
      <c r="Y85" s="29"/>
      <c r="Z85" s="29"/>
      <c r="AA85" s="29"/>
      <c r="AB85" s="29"/>
      <c r="AC85" s="29"/>
      <c r="AD85" s="29" t="s">
        <v>1061</v>
      </c>
      <c r="AE85" s="29" t="s">
        <v>1062</v>
      </c>
      <c r="AF85" s="30" t="str">
        <f>Table1[[#This Row],[2019 Scope 1 (MeT Co2)]]</f>
        <v>#ERROR!</v>
      </c>
      <c r="AG85" s="31" t="str">
        <f t="shared" si="2"/>
        <v>#ERROR!</v>
      </c>
      <c r="AH85" s="32" t="str">
        <f t="shared" si="3"/>
        <v>#ERROR!</v>
      </c>
      <c r="AI85" s="28"/>
      <c r="AJ85" s="28"/>
      <c r="AK85" s="29" t="s">
        <v>1061</v>
      </c>
      <c r="AL85" s="29" t="s">
        <v>1062</v>
      </c>
      <c r="AM85" s="30" t="str">
        <f>Table1[[#This Row],[2019 Scope 2 ]]</f>
        <v>#ERROR!</v>
      </c>
      <c r="AN85" s="31" t="str">
        <f t="shared" si="4"/>
        <v>#ERROR!</v>
      </c>
      <c r="AO85" s="32" t="str">
        <f t="shared" si="5"/>
        <v>#ERROR!</v>
      </c>
      <c r="AP85" s="31" t="str">
        <f t="shared" si="6"/>
        <v>#ERROR!</v>
      </c>
      <c r="AQ85" s="32" t="str">
        <f t="shared" si="7"/>
        <v>#ERROR!</v>
      </c>
      <c r="AR85" s="33" t="str">
        <f>Table1[[#This Row],[2019 Scope 3 ]]</f>
        <v>#ERROR!</v>
      </c>
      <c r="AS85" s="34" t="str">
        <f t="shared" si="8"/>
        <v>#ERROR!</v>
      </c>
      <c r="AT85" s="35" t="str">
        <f t="shared" si="9"/>
        <v>#ERROR!</v>
      </c>
      <c r="BI85" s="16">
        <v>17069.0</v>
      </c>
    </row>
    <row r="86" ht="12.75" customHeight="1">
      <c r="A86" s="17">
        <f>companies!A86</f>
        <v>85</v>
      </c>
      <c r="B86" s="19" t="s">
        <v>1060</v>
      </c>
      <c r="C86" s="19">
        <v>8.8213565E7</v>
      </c>
      <c r="D86" s="19">
        <v>36845.0</v>
      </c>
      <c r="E86" s="19">
        <v>35568.0</v>
      </c>
      <c r="F86" s="19" t="s">
        <v>25</v>
      </c>
      <c r="G86" s="19" t="s">
        <v>25</v>
      </c>
      <c r="H86" s="19">
        <v>3423778.0</v>
      </c>
      <c r="I86" s="19" t="s">
        <v>25</v>
      </c>
      <c r="J86" s="19" t="s">
        <v>25</v>
      </c>
      <c r="K86" s="19" t="s">
        <v>25</v>
      </c>
      <c r="L86" s="19" t="s">
        <v>25</v>
      </c>
      <c r="M86" s="29">
        <v>88879.0</v>
      </c>
      <c r="N86" s="29" t="s">
        <v>25</v>
      </c>
      <c r="O86" s="29" t="s">
        <v>25</v>
      </c>
      <c r="P86" s="29">
        <v>3.5260791E7</v>
      </c>
      <c r="Q86" s="29" t="s">
        <v>25</v>
      </c>
      <c r="R86" s="19" t="s">
        <v>25</v>
      </c>
      <c r="S86" s="29" t="s">
        <v>25</v>
      </c>
      <c r="T86" s="29" t="s">
        <v>25</v>
      </c>
      <c r="U86" s="29" t="s">
        <v>25</v>
      </c>
      <c r="V86" s="29" t="s">
        <v>25</v>
      </c>
      <c r="W86" s="29">
        <f t="shared" si="1"/>
        <v>38773448</v>
      </c>
      <c r="X86" s="19"/>
      <c r="Y86" s="19"/>
      <c r="Z86" s="19"/>
      <c r="AA86" s="19"/>
      <c r="AB86" s="19"/>
      <c r="AC86" s="19"/>
      <c r="AD86" s="29" t="s">
        <v>25</v>
      </c>
      <c r="AE86" s="29" t="s">
        <v>25</v>
      </c>
      <c r="AF86" s="30" t="str">
        <f>Table1[[#This Row],[2019 Scope 1 (MeT Co2)]]</f>
        <v>#ERROR!</v>
      </c>
      <c r="AG86" s="31" t="str">
        <f t="shared" si="2"/>
        <v>#ERROR!</v>
      </c>
      <c r="AH86" s="32" t="str">
        <f t="shared" si="3"/>
        <v>#ERROR!</v>
      </c>
      <c r="AI86" s="28"/>
      <c r="AJ86" s="28"/>
      <c r="AK86" s="29" t="s">
        <v>25</v>
      </c>
      <c r="AL86" s="29" t="s">
        <v>25</v>
      </c>
      <c r="AM86" s="30" t="str">
        <f>Table1[[#This Row],[2019 Scope 2 ]]</f>
        <v>#ERROR!</v>
      </c>
      <c r="AN86" s="31" t="str">
        <f t="shared" si="4"/>
        <v>#ERROR!</v>
      </c>
      <c r="AO86" s="32" t="str">
        <f t="shared" si="5"/>
        <v>#ERROR!</v>
      </c>
      <c r="AP86" s="31" t="str">
        <f t="shared" si="6"/>
        <v>#ERROR!</v>
      </c>
      <c r="AQ86" s="32" t="str">
        <f t="shared" si="7"/>
        <v>#ERROR!</v>
      </c>
      <c r="AR86" s="33" t="str">
        <f>Table1[[#This Row],[2019 Scope 3 ]]</f>
        <v>#ERROR!</v>
      </c>
      <c r="AS86" s="34" t="str">
        <f t="shared" si="8"/>
        <v>#ERROR!</v>
      </c>
      <c r="AT86" s="35" t="str">
        <f t="shared" si="9"/>
        <v>#ERROR!</v>
      </c>
      <c r="BI86" s="16">
        <v>18951.0</v>
      </c>
    </row>
    <row r="87" ht="12.75" customHeight="1">
      <c r="A87" s="17">
        <f>companies!A87</f>
        <v>86</v>
      </c>
      <c r="B87" s="19" t="s">
        <v>1060</v>
      </c>
      <c r="C87" s="19">
        <v>381198.61</v>
      </c>
      <c r="D87" s="19">
        <v>790373.35</v>
      </c>
      <c r="E87" s="19">
        <v>281700.89</v>
      </c>
      <c r="F87" s="19">
        <v>8844532.71</v>
      </c>
      <c r="G87" s="19">
        <v>1549767.91</v>
      </c>
      <c r="H87" s="19">
        <v>1339261.73</v>
      </c>
      <c r="I87" s="19">
        <v>544171.31</v>
      </c>
      <c r="J87" s="19">
        <v>1022025.11</v>
      </c>
      <c r="K87" s="19">
        <v>19035.53</v>
      </c>
      <c r="L87" s="19">
        <v>821116.5</v>
      </c>
      <c r="M87" s="29" t="s">
        <v>25</v>
      </c>
      <c r="N87" s="29" t="s">
        <v>25</v>
      </c>
      <c r="O87" s="29">
        <v>62449.06</v>
      </c>
      <c r="P87" s="29">
        <v>149443.2</v>
      </c>
      <c r="Q87" s="29">
        <v>612189.99</v>
      </c>
      <c r="R87" s="19" t="s">
        <v>25</v>
      </c>
      <c r="S87" s="29" t="s">
        <v>25</v>
      </c>
      <c r="T87" s="29" t="s">
        <v>25</v>
      </c>
      <c r="U87" s="29" t="s">
        <v>25</v>
      </c>
      <c r="V87" s="29" t="s">
        <v>25</v>
      </c>
      <c r="W87" s="29">
        <f t="shared" si="1"/>
        <v>14963993.05</v>
      </c>
      <c r="X87" s="29"/>
      <c r="Y87" s="29"/>
      <c r="Z87" s="29"/>
      <c r="AA87" s="29"/>
      <c r="AB87" s="29"/>
      <c r="AC87" s="29"/>
      <c r="AD87" s="29" t="s">
        <v>25</v>
      </c>
      <c r="AE87" s="29" t="s">
        <v>25</v>
      </c>
      <c r="AF87" s="30" t="str">
        <f>Table1[[#This Row],[2019 Scope 1 (MeT Co2)]]</f>
        <v>#ERROR!</v>
      </c>
      <c r="AG87" s="31" t="str">
        <f t="shared" si="2"/>
        <v>#ERROR!</v>
      </c>
      <c r="AH87" s="32" t="str">
        <f t="shared" si="3"/>
        <v>#ERROR!</v>
      </c>
      <c r="AI87" s="28"/>
      <c r="AJ87" s="28"/>
      <c r="AK87" s="29" t="s">
        <v>25</v>
      </c>
      <c r="AL87" s="29" t="s">
        <v>25</v>
      </c>
      <c r="AM87" s="30" t="str">
        <f>Table1[[#This Row],[2019 Scope 2 ]]</f>
        <v>#ERROR!</v>
      </c>
      <c r="AN87" s="31" t="str">
        <f t="shared" si="4"/>
        <v>#ERROR!</v>
      </c>
      <c r="AO87" s="32" t="str">
        <f t="shared" si="5"/>
        <v>#ERROR!</v>
      </c>
      <c r="AP87" s="31" t="str">
        <f t="shared" si="6"/>
        <v>#ERROR!</v>
      </c>
      <c r="AQ87" s="32" t="str">
        <f t="shared" si="7"/>
        <v>#ERROR!</v>
      </c>
      <c r="AR87" s="33" t="str">
        <f>Table1[[#This Row],[2019 Scope 3 ]]</f>
        <v>#ERROR!</v>
      </c>
      <c r="AS87" s="34" t="str">
        <f t="shared" si="8"/>
        <v>#ERROR!</v>
      </c>
      <c r="AT87" s="35" t="str">
        <f t="shared" si="9"/>
        <v>#ERROR!</v>
      </c>
      <c r="BI87" s="16">
        <v>17652.0</v>
      </c>
    </row>
    <row r="88" ht="12.75" customHeight="1">
      <c r="A88" s="17">
        <f>companies!A88</f>
        <v>87</v>
      </c>
      <c r="B88" s="19" t="s">
        <v>1060</v>
      </c>
      <c r="C88" s="19">
        <v>752552.0</v>
      </c>
      <c r="D88" s="19">
        <v>1680682.0</v>
      </c>
      <c r="E88" s="19">
        <v>1545898.0</v>
      </c>
      <c r="F88" s="19">
        <v>2.7389E7</v>
      </c>
      <c r="G88" s="19">
        <v>743000.0</v>
      </c>
      <c r="H88" s="19">
        <v>509000.0</v>
      </c>
      <c r="I88" s="19">
        <v>1655000.0</v>
      </c>
      <c r="J88" s="19">
        <v>271000.0</v>
      </c>
      <c r="K88" s="19">
        <v>22000.0</v>
      </c>
      <c r="L88" s="19">
        <v>585000.0</v>
      </c>
      <c r="M88" s="29" t="s">
        <v>25</v>
      </c>
      <c r="N88" s="29">
        <v>5672000.0</v>
      </c>
      <c r="O88" s="29" t="s">
        <v>25</v>
      </c>
      <c r="P88" s="29">
        <v>1.2897E7</v>
      </c>
      <c r="Q88" s="29">
        <v>2306000.0</v>
      </c>
      <c r="R88" s="19" t="s">
        <v>25</v>
      </c>
      <c r="S88" s="29" t="s">
        <v>25</v>
      </c>
      <c r="T88" s="29" t="s">
        <v>25</v>
      </c>
      <c r="U88" s="29" t="s">
        <v>25</v>
      </c>
      <c r="V88" s="29" t="s">
        <v>25</v>
      </c>
      <c r="W88" s="29">
        <f t="shared" si="1"/>
        <v>52049000</v>
      </c>
      <c r="X88" s="19"/>
      <c r="Y88" s="19"/>
      <c r="Z88" s="19"/>
      <c r="AA88" s="19"/>
      <c r="AB88" s="19"/>
      <c r="AC88" s="19"/>
      <c r="AD88" s="29" t="s">
        <v>25</v>
      </c>
      <c r="AE88" s="29" t="s">
        <v>25</v>
      </c>
      <c r="AF88" s="30" t="str">
        <f>Table1[[#This Row],[2019 Scope 1 (MeT Co2)]]</f>
        <v>#ERROR!</v>
      </c>
      <c r="AG88" s="31" t="str">
        <f t="shared" si="2"/>
        <v>#ERROR!</v>
      </c>
      <c r="AH88" s="32" t="str">
        <f t="shared" si="3"/>
        <v>#ERROR!</v>
      </c>
      <c r="AI88" s="28"/>
      <c r="AJ88" s="28"/>
      <c r="AK88" s="29" t="s">
        <v>25</v>
      </c>
      <c r="AL88" s="29" t="s">
        <v>25</v>
      </c>
      <c r="AM88" s="30" t="str">
        <f>Table1[[#This Row],[2019 Scope 2 ]]</f>
        <v>#ERROR!</v>
      </c>
      <c r="AN88" s="31" t="str">
        <f t="shared" si="4"/>
        <v>#ERROR!</v>
      </c>
      <c r="AO88" s="32" t="str">
        <f t="shared" si="5"/>
        <v>#ERROR!</v>
      </c>
      <c r="AP88" s="31" t="str">
        <f t="shared" si="6"/>
        <v>#ERROR!</v>
      </c>
      <c r="AQ88" s="32" t="str">
        <f t="shared" si="7"/>
        <v>#ERROR!</v>
      </c>
      <c r="AR88" s="33" t="str">
        <f>Table1[[#This Row],[2019 Scope 3 ]]</f>
        <v>#ERROR!</v>
      </c>
      <c r="AS88" s="34" t="str">
        <f t="shared" si="8"/>
        <v>#ERROR!</v>
      </c>
      <c r="AT88" s="35" t="str">
        <f t="shared" si="9"/>
        <v>#ERROR!</v>
      </c>
      <c r="BI88" s="16">
        <v>18320.0</v>
      </c>
    </row>
    <row r="89" ht="12.75" customHeight="1">
      <c r="A89" s="17">
        <f>companies!A89</f>
        <v>88</v>
      </c>
      <c r="B89" s="19" t="s">
        <v>1060</v>
      </c>
      <c r="C89" s="19">
        <v>966579.0</v>
      </c>
      <c r="D89" s="19">
        <v>1054751.0</v>
      </c>
      <c r="E89" s="19">
        <v>13430.0</v>
      </c>
      <c r="F89" s="19" t="s">
        <v>25</v>
      </c>
      <c r="G89" s="19" t="s">
        <v>25</v>
      </c>
      <c r="H89" s="19" t="s">
        <v>25</v>
      </c>
      <c r="I89" s="19" t="s">
        <v>25</v>
      </c>
      <c r="J89" s="19" t="s">
        <v>25</v>
      </c>
      <c r="K89" s="19">
        <v>27544.0</v>
      </c>
      <c r="L89" s="19" t="s">
        <v>25</v>
      </c>
      <c r="M89" s="29" t="s">
        <v>25</v>
      </c>
      <c r="N89" s="29" t="s">
        <v>25</v>
      </c>
      <c r="O89" s="29" t="s">
        <v>25</v>
      </c>
      <c r="P89" s="29" t="s">
        <v>25</v>
      </c>
      <c r="Q89" s="29" t="s">
        <v>25</v>
      </c>
      <c r="R89" s="19" t="s">
        <v>25</v>
      </c>
      <c r="S89" s="29" t="s">
        <v>25</v>
      </c>
      <c r="T89" s="29" t="s">
        <v>25</v>
      </c>
      <c r="U89" s="29" t="s">
        <v>25</v>
      </c>
      <c r="V89" s="29" t="s">
        <v>25</v>
      </c>
      <c r="W89" s="29">
        <f t="shared" si="1"/>
        <v>27544</v>
      </c>
      <c r="X89" s="19"/>
      <c r="Y89" s="19"/>
      <c r="Z89" s="19"/>
      <c r="AA89" s="19"/>
      <c r="AB89" s="19"/>
      <c r="AC89" s="19"/>
      <c r="AD89" s="29" t="s">
        <v>25</v>
      </c>
      <c r="AE89" s="29" t="s">
        <v>25</v>
      </c>
      <c r="AF89" s="30" t="str">
        <f>Table1[[#This Row],[2019 Scope 1 (MeT Co2)]]</f>
        <v>#ERROR!</v>
      </c>
      <c r="AG89" s="31" t="str">
        <f t="shared" si="2"/>
        <v>#ERROR!</v>
      </c>
      <c r="AH89" s="32" t="str">
        <f t="shared" si="3"/>
        <v>#ERROR!</v>
      </c>
      <c r="AI89" s="28"/>
      <c r="AJ89" s="28"/>
      <c r="AK89" s="29" t="s">
        <v>25</v>
      </c>
      <c r="AL89" s="29" t="s">
        <v>25</v>
      </c>
      <c r="AM89" s="30" t="str">
        <f>Table1[[#This Row],[2019 Scope 2 ]]</f>
        <v>#ERROR!</v>
      </c>
      <c r="AN89" s="31" t="str">
        <f t="shared" si="4"/>
        <v>#ERROR!</v>
      </c>
      <c r="AO89" s="32" t="str">
        <f t="shared" si="5"/>
        <v>#ERROR!</v>
      </c>
      <c r="AP89" s="31" t="str">
        <f t="shared" si="6"/>
        <v>#ERROR!</v>
      </c>
      <c r="AQ89" s="32" t="str">
        <f t="shared" si="7"/>
        <v>#ERROR!</v>
      </c>
      <c r="AR89" s="33" t="str">
        <f>Table1[[#This Row],[2019 Scope 3 ]]</f>
        <v>#ERROR!</v>
      </c>
      <c r="AS89" s="34" t="str">
        <f t="shared" si="8"/>
        <v>#ERROR!</v>
      </c>
      <c r="AT89" s="35" t="str">
        <f t="shared" si="9"/>
        <v>#ERROR!</v>
      </c>
      <c r="BI89" s="16">
        <v>18640.0</v>
      </c>
    </row>
    <row r="90" ht="12.75" customHeight="1">
      <c r="A90" s="17">
        <f>companies!A90</f>
        <v>89</v>
      </c>
      <c r="B90" s="19" t="s">
        <v>1060</v>
      </c>
      <c r="C90" s="19">
        <v>8102.0</v>
      </c>
      <c r="D90" s="19">
        <v>130205.0</v>
      </c>
      <c r="E90" s="19">
        <v>3397.0</v>
      </c>
      <c r="F90" s="19">
        <v>292735.0</v>
      </c>
      <c r="G90" s="19">
        <v>37090.0</v>
      </c>
      <c r="H90" s="19">
        <v>12987.0</v>
      </c>
      <c r="I90" s="19">
        <v>1719.0</v>
      </c>
      <c r="J90" s="19">
        <v>638.0</v>
      </c>
      <c r="K90" s="19">
        <v>14605.0</v>
      </c>
      <c r="L90" s="19">
        <v>72090.0</v>
      </c>
      <c r="M90" s="29" t="s">
        <v>25</v>
      </c>
      <c r="N90" s="29" t="s">
        <v>25</v>
      </c>
      <c r="O90" s="29" t="s">
        <v>25</v>
      </c>
      <c r="P90" s="29" t="s">
        <v>25</v>
      </c>
      <c r="Q90" s="29" t="s">
        <v>25</v>
      </c>
      <c r="R90" s="19">
        <v>3095.0</v>
      </c>
      <c r="S90" s="29" t="s">
        <v>25</v>
      </c>
      <c r="T90" s="29" t="s">
        <v>25</v>
      </c>
      <c r="U90" s="29" t="s">
        <v>25</v>
      </c>
      <c r="V90" s="29" t="s">
        <v>25</v>
      </c>
      <c r="W90" s="29">
        <f t="shared" si="1"/>
        <v>434959</v>
      </c>
      <c r="X90" s="19"/>
      <c r="Y90" s="19"/>
      <c r="Z90" s="19"/>
      <c r="AA90" s="19"/>
      <c r="AB90" s="19"/>
      <c r="AC90" s="19"/>
      <c r="AD90" s="29" t="s">
        <v>25</v>
      </c>
      <c r="AE90" s="29" t="s">
        <v>25</v>
      </c>
      <c r="AF90" s="30" t="str">
        <f>Table1[[#This Row],[2019 Scope 1 (MeT Co2)]]</f>
        <v>#ERROR!</v>
      </c>
      <c r="AG90" s="31" t="str">
        <f t="shared" si="2"/>
        <v>#ERROR!</v>
      </c>
      <c r="AH90" s="32" t="str">
        <f t="shared" si="3"/>
        <v>#ERROR!</v>
      </c>
      <c r="AI90" s="28"/>
      <c r="AJ90" s="28"/>
      <c r="AK90" s="29" t="s">
        <v>25</v>
      </c>
      <c r="AL90" s="29" t="s">
        <v>25</v>
      </c>
      <c r="AM90" s="30" t="str">
        <f>Table1[[#This Row],[2019 Scope 2 ]]</f>
        <v>#ERROR!</v>
      </c>
      <c r="AN90" s="31" t="str">
        <f t="shared" si="4"/>
        <v>#ERROR!</v>
      </c>
      <c r="AO90" s="32" t="str">
        <f t="shared" si="5"/>
        <v>#ERROR!</v>
      </c>
      <c r="AP90" s="31" t="str">
        <f t="shared" si="6"/>
        <v>#ERROR!</v>
      </c>
      <c r="AQ90" s="32" t="str">
        <f t="shared" si="7"/>
        <v>#ERROR!</v>
      </c>
      <c r="AR90" s="33" t="str">
        <f>Table1[[#This Row],[2019 Scope 3 ]]</f>
        <v>#ERROR!</v>
      </c>
      <c r="AS90" s="34" t="str">
        <f t="shared" si="8"/>
        <v>#ERROR!</v>
      </c>
      <c r="AT90" s="35" t="str">
        <f t="shared" si="9"/>
        <v>#ERROR!</v>
      </c>
      <c r="BI90" s="16">
        <v>1464.0</v>
      </c>
    </row>
    <row r="91" ht="12.75" customHeight="1">
      <c r="A91" s="17">
        <f>companies!A91</f>
        <v>90</v>
      </c>
      <c r="B91" s="19" t="s">
        <v>1060</v>
      </c>
      <c r="C91" s="19">
        <v>855073.0</v>
      </c>
      <c r="D91" s="19">
        <v>1010307.0</v>
      </c>
      <c r="E91" s="19">
        <v>931544.0</v>
      </c>
      <c r="F91" s="19" t="s">
        <v>25</v>
      </c>
      <c r="G91" s="19" t="s">
        <v>25</v>
      </c>
      <c r="H91" s="19" t="s">
        <v>25</v>
      </c>
      <c r="I91" s="19" t="s">
        <v>25</v>
      </c>
      <c r="J91" s="19" t="s">
        <v>25</v>
      </c>
      <c r="K91" s="19" t="s">
        <v>25</v>
      </c>
      <c r="L91" s="19" t="s">
        <v>25</v>
      </c>
      <c r="M91" s="29" t="s">
        <v>25</v>
      </c>
      <c r="N91" s="29" t="s">
        <v>25</v>
      </c>
      <c r="O91" s="29" t="s">
        <v>25</v>
      </c>
      <c r="P91" s="29" t="s">
        <v>25</v>
      </c>
      <c r="Q91" s="29" t="s">
        <v>25</v>
      </c>
      <c r="R91" s="19" t="s">
        <v>25</v>
      </c>
      <c r="S91" s="29" t="s">
        <v>25</v>
      </c>
      <c r="T91" s="29" t="s">
        <v>25</v>
      </c>
      <c r="U91" s="29" t="s">
        <v>25</v>
      </c>
      <c r="V91" s="29" t="s">
        <v>25</v>
      </c>
      <c r="W91" s="29">
        <f t="shared" si="1"/>
        <v>0</v>
      </c>
      <c r="X91" s="19"/>
      <c r="Y91" s="19"/>
      <c r="Z91" s="19"/>
      <c r="AA91" s="19"/>
      <c r="AB91" s="19"/>
      <c r="AC91" s="19"/>
      <c r="AD91" s="29" t="s">
        <v>25</v>
      </c>
      <c r="AE91" s="29" t="s">
        <v>25</v>
      </c>
      <c r="AF91" s="30" t="str">
        <f>Table1[[#This Row],[2019 Scope 1 (MeT Co2)]]</f>
        <v>#ERROR!</v>
      </c>
      <c r="AG91" s="31" t="str">
        <f t="shared" si="2"/>
        <v>#ERROR!</v>
      </c>
      <c r="AH91" s="32" t="str">
        <f t="shared" si="3"/>
        <v>#ERROR!</v>
      </c>
      <c r="AI91" s="28"/>
      <c r="AJ91" s="28"/>
      <c r="AK91" s="29" t="s">
        <v>25</v>
      </c>
      <c r="AL91" s="29" t="s">
        <v>25</v>
      </c>
      <c r="AM91" s="30" t="str">
        <f>Table1[[#This Row],[2019 Scope 2 ]]</f>
        <v>#ERROR!</v>
      </c>
      <c r="AN91" s="31" t="str">
        <f t="shared" si="4"/>
        <v>#ERROR!</v>
      </c>
      <c r="AO91" s="32" t="str">
        <f t="shared" si="5"/>
        <v>#ERROR!</v>
      </c>
      <c r="AP91" s="31" t="str">
        <f t="shared" si="6"/>
        <v>#ERROR!</v>
      </c>
      <c r="AQ91" s="32" t="str">
        <f t="shared" si="7"/>
        <v>#ERROR!</v>
      </c>
      <c r="AR91" s="33" t="str">
        <f>Table1[[#This Row],[2019 Scope 3 ]]</f>
        <v>#ERROR!</v>
      </c>
      <c r="AS91" s="34" t="str">
        <f t="shared" si="8"/>
        <v>#ERROR!</v>
      </c>
      <c r="AT91" s="35" t="str">
        <f t="shared" si="9"/>
        <v>#ERROR!</v>
      </c>
      <c r="BI91" s="16">
        <v>20384.0</v>
      </c>
    </row>
    <row r="92" ht="12.75" customHeight="1">
      <c r="A92" s="17">
        <f>companies!A92</f>
        <v>91</v>
      </c>
      <c r="B92" s="19" t="s">
        <v>1060</v>
      </c>
      <c r="C92" s="19" t="s">
        <v>1065</v>
      </c>
      <c r="D92" s="19" t="s">
        <v>1065</v>
      </c>
      <c r="E92" s="19" t="s">
        <v>1065</v>
      </c>
      <c r="F92" s="19" t="s">
        <v>1065</v>
      </c>
      <c r="G92" s="19" t="s">
        <v>1065</v>
      </c>
      <c r="H92" s="19" t="s">
        <v>1065</v>
      </c>
      <c r="I92" s="19" t="s">
        <v>1065</v>
      </c>
      <c r="J92" s="19" t="s">
        <v>1065</v>
      </c>
      <c r="K92" s="19" t="s">
        <v>1065</v>
      </c>
      <c r="L92" s="19" t="s">
        <v>1065</v>
      </c>
      <c r="M92" s="19" t="s">
        <v>1065</v>
      </c>
      <c r="N92" s="19" t="s">
        <v>1065</v>
      </c>
      <c r="O92" s="19" t="s">
        <v>1065</v>
      </c>
      <c r="P92" s="19" t="s">
        <v>1065</v>
      </c>
      <c r="Q92" s="19" t="s">
        <v>1065</v>
      </c>
      <c r="R92" s="19" t="s">
        <v>1065</v>
      </c>
      <c r="S92" s="19" t="s">
        <v>1065</v>
      </c>
      <c r="T92" s="19" t="s">
        <v>1065</v>
      </c>
      <c r="U92" s="19" t="s">
        <v>1065</v>
      </c>
      <c r="V92" s="19" t="s">
        <v>1065</v>
      </c>
      <c r="W92" s="29">
        <f t="shared" si="1"/>
        <v>0</v>
      </c>
      <c r="X92" s="29"/>
      <c r="Y92" s="29"/>
      <c r="Z92" s="29"/>
      <c r="AA92" s="29"/>
      <c r="AB92" s="29"/>
      <c r="AC92" s="29"/>
      <c r="AD92" s="29" t="e">
        <v>#N/A</v>
      </c>
      <c r="AE92" s="29" t="e">
        <v>#N/A</v>
      </c>
      <c r="AF92" s="30" t="str">
        <f>Table1[[#This Row],[2019 Scope 1 (MeT Co2)]]</f>
        <v>#ERROR!</v>
      </c>
      <c r="AG92" s="31" t="str">
        <f t="shared" si="2"/>
        <v>#ERROR!</v>
      </c>
      <c r="AH92" s="32" t="str">
        <f t="shared" si="3"/>
        <v>#ERROR!</v>
      </c>
      <c r="AI92" s="28"/>
      <c r="AJ92" s="28"/>
      <c r="AK92" s="29" t="e">
        <v>#N/A</v>
      </c>
      <c r="AL92" s="29" t="e">
        <v>#N/A</v>
      </c>
      <c r="AM92" s="30" t="str">
        <f>Table1[[#This Row],[2019 Scope 2 ]]</f>
        <v>#ERROR!</v>
      </c>
      <c r="AN92" s="31" t="str">
        <f t="shared" si="4"/>
        <v>#ERROR!</v>
      </c>
      <c r="AO92" s="32" t="str">
        <f t="shared" si="5"/>
        <v>#ERROR!</v>
      </c>
      <c r="AP92" s="31" t="str">
        <f t="shared" si="6"/>
        <v>#ERROR!</v>
      </c>
      <c r="AQ92" s="32" t="str">
        <f t="shared" si="7"/>
        <v>#ERROR!</v>
      </c>
      <c r="AR92" s="33" t="str">
        <f>Table1[[#This Row],[2019 Scope 3 ]]</f>
        <v>#ERROR!</v>
      </c>
      <c r="AS92" s="34" t="str">
        <f t="shared" si="8"/>
        <v>#ERROR!</v>
      </c>
      <c r="AT92" s="35" t="str">
        <f t="shared" si="9"/>
        <v>#ERROR!</v>
      </c>
    </row>
    <row r="93" ht="12.75" customHeight="1">
      <c r="A93" s="17">
        <f>companies!A93</f>
        <v>92</v>
      </c>
      <c r="B93" s="19" t="s">
        <v>1060</v>
      </c>
      <c r="C93" s="19">
        <v>1.0066595E7</v>
      </c>
      <c r="D93" s="19">
        <v>344024.0</v>
      </c>
      <c r="E93" s="19">
        <v>314075.0</v>
      </c>
      <c r="F93" s="19">
        <v>11587.0</v>
      </c>
      <c r="G93" s="19">
        <v>197684.0</v>
      </c>
      <c r="H93" s="19">
        <v>2486703.0</v>
      </c>
      <c r="I93" s="19">
        <v>7967.0</v>
      </c>
      <c r="J93" s="19">
        <v>452268.0</v>
      </c>
      <c r="K93" s="19">
        <v>15499.0</v>
      </c>
      <c r="L93" s="19">
        <v>3712.0</v>
      </c>
      <c r="M93" s="29" t="s">
        <v>25</v>
      </c>
      <c r="N93" s="29" t="s">
        <v>25</v>
      </c>
      <c r="O93" s="29" t="s">
        <v>25</v>
      </c>
      <c r="P93" s="29" t="s">
        <v>25</v>
      </c>
      <c r="Q93" s="29" t="s">
        <v>25</v>
      </c>
      <c r="R93" s="19" t="s">
        <v>25</v>
      </c>
      <c r="S93" s="29" t="s">
        <v>25</v>
      </c>
      <c r="T93" s="29" t="s">
        <v>25</v>
      </c>
      <c r="U93" s="29" t="s">
        <v>25</v>
      </c>
      <c r="V93" s="29" t="s">
        <v>25</v>
      </c>
      <c r="W93" s="29">
        <f t="shared" si="1"/>
        <v>3175420</v>
      </c>
      <c r="X93" s="19"/>
      <c r="Y93" s="19"/>
      <c r="Z93" s="19"/>
      <c r="AA93" s="19"/>
      <c r="AB93" s="19"/>
      <c r="AC93" s="19"/>
      <c r="AD93" s="29" t="s">
        <v>25</v>
      </c>
      <c r="AE93" s="29" t="s">
        <v>25</v>
      </c>
      <c r="AF93" s="30" t="str">
        <f>Table1[[#This Row],[2019 Scope 1 (MeT Co2)]]</f>
        <v>#ERROR!</v>
      </c>
      <c r="AG93" s="31" t="str">
        <f t="shared" si="2"/>
        <v>#ERROR!</v>
      </c>
      <c r="AH93" s="32" t="str">
        <f t="shared" si="3"/>
        <v>#ERROR!</v>
      </c>
      <c r="AI93" s="28"/>
      <c r="AJ93" s="28"/>
      <c r="AK93" s="29" t="s">
        <v>25</v>
      </c>
      <c r="AL93" s="29" t="s">
        <v>25</v>
      </c>
      <c r="AM93" s="30" t="str">
        <f>Table1[[#This Row],[2019 Scope 2 ]]</f>
        <v>#ERROR!</v>
      </c>
      <c r="AN93" s="31" t="str">
        <f t="shared" si="4"/>
        <v>#ERROR!</v>
      </c>
      <c r="AO93" s="36" t="str">
        <f t="shared" si="5"/>
        <v>#ERROR!</v>
      </c>
      <c r="AP93" s="31" t="str">
        <f t="shared" si="6"/>
        <v>#ERROR!</v>
      </c>
      <c r="AQ93" s="36" t="str">
        <f t="shared" si="7"/>
        <v>#ERROR!</v>
      </c>
      <c r="AR93" s="33" t="str">
        <f>Table1[[#This Row],[2019 Scope 3 ]]</f>
        <v>#ERROR!</v>
      </c>
      <c r="AS93" s="34" t="str">
        <f t="shared" si="8"/>
        <v>#ERROR!</v>
      </c>
      <c r="AT93" s="35" t="str">
        <f t="shared" si="9"/>
        <v>#ERROR!</v>
      </c>
      <c r="BI93" s="19">
        <v>19845.0</v>
      </c>
    </row>
    <row r="94" ht="12.75" customHeight="1">
      <c r="A94" s="17">
        <f>companies!A94</f>
        <v>93</v>
      </c>
      <c r="B94" s="19" t="s">
        <v>1060</v>
      </c>
      <c r="C94" s="19">
        <v>17709.0</v>
      </c>
      <c r="D94" s="19">
        <v>153004.0</v>
      </c>
      <c r="E94" s="19">
        <v>149418.0</v>
      </c>
      <c r="F94" s="19" t="s">
        <v>25</v>
      </c>
      <c r="G94" s="19" t="s">
        <v>25</v>
      </c>
      <c r="H94" s="19" t="s">
        <v>25</v>
      </c>
      <c r="I94" s="19" t="s">
        <v>25</v>
      </c>
      <c r="J94" s="19">
        <v>25934.0</v>
      </c>
      <c r="K94" s="19">
        <v>63005.0</v>
      </c>
      <c r="L94" s="19">
        <v>252683.0</v>
      </c>
      <c r="M94" s="29">
        <v>88189.0</v>
      </c>
      <c r="N94" s="29" t="s">
        <v>25</v>
      </c>
      <c r="O94" s="29" t="s">
        <v>25</v>
      </c>
      <c r="P94" s="29" t="s">
        <v>25</v>
      </c>
      <c r="Q94" s="29" t="s">
        <v>25</v>
      </c>
      <c r="R94" s="19" t="s">
        <v>25</v>
      </c>
      <c r="S94" s="29" t="s">
        <v>25</v>
      </c>
      <c r="T94" s="29" t="s">
        <v>25</v>
      </c>
      <c r="U94" s="29" t="s">
        <v>25</v>
      </c>
      <c r="V94" s="29" t="s">
        <v>25</v>
      </c>
      <c r="W94" s="29">
        <f t="shared" si="1"/>
        <v>429811</v>
      </c>
      <c r="X94" s="19"/>
      <c r="Y94" s="19"/>
      <c r="Z94" s="19"/>
      <c r="AA94" s="19"/>
      <c r="AB94" s="19"/>
      <c r="AC94" s="19"/>
      <c r="AD94" s="29" t="s">
        <v>25</v>
      </c>
      <c r="AE94" s="29" t="s">
        <v>25</v>
      </c>
      <c r="AF94" s="30" t="str">
        <f>Table1[[#This Row],[2019 Scope 1 (MeT Co2)]]</f>
        <v>#ERROR!</v>
      </c>
      <c r="AG94" s="31" t="str">
        <f t="shared" si="2"/>
        <v>#ERROR!</v>
      </c>
      <c r="AH94" s="32" t="str">
        <f t="shared" si="3"/>
        <v>#ERROR!</v>
      </c>
      <c r="AI94" s="28"/>
      <c r="AJ94" s="28"/>
      <c r="AK94" s="29" t="s">
        <v>25</v>
      </c>
      <c r="AL94" s="29" t="s">
        <v>25</v>
      </c>
      <c r="AM94" s="30" t="str">
        <f>Table1[[#This Row],[2019 Scope 2 ]]</f>
        <v>#ERROR!</v>
      </c>
      <c r="AN94" s="31" t="str">
        <f t="shared" si="4"/>
        <v>#ERROR!</v>
      </c>
      <c r="AO94" s="32" t="str">
        <f t="shared" si="5"/>
        <v>#ERROR!</v>
      </c>
      <c r="AP94" s="31" t="str">
        <f t="shared" si="6"/>
        <v>#ERROR!</v>
      </c>
      <c r="AQ94" s="32" t="str">
        <f t="shared" si="7"/>
        <v>#ERROR!</v>
      </c>
      <c r="AR94" s="33" t="str">
        <f>Table1[[#This Row],[2019 Scope 3 ]]</f>
        <v>#ERROR!</v>
      </c>
      <c r="AS94" s="34" t="str">
        <f t="shared" si="8"/>
        <v>#ERROR!</v>
      </c>
      <c r="AT94" s="35" t="str">
        <f t="shared" si="9"/>
        <v>#ERROR!</v>
      </c>
      <c r="BI94" s="16">
        <v>19858.0</v>
      </c>
    </row>
    <row r="95" ht="12.75" customHeight="1">
      <c r="A95" s="17">
        <f>companies!A95</f>
        <v>94</v>
      </c>
      <c r="B95" s="19" t="s">
        <v>1060</v>
      </c>
      <c r="C95" s="19">
        <v>1.4223E7</v>
      </c>
      <c r="D95" s="19">
        <v>754000.0</v>
      </c>
      <c r="E95" s="19">
        <v>731000.0</v>
      </c>
      <c r="F95" s="19">
        <v>3122000.0</v>
      </c>
      <c r="G95" s="19">
        <v>4629000.0</v>
      </c>
      <c r="H95" s="19">
        <v>2820000.0</v>
      </c>
      <c r="I95" s="19">
        <v>8198000.0</v>
      </c>
      <c r="J95" s="19">
        <v>25000.0</v>
      </c>
      <c r="K95" s="19">
        <v>69000.0</v>
      </c>
      <c r="L95" s="19">
        <v>2079000.0</v>
      </c>
      <c r="M95" s="29" t="s">
        <v>25</v>
      </c>
      <c r="N95" s="29" t="s">
        <v>25</v>
      </c>
      <c r="O95" s="29" t="s">
        <v>25</v>
      </c>
      <c r="P95" s="29" t="s">
        <v>25</v>
      </c>
      <c r="Q95" s="29">
        <v>9000.0</v>
      </c>
      <c r="R95" s="19" t="s">
        <v>25</v>
      </c>
      <c r="S95" s="29">
        <v>57000.0</v>
      </c>
      <c r="T95" s="29" t="s">
        <v>25</v>
      </c>
      <c r="U95" s="29" t="s">
        <v>25</v>
      </c>
      <c r="V95" s="29" t="s">
        <v>25</v>
      </c>
      <c r="W95" s="29">
        <f t="shared" si="1"/>
        <v>21008000</v>
      </c>
      <c r="X95" s="19"/>
      <c r="Y95" s="19"/>
      <c r="Z95" s="19"/>
      <c r="AA95" s="19"/>
      <c r="AB95" s="19"/>
      <c r="AC95" s="19"/>
      <c r="AD95" s="29" t="s">
        <v>25</v>
      </c>
      <c r="AE95" s="29" t="s">
        <v>25</v>
      </c>
      <c r="AF95" s="30" t="str">
        <f>Table1[[#This Row],[2019 Scope 1 (MeT Co2)]]</f>
        <v>#ERROR!</v>
      </c>
      <c r="AG95" s="31" t="str">
        <f t="shared" si="2"/>
        <v>#ERROR!</v>
      </c>
      <c r="AH95" s="32" t="str">
        <f t="shared" si="3"/>
        <v>#ERROR!</v>
      </c>
      <c r="AI95" s="28"/>
      <c r="AJ95" s="28"/>
      <c r="AK95" s="29" t="s">
        <v>25</v>
      </c>
      <c r="AL95" s="29" t="s">
        <v>25</v>
      </c>
      <c r="AM95" s="30" t="str">
        <f>Table1[[#This Row],[2019 Scope 2 ]]</f>
        <v>#ERROR!</v>
      </c>
      <c r="AN95" s="31" t="str">
        <f t="shared" si="4"/>
        <v>#ERROR!</v>
      </c>
      <c r="AO95" s="32" t="str">
        <f t="shared" si="5"/>
        <v>#ERROR!</v>
      </c>
      <c r="AP95" s="31" t="str">
        <f t="shared" si="6"/>
        <v>#ERROR!</v>
      </c>
      <c r="AQ95" s="32" t="str">
        <f t="shared" si="7"/>
        <v>#ERROR!</v>
      </c>
      <c r="AR95" s="33" t="str">
        <f>Table1[[#This Row],[2019 Scope 3 ]]</f>
        <v>#ERROR!</v>
      </c>
      <c r="AS95" s="34" t="str">
        <f t="shared" si="8"/>
        <v>#ERROR!</v>
      </c>
      <c r="AT95" s="35" t="str">
        <f t="shared" si="9"/>
        <v>#ERROR!</v>
      </c>
      <c r="BI95" s="16">
        <v>19898.0</v>
      </c>
    </row>
    <row r="96" ht="12.75" customHeight="1">
      <c r="A96" s="17">
        <f>companies!A96</f>
        <v>95</v>
      </c>
      <c r="B96" s="19" t="s">
        <v>1060</v>
      </c>
      <c r="C96" s="19">
        <v>56482.0</v>
      </c>
      <c r="D96" s="19">
        <v>255929.0</v>
      </c>
      <c r="E96" s="19">
        <v>176447.0</v>
      </c>
      <c r="F96" s="19" t="s">
        <v>25</v>
      </c>
      <c r="G96" s="19" t="s">
        <v>25</v>
      </c>
      <c r="H96" s="19" t="s">
        <v>25</v>
      </c>
      <c r="I96" s="19" t="s">
        <v>25</v>
      </c>
      <c r="J96" s="19">
        <v>8528.0</v>
      </c>
      <c r="K96" s="19">
        <v>38762.0</v>
      </c>
      <c r="L96" s="19">
        <v>79195.0</v>
      </c>
      <c r="M96" s="29" t="s">
        <v>25</v>
      </c>
      <c r="N96" s="29" t="s">
        <v>25</v>
      </c>
      <c r="O96" s="29" t="s">
        <v>25</v>
      </c>
      <c r="P96" s="29" t="s">
        <v>25</v>
      </c>
      <c r="Q96" s="29" t="s">
        <v>25</v>
      </c>
      <c r="R96" s="19">
        <v>44088.0</v>
      </c>
      <c r="S96" s="29" t="s">
        <v>25</v>
      </c>
      <c r="T96" s="29" t="s">
        <v>25</v>
      </c>
      <c r="U96" s="29" t="s">
        <v>25</v>
      </c>
      <c r="V96" s="29" t="s">
        <v>25</v>
      </c>
      <c r="W96" s="29">
        <f t="shared" si="1"/>
        <v>170573</v>
      </c>
      <c r="X96" s="19"/>
      <c r="Y96" s="19"/>
      <c r="Z96" s="19"/>
      <c r="AA96" s="19"/>
      <c r="AB96" s="19"/>
      <c r="AC96" s="19"/>
      <c r="AD96" s="29" t="s">
        <v>1061</v>
      </c>
      <c r="AE96" s="29" t="s">
        <v>1062</v>
      </c>
      <c r="AF96" s="30" t="str">
        <f>Table1[[#This Row],[2019 Scope 1 (MeT Co2)]]</f>
        <v>#ERROR!</v>
      </c>
      <c r="AG96" s="31" t="str">
        <f t="shared" si="2"/>
        <v>#ERROR!</v>
      </c>
      <c r="AH96" s="32" t="str">
        <f t="shared" si="3"/>
        <v>#ERROR!</v>
      </c>
      <c r="AI96" s="28"/>
      <c r="AJ96" s="28"/>
      <c r="AK96" s="29" t="s">
        <v>1061</v>
      </c>
      <c r="AL96" s="29" t="s">
        <v>1062</v>
      </c>
      <c r="AM96" s="30" t="str">
        <f>Table1[[#This Row],[2019 Scope 2 ]]</f>
        <v>#ERROR!</v>
      </c>
      <c r="AN96" s="31" t="str">
        <f t="shared" si="4"/>
        <v>#ERROR!</v>
      </c>
      <c r="AO96" s="32" t="str">
        <f t="shared" si="5"/>
        <v>#ERROR!</v>
      </c>
      <c r="AP96" s="31" t="str">
        <f t="shared" si="6"/>
        <v>#ERROR!</v>
      </c>
      <c r="AQ96" s="32" t="str">
        <f t="shared" si="7"/>
        <v>#ERROR!</v>
      </c>
      <c r="AR96" s="33" t="str">
        <f>Table1[[#This Row],[2019 Scope 3 ]]</f>
        <v>#ERROR!</v>
      </c>
      <c r="AS96" s="34" t="str">
        <f t="shared" si="8"/>
        <v>#ERROR!</v>
      </c>
      <c r="AT96" s="35" t="str">
        <f t="shared" si="9"/>
        <v>#ERROR!</v>
      </c>
      <c r="BI96" s="16">
        <v>19593.0</v>
      </c>
    </row>
    <row r="97" ht="12.75" customHeight="1">
      <c r="A97" s="17">
        <f>companies!A97</f>
        <v>96</v>
      </c>
      <c r="B97" s="19" t="s">
        <v>1060</v>
      </c>
      <c r="C97" s="19">
        <v>358753.0</v>
      </c>
      <c r="D97" s="19">
        <v>4006874.0</v>
      </c>
      <c r="E97" s="19">
        <v>3982613.0</v>
      </c>
      <c r="F97" s="19">
        <v>1.2502929E7</v>
      </c>
      <c r="G97" s="19">
        <v>0.0</v>
      </c>
      <c r="H97" s="19">
        <v>1057075.0</v>
      </c>
      <c r="I97" s="19">
        <v>65443.0</v>
      </c>
      <c r="J97" s="19">
        <v>36503.0</v>
      </c>
      <c r="K97" s="19">
        <v>92882.0</v>
      </c>
      <c r="L97" s="19">
        <v>511555.0</v>
      </c>
      <c r="M97" s="29" t="s">
        <v>25</v>
      </c>
      <c r="N97" s="29">
        <v>56906.0</v>
      </c>
      <c r="O97" s="29" t="s">
        <v>25</v>
      </c>
      <c r="P97" s="29">
        <v>2736735.0</v>
      </c>
      <c r="Q97" s="29">
        <v>1619.0</v>
      </c>
      <c r="R97" s="19" t="s">
        <v>25</v>
      </c>
      <c r="S97" s="29" t="s">
        <v>25</v>
      </c>
      <c r="T97" s="29" t="s">
        <v>25</v>
      </c>
      <c r="U97" s="29" t="s">
        <v>25</v>
      </c>
      <c r="V97" s="29" t="s">
        <v>25</v>
      </c>
      <c r="W97" s="29">
        <f t="shared" si="1"/>
        <v>17061647</v>
      </c>
      <c r="X97" s="19"/>
      <c r="Y97" s="19"/>
      <c r="Z97" s="19"/>
      <c r="AA97" s="19"/>
      <c r="AB97" s="19"/>
      <c r="AC97" s="19"/>
      <c r="AD97" s="29" t="s">
        <v>25</v>
      </c>
      <c r="AE97" s="29" t="s">
        <v>25</v>
      </c>
      <c r="AF97" s="30" t="str">
        <f>Table1[[#This Row],[2019 Scope 1 (MeT Co2)]]</f>
        <v>#ERROR!</v>
      </c>
      <c r="AG97" s="31" t="str">
        <f t="shared" si="2"/>
        <v>#ERROR!</v>
      </c>
      <c r="AH97" s="32" t="str">
        <f t="shared" si="3"/>
        <v>#ERROR!</v>
      </c>
      <c r="AI97" s="28"/>
      <c r="AJ97" s="28"/>
      <c r="AK97" s="29" t="s">
        <v>25</v>
      </c>
      <c r="AL97" s="29" t="s">
        <v>25</v>
      </c>
      <c r="AM97" s="30" t="str">
        <f>Table1[[#This Row],[2019 Scope 2 ]]</f>
        <v>#ERROR!</v>
      </c>
      <c r="AN97" s="31" t="str">
        <f t="shared" si="4"/>
        <v>#ERROR!</v>
      </c>
      <c r="AO97" s="32" t="str">
        <f t="shared" si="5"/>
        <v>#ERROR!</v>
      </c>
      <c r="AP97" s="31" t="str">
        <f t="shared" si="6"/>
        <v>#ERROR!</v>
      </c>
      <c r="AQ97" s="32" t="str">
        <f t="shared" si="7"/>
        <v>#ERROR!</v>
      </c>
      <c r="AR97" s="33" t="str">
        <f>Table1[[#This Row],[2019 Scope 3 ]]</f>
        <v>#ERROR!</v>
      </c>
      <c r="AS97" s="34" t="str">
        <f t="shared" si="8"/>
        <v>#ERROR!</v>
      </c>
      <c r="AT97" s="35" t="str">
        <f t="shared" si="9"/>
        <v>#ERROR!</v>
      </c>
      <c r="BI97" s="16">
        <v>20175.0</v>
      </c>
    </row>
    <row r="98" ht="12.75" customHeight="1">
      <c r="A98" s="17">
        <f>companies!A98</f>
        <v>97</v>
      </c>
      <c r="B98" s="19" t="s">
        <v>1060</v>
      </c>
      <c r="C98" s="19">
        <v>8642.0</v>
      </c>
      <c r="D98" s="19">
        <v>66009.0</v>
      </c>
      <c r="E98" s="19">
        <v>51366.0</v>
      </c>
      <c r="F98" s="19">
        <v>430410.0</v>
      </c>
      <c r="G98" s="19" t="s">
        <v>25</v>
      </c>
      <c r="H98" s="19">
        <v>13729.0</v>
      </c>
      <c r="I98" s="19" t="s">
        <v>25</v>
      </c>
      <c r="J98" s="19">
        <v>2203.0</v>
      </c>
      <c r="K98" s="19">
        <v>48009.0</v>
      </c>
      <c r="L98" s="19">
        <v>29518.0</v>
      </c>
      <c r="M98" s="29" t="s">
        <v>25</v>
      </c>
      <c r="N98" s="29" t="s">
        <v>25</v>
      </c>
      <c r="O98" s="29" t="s">
        <v>25</v>
      </c>
      <c r="P98" s="29" t="s">
        <v>25</v>
      </c>
      <c r="Q98" s="29" t="s">
        <v>25</v>
      </c>
      <c r="R98" s="19">
        <v>94.0</v>
      </c>
      <c r="S98" s="29" t="s">
        <v>25</v>
      </c>
      <c r="T98" s="29" t="s">
        <v>25</v>
      </c>
      <c r="U98" s="29" t="s">
        <v>25</v>
      </c>
      <c r="V98" s="29" t="s">
        <v>25</v>
      </c>
      <c r="W98" s="29">
        <f t="shared" si="1"/>
        <v>523963</v>
      </c>
      <c r="X98" s="19"/>
      <c r="Y98" s="19"/>
      <c r="Z98" s="19"/>
      <c r="AA98" s="19"/>
      <c r="AB98" s="19"/>
      <c r="AC98" s="19"/>
      <c r="AD98" s="29" t="s">
        <v>25</v>
      </c>
      <c r="AE98" s="29" t="s">
        <v>25</v>
      </c>
      <c r="AF98" s="30" t="str">
        <f>Table1[[#This Row],[2019 Scope 1 (MeT Co2)]]</f>
        <v>#ERROR!</v>
      </c>
      <c r="AG98" s="31" t="str">
        <f t="shared" si="2"/>
        <v>#ERROR!</v>
      </c>
      <c r="AH98" s="32" t="str">
        <f t="shared" si="3"/>
        <v>#ERROR!</v>
      </c>
      <c r="AI98" s="28"/>
      <c r="AJ98" s="28"/>
      <c r="AK98" s="29" t="s">
        <v>25</v>
      </c>
      <c r="AL98" s="29" t="s">
        <v>25</v>
      </c>
      <c r="AM98" s="30" t="str">
        <f>Table1[[#This Row],[2019 Scope 2 ]]</f>
        <v>#ERROR!</v>
      </c>
      <c r="AN98" s="31" t="str">
        <f t="shared" si="4"/>
        <v>#ERROR!</v>
      </c>
      <c r="AO98" s="32" t="str">
        <f t="shared" si="5"/>
        <v>#ERROR!</v>
      </c>
      <c r="AP98" s="31" t="str">
        <f t="shared" si="6"/>
        <v>#ERROR!</v>
      </c>
      <c r="AQ98" s="32" t="str">
        <f t="shared" si="7"/>
        <v>#ERROR!</v>
      </c>
      <c r="AR98" s="33" t="str">
        <f>Table1[[#This Row],[2019 Scope 3 ]]</f>
        <v>#ERROR!</v>
      </c>
      <c r="AS98" s="34" t="str">
        <f t="shared" si="8"/>
        <v>#ERROR!</v>
      </c>
      <c r="AT98" s="35" t="str">
        <f t="shared" si="9"/>
        <v>#ERROR!</v>
      </c>
      <c r="BI98" s="16">
        <v>22867.0</v>
      </c>
    </row>
    <row r="99" ht="12.75" customHeight="1">
      <c r="A99" s="17">
        <f>companies!A99</f>
        <v>98</v>
      </c>
      <c r="B99" s="19" t="s">
        <v>1060</v>
      </c>
      <c r="C99" s="19">
        <v>421000.0</v>
      </c>
      <c r="D99" s="19">
        <v>1645000.0</v>
      </c>
      <c r="E99" s="19">
        <v>1575000.0</v>
      </c>
      <c r="F99" s="19">
        <v>2.5508E7</v>
      </c>
      <c r="G99" s="19">
        <v>776000.0</v>
      </c>
      <c r="H99" s="19">
        <v>298000.0</v>
      </c>
      <c r="I99" s="19">
        <v>167000.0</v>
      </c>
      <c r="J99" s="19">
        <v>40000.0</v>
      </c>
      <c r="K99" s="19">
        <v>53000.0</v>
      </c>
      <c r="L99" s="19">
        <v>878000.0</v>
      </c>
      <c r="M99" s="29" t="s">
        <v>25</v>
      </c>
      <c r="N99" s="29">
        <v>9835000.0</v>
      </c>
      <c r="O99" s="29" t="s">
        <v>25</v>
      </c>
      <c r="P99" s="29">
        <v>15000.0</v>
      </c>
      <c r="Q99" s="29">
        <v>58000.0</v>
      </c>
      <c r="R99" s="19">
        <v>28000.0</v>
      </c>
      <c r="S99" s="29" t="s">
        <v>25</v>
      </c>
      <c r="T99" s="29">
        <v>243000.0</v>
      </c>
      <c r="U99" s="29" t="s">
        <v>25</v>
      </c>
      <c r="V99" s="29" t="s">
        <v>25</v>
      </c>
      <c r="W99" s="29">
        <f t="shared" si="1"/>
        <v>37899000</v>
      </c>
      <c r="X99" s="19"/>
      <c r="Y99" s="19"/>
      <c r="Z99" s="19"/>
      <c r="AA99" s="19"/>
      <c r="AB99" s="19"/>
      <c r="AC99" s="19"/>
      <c r="AD99" s="29" t="s">
        <v>25</v>
      </c>
      <c r="AE99" s="29" t="s">
        <v>25</v>
      </c>
      <c r="AF99" s="30" t="str">
        <f>Table1[[#This Row],[2019 Scope 1 (MeT Co2)]]</f>
        <v>#ERROR!</v>
      </c>
      <c r="AG99" s="31" t="str">
        <f t="shared" si="2"/>
        <v>#ERROR!</v>
      </c>
      <c r="AH99" s="32" t="str">
        <f t="shared" si="3"/>
        <v>#ERROR!</v>
      </c>
      <c r="AI99" s="28"/>
      <c r="AJ99" s="28"/>
      <c r="AK99" s="29" t="s">
        <v>25</v>
      </c>
      <c r="AL99" s="29" t="s">
        <v>25</v>
      </c>
      <c r="AM99" s="30" t="str">
        <f>Table1[[#This Row],[2019 Scope 2 ]]</f>
        <v>#ERROR!</v>
      </c>
      <c r="AN99" s="31" t="str">
        <f t="shared" si="4"/>
        <v>#ERROR!</v>
      </c>
      <c r="AO99" s="32" t="str">
        <f t="shared" si="5"/>
        <v>#ERROR!</v>
      </c>
      <c r="AP99" s="31" t="str">
        <f t="shared" si="6"/>
        <v>#ERROR!</v>
      </c>
      <c r="AQ99" s="32" t="str">
        <f t="shared" si="7"/>
        <v>#ERROR!</v>
      </c>
      <c r="AR99" s="33" t="str">
        <f>Table1[[#This Row],[2019 Scope 3 ]]</f>
        <v>#ERROR!</v>
      </c>
      <c r="AS99" s="34" t="str">
        <f t="shared" si="8"/>
        <v>#ERROR!</v>
      </c>
      <c r="AT99" s="35" t="str">
        <f t="shared" si="9"/>
        <v>#ERROR!</v>
      </c>
      <c r="BI99" s="19">
        <v>20398.0</v>
      </c>
    </row>
    <row r="100" ht="12.75" customHeight="1">
      <c r="A100" s="17">
        <f>companies!A100</f>
        <v>99</v>
      </c>
      <c r="B100" s="19" t="s">
        <v>1060</v>
      </c>
      <c r="C100" s="19">
        <v>6484616.0</v>
      </c>
      <c r="D100" s="19">
        <v>1.2190878E7</v>
      </c>
      <c r="E100" s="19">
        <v>1.107898E7</v>
      </c>
      <c r="F100" s="19">
        <v>1.43267842E8</v>
      </c>
      <c r="G100" s="19">
        <v>645328.0</v>
      </c>
      <c r="H100" s="19">
        <v>3327874.0</v>
      </c>
      <c r="I100" s="19">
        <v>342577.0</v>
      </c>
      <c r="J100" s="19">
        <v>968265.0</v>
      </c>
      <c r="K100" s="19">
        <v>76296.0</v>
      </c>
      <c r="L100" s="19">
        <v>3500000.0</v>
      </c>
      <c r="M100" s="29" t="s">
        <v>25</v>
      </c>
      <c r="N100" s="29">
        <v>5099.0</v>
      </c>
      <c r="O100" s="29" t="s">
        <v>25</v>
      </c>
      <c r="P100" s="29">
        <v>3.2211E7</v>
      </c>
      <c r="Q100" s="29">
        <v>130.0</v>
      </c>
      <c r="R100" s="19">
        <v>130000.0</v>
      </c>
      <c r="S100" s="29" t="s">
        <v>25</v>
      </c>
      <c r="T100" s="29" t="s">
        <v>25</v>
      </c>
      <c r="U100" s="29" t="s">
        <v>25</v>
      </c>
      <c r="V100" s="29" t="s">
        <v>25</v>
      </c>
      <c r="W100" s="29">
        <f t="shared" si="1"/>
        <v>184474411</v>
      </c>
      <c r="X100" s="19"/>
      <c r="Y100" s="19"/>
      <c r="Z100" s="19"/>
      <c r="AA100" s="19"/>
      <c r="AB100" s="19"/>
      <c r="AC100" s="19"/>
      <c r="AD100" s="29" t="s">
        <v>25</v>
      </c>
      <c r="AE100" s="29" t="s">
        <v>25</v>
      </c>
      <c r="AF100" s="30" t="str">
        <f>Table1[[#This Row],[2019 Scope 1 (MeT Co2)]]</f>
        <v>#ERROR!</v>
      </c>
      <c r="AG100" s="31" t="str">
        <f t="shared" si="2"/>
        <v>#ERROR!</v>
      </c>
      <c r="AH100" s="32" t="str">
        <f t="shared" si="3"/>
        <v>#ERROR!</v>
      </c>
      <c r="AI100" s="28"/>
      <c r="AJ100" s="28"/>
      <c r="AK100" s="29" t="s">
        <v>25</v>
      </c>
      <c r="AL100" s="29" t="s">
        <v>25</v>
      </c>
      <c r="AM100" s="30" t="str">
        <f>Table1[[#This Row],[2019 Scope 2 ]]</f>
        <v>#ERROR!</v>
      </c>
      <c r="AN100" s="31" t="str">
        <f t="shared" si="4"/>
        <v>#ERROR!</v>
      </c>
      <c r="AO100" s="32" t="str">
        <f t="shared" si="5"/>
        <v>#ERROR!</v>
      </c>
      <c r="AP100" s="31" t="str">
        <f t="shared" si="6"/>
        <v>#ERROR!</v>
      </c>
      <c r="AQ100" s="32" t="str">
        <f t="shared" si="7"/>
        <v>#ERROR!</v>
      </c>
      <c r="AR100" s="33" t="str">
        <f>Table1[[#This Row],[2019 Scope 3 ]]</f>
        <v>#ERROR!</v>
      </c>
      <c r="AS100" s="34" t="str">
        <f t="shared" si="8"/>
        <v>#ERROR!</v>
      </c>
      <c r="AT100" s="35" t="str">
        <f t="shared" si="9"/>
        <v>#ERROR!</v>
      </c>
      <c r="BI100" s="16">
        <v>20402.0</v>
      </c>
    </row>
    <row r="101" ht="12.75" customHeight="1">
      <c r="A101" s="17">
        <f>companies!A101</f>
        <v>100</v>
      </c>
      <c r="B101" s="19" t="s">
        <v>1060</v>
      </c>
      <c r="C101" s="19">
        <v>91993.0</v>
      </c>
      <c r="D101" s="19">
        <v>771327.0</v>
      </c>
      <c r="E101" s="19">
        <v>4988.0</v>
      </c>
      <c r="F101" s="19">
        <v>2304829.0</v>
      </c>
      <c r="G101" s="19">
        <v>455599.0</v>
      </c>
      <c r="H101" s="19">
        <v>148420.0</v>
      </c>
      <c r="I101" s="19" t="s">
        <v>25</v>
      </c>
      <c r="J101" s="19">
        <v>9921.0</v>
      </c>
      <c r="K101" s="19">
        <v>78277.0</v>
      </c>
      <c r="L101" s="19">
        <v>613405.0</v>
      </c>
      <c r="M101" s="29" t="s">
        <v>25</v>
      </c>
      <c r="N101" s="29" t="s">
        <v>25</v>
      </c>
      <c r="O101" s="29" t="s">
        <v>25</v>
      </c>
      <c r="P101" s="29" t="s">
        <v>25</v>
      </c>
      <c r="Q101" s="29" t="s">
        <v>25</v>
      </c>
      <c r="R101" s="19" t="s">
        <v>25</v>
      </c>
      <c r="S101" s="29" t="s">
        <v>25</v>
      </c>
      <c r="T101" s="29" t="s">
        <v>25</v>
      </c>
      <c r="U101" s="29" t="s">
        <v>25</v>
      </c>
      <c r="V101" s="29" t="s">
        <v>25</v>
      </c>
      <c r="W101" s="29">
        <f t="shared" si="1"/>
        <v>3610451</v>
      </c>
      <c r="X101" s="19"/>
      <c r="Y101" s="19"/>
      <c r="Z101" s="19"/>
      <c r="AA101" s="19"/>
      <c r="AB101" s="19"/>
      <c r="AC101" s="19"/>
      <c r="AD101" s="29" t="s">
        <v>25</v>
      </c>
      <c r="AE101" s="29" t="s">
        <v>25</v>
      </c>
      <c r="AF101" s="30" t="str">
        <f>Table1[[#This Row],[2019 Scope 1 (MeT Co2)]]</f>
        <v>#ERROR!</v>
      </c>
      <c r="AG101" s="31" t="str">
        <f t="shared" si="2"/>
        <v>#ERROR!</v>
      </c>
      <c r="AH101" s="32" t="str">
        <f t="shared" si="3"/>
        <v>#ERROR!</v>
      </c>
      <c r="AI101" s="28"/>
      <c r="AJ101" s="28"/>
      <c r="AK101" s="29" t="s">
        <v>25</v>
      </c>
      <c r="AL101" s="29" t="s">
        <v>25</v>
      </c>
      <c r="AM101" s="30" t="str">
        <f>Table1[[#This Row],[2019 Scope 2 ]]</f>
        <v>#ERROR!</v>
      </c>
      <c r="AN101" s="31" t="str">
        <f t="shared" si="4"/>
        <v>#ERROR!</v>
      </c>
      <c r="AO101" s="32" t="str">
        <f t="shared" si="5"/>
        <v>#ERROR!</v>
      </c>
      <c r="AP101" s="31" t="str">
        <f t="shared" si="6"/>
        <v>#ERROR!</v>
      </c>
      <c r="AQ101" s="32" t="str">
        <f t="shared" si="7"/>
        <v>#ERROR!</v>
      </c>
      <c r="AR101" s="33" t="str">
        <f>Table1[[#This Row],[2019 Scope 3 ]]</f>
        <v>#ERROR!</v>
      </c>
      <c r="AS101" s="34" t="str">
        <f t="shared" si="8"/>
        <v>#ERROR!</v>
      </c>
      <c r="AT101" s="35" t="str">
        <f t="shared" si="9"/>
        <v>#ERROR!</v>
      </c>
      <c r="BI101" s="16">
        <v>20575.0</v>
      </c>
    </row>
    <row r="102" ht="12.75" customHeight="1">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I102" s="28"/>
      <c r="AJ102" s="28"/>
    </row>
    <row r="103" ht="12.75" customHeight="1">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I103" s="28"/>
      <c r="AJ103" s="28"/>
    </row>
    <row r="104" ht="12.75" customHeight="1">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I104" s="28"/>
      <c r="AJ104" s="28"/>
    </row>
    <row r="105" ht="12.75" customHeight="1">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I105" s="28"/>
      <c r="AJ105" s="28"/>
    </row>
    <row r="106" ht="12.75" customHeight="1">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I106" s="28"/>
      <c r="AJ106" s="28"/>
    </row>
    <row r="107" ht="12.75" customHeight="1">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I107" s="28"/>
      <c r="AJ107" s="28"/>
    </row>
    <row r="108" ht="12.75" customHeight="1">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I108" s="28"/>
      <c r="AJ108" s="28"/>
    </row>
    <row r="109" ht="12.75" customHeight="1">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I109" s="28"/>
      <c r="AJ109" s="28"/>
    </row>
    <row r="110" ht="12.75" customHeight="1">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I110" s="28"/>
      <c r="AJ110" s="28"/>
    </row>
    <row r="111" ht="12.75" customHeight="1">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I111" s="28"/>
      <c r="AJ111" s="28"/>
    </row>
    <row r="112" ht="12.75" customHeight="1">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I112" s="28"/>
      <c r="AJ112" s="28"/>
    </row>
    <row r="113" ht="12.75" customHeight="1">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I113" s="28"/>
      <c r="AJ113" s="28"/>
    </row>
    <row r="114" ht="12.75" customHeight="1">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I114" s="28"/>
      <c r="AJ114" s="28"/>
    </row>
    <row r="115" ht="12.75" customHeight="1">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I115" s="28"/>
      <c r="AJ115" s="28"/>
    </row>
    <row r="116" ht="12.75" customHeight="1">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I116" s="28"/>
      <c r="AJ116" s="28"/>
    </row>
    <row r="117" ht="12.75" customHeight="1">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I117" s="28"/>
      <c r="AJ117" s="28"/>
    </row>
    <row r="118" ht="12.75" customHeight="1">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I118" s="28"/>
      <c r="AJ118" s="28"/>
    </row>
    <row r="119" ht="12.75" customHeight="1">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I119" s="28"/>
      <c r="AJ119" s="28"/>
    </row>
    <row r="120" ht="12.75" customHeight="1">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I120" s="28"/>
      <c r="AJ120" s="28"/>
    </row>
    <row r="121" ht="12.75" customHeight="1">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I121" s="28"/>
      <c r="AJ121" s="28"/>
    </row>
    <row r="122" ht="12.75" customHeight="1">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I122" s="28"/>
      <c r="AJ122" s="28"/>
    </row>
    <row r="123" ht="12.75" customHeight="1">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I123" s="28"/>
      <c r="AJ123" s="28"/>
    </row>
    <row r="124" ht="12.75" customHeight="1">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I124" s="28"/>
      <c r="AJ124" s="28"/>
    </row>
    <row r="125" ht="12.75" customHeight="1">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I125" s="28"/>
      <c r="AJ125" s="28"/>
    </row>
    <row r="126" ht="12.75" customHeight="1">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I126" s="28"/>
      <c r="AJ126" s="28"/>
    </row>
    <row r="127" ht="12.75" customHeight="1">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I127" s="28"/>
      <c r="AJ127" s="28"/>
    </row>
    <row r="128" ht="12.75" customHeight="1">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I128" s="28"/>
      <c r="AJ128" s="28"/>
    </row>
    <row r="129" ht="12.75" customHeight="1">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I129" s="28"/>
      <c r="AJ129" s="28"/>
    </row>
    <row r="130" ht="12.75" customHeight="1">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I130" s="28"/>
      <c r="AJ130" s="28"/>
    </row>
    <row r="131" ht="12.75" customHeight="1">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I131" s="28"/>
      <c r="AJ131" s="28"/>
    </row>
    <row r="132" ht="12.75" customHeight="1">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I132" s="28"/>
      <c r="AJ132" s="28"/>
    </row>
    <row r="133" ht="12.75" customHeight="1">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I133" s="28"/>
      <c r="AJ133" s="28"/>
    </row>
    <row r="134" ht="12.75" customHeight="1">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I134" s="28"/>
      <c r="AJ134" s="28"/>
    </row>
    <row r="135" ht="12.75" customHeight="1">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I135" s="28"/>
      <c r="AJ135" s="28"/>
    </row>
    <row r="136" ht="12.75" customHeight="1">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I136" s="28"/>
      <c r="AJ136" s="28"/>
    </row>
    <row r="137" ht="12.75" customHeight="1">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I137" s="28"/>
      <c r="AJ137" s="28"/>
    </row>
    <row r="138" ht="12.75" customHeight="1">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I138" s="28"/>
      <c r="AJ138" s="28"/>
    </row>
    <row r="139" ht="12.75" customHeight="1">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I139" s="28"/>
      <c r="AJ139" s="28"/>
    </row>
    <row r="140" ht="12.75" customHeight="1">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I140" s="28"/>
      <c r="AJ140" s="28"/>
    </row>
    <row r="141" ht="12.75" customHeight="1">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I141" s="28"/>
      <c r="AJ141" s="28"/>
    </row>
    <row r="142" ht="12.75" customHeight="1">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I142" s="28"/>
      <c r="AJ142" s="28"/>
    </row>
    <row r="143" ht="12.75" customHeight="1">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I143" s="28"/>
      <c r="AJ143" s="28"/>
    </row>
    <row r="144" ht="12.75" customHeight="1">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I144" s="28"/>
      <c r="AJ144" s="28"/>
    </row>
    <row r="145" ht="12.75" customHeight="1">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I145" s="28"/>
      <c r="AJ145" s="28"/>
    </row>
    <row r="146" ht="12.75" customHeight="1">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I146" s="28"/>
      <c r="AJ146" s="28"/>
    </row>
    <row r="147" ht="12.75" customHeight="1">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I147" s="28"/>
      <c r="AJ147" s="28"/>
    </row>
    <row r="148" ht="12.75" customHeight="1">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I148" s="28"/>
      <c r="AJ148" s="28"/>
    </row>
    <row r="149" ht="12.75" customHeight="1">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I149" s="28"/>
      <c r="AJ149" s="28"/>
    </row>
    <row r="150" ht="12.75" customHeight="1">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I150" s="28"/>
      <c r="AJ150" s="28"/>
    </row>
    <row r="151" ht="12.75" customHeight="1">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I151" s="28"/>
      <c r="AJ151" s="28"/>
    </row>
    <row r="152" ht="12.75" customHeight="1">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I152" s="28"/>
      <c r="AJ152" s="28"/>
    </row>
    <row r="153" ht="12.75" customHeight="1">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I153" s="28"/>
      <c r="AJ153" s="28"/>
    </row>
    <row r="154" ht="12.75" customHeight="1">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I154" s="28"/>
      <c r="AJ154" s="28"/>
    </row>
    <row r="155" ht="12.75" customHeight="1">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I155" s="28"/>
      <c r="AJ155" s="28"/>
    </row>
    <row r="156" ht="12.75" customHeight="1">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I156" s="28"/>
      <c r="AJ156" s="28"/>
    </row>
    <row r="157" ht="12.75" customHeight="1">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I157" s="28"/>
      <c r="AJ157" s="28"/>
    </row>
    <row r="158" ht="12.75" customHeight="1">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I158" s="28"/>
      <c r="AJ158" s="28"/>
    </row>
    <row r="159" ht="12.75" customHeight="1">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I159" s="28"/>
      <c r="AJ159" s="28"/>
    </row>
    <row r="160" ht="12.75" customHeight="1">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I160" s="28"/>
      <c r="AJ160" s="28"/>
    </row>
    <row r="161" ht="12.75" customHeight="1">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I161" s="28"/>
      <c r="AJ161" s="28"/>
    </row>
    <row r="162" ht="12.75" customHeight="1">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I162" s="28"/>
      <c r="AJ162" s="28"/>
    </row>
    <row r="163" ht="12.75" customHeight="1">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I163" s="28"/>
      <c r="AJ163" s="28"/>
    </row>
    <row r="164" ht="12.75" customHeight="1">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I164" s="28"/>
      <c r="AJ164" s="28"/>
    </row>
    <row r="165" ht="12.75" customHeight="1">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I165" s="28"/>
      <c r="AJ165" s="28"/>
    </row>
    <row r="166" ht="12.75" customHeight="1">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I166" s="28"/>
      <c r="AJ166" s="28"/>
    </row>
    <row r="167" ht="12.75" customHeight="1">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I167" s="28"/>
      <c r="AJ167" s="28"/>
    </row>
    <row r="168" ht="12.75" customHeight="1">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I168" s="28"/>
      <c r="AJ168" s="28"/>
    </row>
    <row r="169" ht="12.75" customHeight="1">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I169" s="28"/>
      <c r="AJ169" s="28"/>
    </row>
    <row r="170" ht="12.75" customHeight="1">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I170" s="28"/>
      <c r="AJ170" s="28"/>
    </row>
    <row r="171" ht="12.75" customHeight="1">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I171" s="28"/>
      <c r="AJ171" s="28"/>
    </row>
    <row r="172" ht="12.75" customHeight="1">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I172" s="28"/>
      <c r="AJ172" s="28"/>
    </row>
    <row r="173" ht="12.75" customHeight="1">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I173" s="28"/>
      <c r="AJ173" s="28"/>
    </row>
    <row r="174" ht="12.75" customHeight="1">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I174" s="28"/>
      <c r="AJ174" s="28"/>
    </row>
    <row r="175" ht="12.75" customHeight="1">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I175" s="28"/>
      <c r="AJ175" s="28"/>
    </row>
    <row r="176" ht="12.75" customHeight="1">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I176" s="28"/>
      <c r="AJ176" s="28"/>
    </row>
    <row r="177" ht="12.75" customHeight="1">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I177" s="28"/>
      <c r="AJ177" s="28"/>
    </row>
    <row r="178" ht="12.75" customHeight="1">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I178" s="28"/>
      <c r="AJ178" s="28"/>
    </row>
    <row r="179" ht="12.75" customHeight="1">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I179" s="28"/>
      <c r="AJ179" s="28"/>
    </row>
    <row r="180" ht="12.75" customHeight="1">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I180" s="28"/>
      <c r="AJ180" s="28"/>
    </row>
    <row r="181" ht="12.75" customHeight="1">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I181" s="28"/>
      <c r="AJ181" s="28"/>
    </row>
    <row r="182" ht="12.75" customHeight="1">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I182" s="28"/>
      <c r="AJ182" s="28"/>
    </row>
    <row r="183" ht="12.75" customHeight="1">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I183" s="28"/>
      <c r="AJ183" s="28"/>
    </row>
    <row r="184" ht="12.75" customHeight="1">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I184" s="28"/>
      <c r="AJ184" s="28"/>
    </row>
    <row r="185" ht="12.75" customHeight="1">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I185" s="28"/>
      <c r="AJ185" s="28"/>
    </row>
    <row r="186" ht="12.75" customHeight="1">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I186" s="28"/>
      <c r="AJ186" s="28"/>
    </row>
    <row r="187" ht="12.75" customHeight="1">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I187" s="28"/>
      <c r="AJ187" s="28"/>
    </row>
    <row r="188" ht="12.75" customHeight="1">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I188" s="28"/>
      <c r="AJ188" s="28"/>
    </row>
    <row r="189" ht="12.75" customHeight="1">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I189" s="28"/>
      <c r="AJ189" s="28"/>
    </row>
    <row r="190" ht="12.75" customHeight="1">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I190" s="28"/>
      <c r="AJ190" s="28"/>
    </row>
    <row r="191" ht="12.75" customHeight="1">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I191" s="28"/>
      <c r="AJ191" s="28"/>
    </row>
    <row r="192" ht="12.75" customHeight="1">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I192" s="28"/>
      <c r="AJ192" s="28"/>
    </row>
    <row r="193" ht="12.75" customHeight="1">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I193" s="28"/>
      <c r="AJ193" s="28"/>
    </row>
    <row r="194" ht="12.75" customHeight="1">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I194" s="28"/>
      <c r="AJ194" s="28"/>
    </row>
    <row r="195" ht="12.75" customHeight="1">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I195" s="28"/>
      <c r="AJ195" s="28"/>
    </row>
    <row r="196" ht="12.75" customHeight="1">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I196" s="28"/>
      <c r="AJ196" s="28"/>
    </row>
    <row r="197" ht="12.75" customHeight="1">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I197" s="28"/>
      <c r="AJ197" s="28"/>
    </row>
    <row r="198" ht="12.75" customHeight="1">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I198" s="28"/>
      <c r="AJ198" s="28"/>
    </row>
    <row r="199" ht="12.75" customHeight="1">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I199" s="28"/>
      <c r="AJ199" s="28"/>
    </row>
    <row r="200" ht="12.75" customHeight="1">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I200" s="28"/>
      <c r="AJ200" s="28"/>
    </row>
    <row r="201" ht="12.75" customHeight="1">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I201" s="28"/>
      <c r="AJ201" s="28"/>
    </row>
    <row r="202" ht="12.75" customHeight="1">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I202" s="28"/>
      <c r="AJ202" s="28"/>
    </row>
    <row r="203" ht="12.75" customHeight="1">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I203" s="28"/>
      <c r="AJ203" s="28"/>
    </row>
    <row r="204" ht="12.75" customHeight="1">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I204" s="28"/>
      <c r="AJ204" s="28"/>
    </row>
    <row r="205" ht="12.75" customHeight="1">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I205" s="28"/>
      <c r="AJ205" s="28"/>
    </row>
    <row r="206" ht="12.75" customHeight="1">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I206" s="28"/>
      <c r="AJ206" s="28"/>
    </row>
    <row r="207" ht="12.75" customHeight="1">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I207" s="28"/>
      <c r="AJ207" s="28"/>
    </row>
    <row r="208" ht="12.75" customHeight="1">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I208" s="28"/>
      <c r="AJ208" s="28"/>
    </row>
    <row r="209" ht="12.75" customHeight="1">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I209" s="28"/>
      <c r="AJ209" s="28"/>
    </row>
    <row r="210" ht="12.75" customHeight="1">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I210" s="28"/>
      <c r="AJ210" s="28"/>
    </row>
    <row r="211" ht="12.75" customHeight="1">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I211" s="28"/>
      <c r="AJ211" s="28"/>
    </row>
    <row r="212" ht="12.75" customHeight="1">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I212" s="28"/>
      <c r="AJ212" s="28"/>
    </row>
    <row r="213" ht="12.75" customHeight="1">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I213" s="28"/>
      <c r="AJ213" s="28"/>
    </row>
    <row r="214" ht="12.75" customHeight="1">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I214" s="28"/>
      <c r="AJ214" s="28"/>
    </row>
    <row r="215" ht="12.75" customHeight="1">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I215" s="28"/>
      <c r="AJ215" s="28"/>
    </row>
    <row r="216" ht="12.75" customHeight="1">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I216" s="28"/>
      <c r="AJ216" s="28"/>
    </row>
    <row r="217" ht="12.75" customHeight="1">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I217" s="28"/>
      <c r="AJ217" s="28"/>
    </row>
    <row r="218" ht="12.75" customHeight="1">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I218" s="28"/>
      <c r="AJ218" s="28"/>
    </row>
    <row r="219" ht="12.75" customHeight="1">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I219" s="28"/>
      <c r="AJ219" s="28"/>
    </row>
    <row r="220" ht="12.75" customHeight="1">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I220" s="28"/>
      <c r="AJ220" s="28"/>
    </row>
    <row r="221" ht="12.75" customHeight="1">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I221" s="28"/>
      <c r="AJ221" s="28"/>
    </row>
    <row r="222" ht="12.75" customHeight="1">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I222" s="28"/>
      <c r="AJ222" s="28"/>
    </row>
    <row r="223" ht="12.75" customHeight="1">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I223" s="28"/>
      <c r="AJ223" s="28"/>
    </row>
    <row r="224" ht="12.75" customHeight="1">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I224" s="28"/>
      <c r="AJ224" s="28"/>
    </row>
    <row r="225" ht="12.75" customHeight="1">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I225" s="28"/>
      <c r="AJ225" s="28"/>
    </row>
    <row r="226" ht="12.75" customHeight="1">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I226" s="28"/>
      <c r="AJ226" s="28"/>
    </row>
    <row r="227" ht="12.75" customHeight="1">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I227" s="28"/>
      <c r="AJ227" s="28"/>
    </row>
    <row r="228" ht="12.75" customHeight="1">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I228" s="28"/>
      <c r="AJ228" s="28"/>
    </row>
    <row r="229" ht="12.75" customHeight="1">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I229" s="28"/>
      <c r="AJ229" s="28"/>
    </row>
    <row r="230" ht="12.75" customHeight="1">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I230" s="28"/>
      <c r="AJ230" s="28"/>
    </row>
    <row r="231" ht="12.75" customHeight="1">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I231" s="28"/>
      <c r="AJ231" s="28"/>
    </row>
    <row r="232" ht="12.75" customHeight="1">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I232" s="28"/>
      <c r="AJ232" s="28"/>
    </row>
    <row r="233" ht="12.75" customHeight="1">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I233" s="28"/>
      <c r="AJ233" s="28"/>
    </row>
    <row r="234" ht="12.75" customHeight="1">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I234" s="28"/>
      <c r="AJ234" s="28"/>
    </row>
    <row r="235" ht="12.75" customHeight="1">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I235" s="28"/>
      <c r="AJ235" s="28"/>
    </row>
    <row r="236" ht="12.75" customHeight="1">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I236" s="28"/>
      <c r="AJ236" s="28"/>
    </row>
    <row r="237" ht="12.75" customHeight="1">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I237" s="28"/>
      <c r="AJ237" s="28"/>
    </row>
    <row r="238" ht="12.75" customHeight="1">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I238" s="28"/>
      <c r="AJ238" s="28"/>
    </row>
    <row r="239" ht="12.75" customHeight="1">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I239" s="28"/>
      <c r="AJ239" s="28"/>
    </row>
    <row r="240" ht="12.75" customHeight="1">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I240" s="28"/>
      <c r="AJ240" s="28"/>
    </row>
    <row r="241" ht="12.75" customHeight="1">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I241" s="28"/>
      <c r="AJ241" s="28"/>
    </row>
    <row r="242" ht="12.75" customHeight="1">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I242" s="28"/>
      <c r="AJ242" s="28"/>
    </row>
    <row r="243" ht="12.75" customHeight="1">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I243" s="28"/>
      <c r="AJ243" s="28"/>
    </row>
    <row r="244" ht="12.75" customHeight="1">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I244" s="28"/>
      <c r="AJ244" s="28"/>
    </row>
    <row r="245" ht="12.75" customHeight="1">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I245" s="28"/>
      <c r="AJ245" s="28"/>
    </row>
    <row r="246" ht="12.75" customHeight="1">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I246" s="28"/>
      <c r="AJ246" s="28"/>
    </row>
    <row r="247" ht="12.75" customHeight="1">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I247" s="28"/>
      <c r="AJ247" s="28"/>
    </row>
    <row r="248" ht="12.75" customHeight="1">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I248" s="28"/>
      <c r="AJ248" s="28"/>
    </row>
    <row r="249" ht="12.75" customHeight="1">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I249" s="28"/>
      <c r="AJ249" s="28"/>
    </row>
    <row r="250" ht="12.75" customHeight="1">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I250" s="28"/>
      <c r="AJ250" s="28"/>
    </row>
    <row r="251" ht="12.75" customHeight="1">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I251" s="28"/>
      <c r="AJ251" s="28"/>
    </row>
    <row r="252" ht="12.75" customHeight="1">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I252" s="28"/>
      <c r="AJ252" s="28"/>
    </row>
    <row r="253" ht="12.75" customHeight="1">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I253" s="28"/>
      <c r="AJ253" s="28"/>
    </row>
    <row r="254" ht="12.75" customHeight="1">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I254" s="28"/>
      <c r="AJ254" s="28"/>
    </row>
    <row r="255" ht="12.75" customHeight="1">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I255" s="28"/>
      <c r="AJ255" s="28"/>
    </row>
    <row r="256" ht="12.75" customHeight="1">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I256" s="28"/>
      <c r="AJ256" s="28"/>
    </row>
    <row r="257" ht="12.75" customHeight="1">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I257" s="28"/>
      <c r="AJ257" s="28"/>
    </row>
    <row r="258" ht="12.75" customHeight="1">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I258" s="28"/>
      <c r="AJ258" s="28"/>
    </row>
    <row r="259" ht="12.75" customHeight="1">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I259" s="28"/>
      <c r="AJ259" s="28"/>
    </row>
    <row r="260" ht="12.75" customHeight="1">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I260" s="28"/>
      <c r="AJ260" s="28"/>
    </row>
    <row r="261" ht="12.75" customHeight="1">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I261" s="28"/>
      <c r="AJ261" s="28"/>
    </row>
    <row r="262" ht="12.75" customHeight="1">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I262" s="28"/>
      <c r="AJ262" s="28"/>
    </row>
    <row r="263" ht="12.75" customHeight="1">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I263" s="28"/>
      <c r="AJ263" s="28"/>
    </row>
    <row r="264" ht="12.75" customHeight="1">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I264" s="28"/>
      <c r="AJ264" s="28"/>
    </row>
    <row r="265" ht="12.75" customHeight="1">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I265" s="28"/>
      <c r="AJ265" s="28"/>
    </row>
    <row r="266" ht="12.75" customHeight="1">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I266" s="28"/>
      <c r="AJ266" s="28"/>
    </row>
    <row r="267" ht="12.75" customHeight="1">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I267" s="28"/>
      <c r="AJ267" s="28"/>
    </row>
    <row r="268" ht="12.75" customHeight="1">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I268" s="28"/>
      <c r="AJ268" s="28"/>
    </row>
    <row r="269" ht="12.75" customHeight="1">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I269" s="28"/>
      <c r="AJ269" s="28"/>
    </row>
    <row r="270" ht="12.75" customHeight="1">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I270" s="28"/>
      <c r="AJ270" s="28"/>
    </row>
    <row r="271" ht="12.75" customHeight="1">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I271" s="28"/>
      <c r="AJ271" s="28"/>
    </row>
    <row r="272" ht="12.75" customHeight="1">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I272" s="28"/>
      <c r="AJ272" s="28"/>
    </row>
    <row r="273" ht="12.75" customHeight="1">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I273" s="28"/>
      <c r="AJ273" s="28"/>
    </row>
    <row r="274" ht="12.75" customHeight="1">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I274" s="28"/>
      <c r="AJ274" s="28"/>
    </row>
    <row r="275" ht="12.75" customHeight="1">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I275" s="28"/>
      <c r="AJ275" s="28"/>
    </row>
    <row r="276" ht="12.75" customHeight="1">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I276" s="28"/>
      <c r="AJ276" s="28"/>
    </row>
    <row r="277" ht="12.75" customHeight="1">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I277" s="28"/>
      <c r="AJ277" s="28"/>
    </row>
    <row r="278" ht="12.75" customHeight="1">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I278" s="28"/>
      <c r="AJ278" s="28"/>
    </row>
    <row r="279" ht="12.75" customHeight="1">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I279" s="28"/>
      <c r="AJ279" s="28"/>
    </row>
    <row r="280" ht="12.75" customHeight="1">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I280" s="28"/>
      <c r="AJ280" s="28"/>
    </row>
    <row r="281" ht="12.75" customHeight="1">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I281" s="28"/>
      <c r="AJ281" s="28"/>
    </row>
    <row r="282" ht="12.75" customHeight="1">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I282" s="28"/>
      <c r="AJ282" s="28"/>
    </row>
    <row r="283" ht="12.75" customHeight="1">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I283" s="28"/>
      <c r="AJ283" s="28"/>
    </row>
    <row r="284" ht="12.75" customHeight="1">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I284" s="28"/>
      <c r="AJ284" s="28"/>
    </row>
    <row r="285" ht="12.75" customHeight="1">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I285" s="28"/>
      <c r="AJ285" s="28"/>
    </row>
    <row r="286" ht="12.75" customHeight="1">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I286" s="28"/>
      <c r="AJ286" s="28"/>
    </row>
    <row r="287" ht="12.75" customHeight="1">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I287" s="28"/>
      <c r="AJ287" s="28"/>
    </row>
    <row r="288" ht="12.75" customHeight="1">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I288" s="28"/>
      <c r="AJ288" s="28"/>
    </row>
    <row r="289" ht="12.75" customHeight="1">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I289" s="28"/>
      <c r="AJ289" s="28"/>
    </row>
    <row r="290" ht="12.75" customHeight="1">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I290" s="28"/>
      <c r="AJ290" s="28"/>
    </row>
    <row r="291" ht="12.75" customHeight="1">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I291" s="28"/>
      <c r="AJ291" s="28"/>
    </row>
    <row r="292" ht="12.75" customHeight="1">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I292" s="28"/>
      <c r="AJ292" s="28"/>
    </row>
    <row r="293" ht="12.75" customHeight="1">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I293" s="28"/>
      <c r="AJ293" s="28"/>
    </row>
    <row r="294" ht="12.75" customHeight="1">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I294" s="28"/>
      <c r="AJ294" s="28"/>
    </row>
    <row r="295" ht="12.75" customHeight="1">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I295" s="28"/>
      <c r="AJ295" s="28"/>
    </row>
    <row r="296" ht="12.75" customHeight="1">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I296" s="28"/>
      <c r="AJ296" s="28"/>
    </row>
    <row r="297" ht="12.75" customHeight="1">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I297" s="28"/>
      <c r="AJ297" s="28"/>
    </row>
    <row r="298" ht="12.75" customHeight="1">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I298" s="28"/>
      <c r="AJ298" s="28"/>
    </row>
    <row r="299" ht="12.75" customHeight="1">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I299" s="28"/>
      <c r="AJ299" s="28"/>
    </row>
    <row r="300" ht="12.75" customHeight="1">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I300" s="28"/>
      <c r="AJ300" s="28"/>
    </row>
    <row r="301" ht="12.75" customHeight="1">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I301" s="28"/>
      <c r="AJ301" s="28"/>
    </row>
    <row r="302" ht="12.75" customHeight="1">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I302" s="28"/>
      <c r="AJ302" s="28"/>
    </row>
    <row r="303" ht="12.75" customHeight="1">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I303" s="28"/>
      <c r="AJ303" s="28"/>
    </row>
    <row r="304" ht="12.75" customHeight="1">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I304" s="28"/>
      <c r="AJ304" s="28"/>
    </row>
    <row r="305" ht="12.75" customHeight="1">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I305" s="28"/>
      <c r="AJ305" s="28"/>
    </row>
    <row r="306" ht="12.75" customHeight="1">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I306" s="28"/>
      <c r="AJ306" s="28"/>
    </row>
    <row r="307" ht="12.75" customHeight="1">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I307" s="28"/>
      <c r="AJ307" s="28"/>
    </row>
    <row r="308" ht="12.75" customHeight="1">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I308" s="28"/>
      <c r="AJ308" s="28"/>
    </row>
    <row r="309" ht="12.75" customHeight="1">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I309" s="28"/>
      <c r="AJ309" s="28"/>
    </row>
    <row r="310" ht="12.75" customHeight="1">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I310" s="28"/>
      <c r="AJ310" s="28"/>
    </row>
    <row r="311" ht="12.75" customHeight="1">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I311" s="28"/>
      <c r="AJ311" s="28"/>
    </row>
    <row r="312" ht="12.75" customHeight="1">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I312" s="28"/>
      <c r="AJ312" s="28"/>
    </row>
    <row r="313" ht="12.75" customHeight="1">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I313" s="28"/>
      <c r="AJ313" s="28"/>
    </row>
    <row r="314" ht="12.75" customHeight="1">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I314" s="28"/>
      <c r="AJ314" s="28"/>
    </row>
    <row r="315" ht="12.75" customHeight="1">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I315" s="28"/>
      <c r="AJ315" s="28"/>
    </row>
    <row r="316" ht="12.75" customHeight="1">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I316" s="28"/>
      <c r="AJ316" s="28"/>
    </row>
    <row r="317" ht="12.75" customHeight="1">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I317" s="28"/>
      <c r="AJ317" s="28"/>
    </row>
    <row r="318" ht="12.75" customHeight="1">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I318" s="28"/>
      <c r="AJ318" s="28"/>
    </row>
    <row r="319" ht="12.75" customHeight="1">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I319" s="28"/>
      <c r="AJ319" s="28"/>
    </row>
    <row r="320" ht="12.75" customHeight="1">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I320" s="28"/>
      <c r="AJ320" s="28"/>
    </row>
    <row r="321" ht="12.75" customHeight="1">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I321" s="28"/>
      <c r="AJ321" s="28"/>
    </row>
    <row r="322" ht="12.75" customHeight="1">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I322" s="28"/>
      <c r="AJ322" s="28"/>
    </row>
    <row r="323" ht="12.75" customHeight="1">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I323" s="28"/>
      <c r="AJ323" s="28"/>
    </row>
    <row r="324" ht="12.75" customHeight="1">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I324" s="28"/>
      <c r="AJ324" s="28"/>
    </row>
    <row r="325" ht="12.75" customHeight="1">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I325" s="28"/>
      <c r="AJ325" s="28"/>
    </row>
    <row r="326" ht="12.75" customHeight="1">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I326" s="28"/>
      <c r="AJ326" s="28"/>
    </row>
    <row r="327" ht="12.75" customHeight="1">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I327" s="28"/>
      <c r="AJ327" s="28"/>
    </row>
    <row r="328" ht="12.75" customHeight="1">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I328" s="28"/>
      <c r="AJ328" s="28"/>
    </row>
    <row r="329" ht="12.75" customHeight="1">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I329" s="28"/>
      <c r="AJ329" s="28"/>
    </row>
    <row r="330" ht="12.75" customHeight="1">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I330" s="28"/>
      <c r="AJ330" s="28"/>
    </row>
    <row r="331" ht="12.75" customHeight="1">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I331" s="28"/>
      <c r="AJ331" s="28"/>
    </row>
    <row r="332" ht="12.75" customHeight="1">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I332" s="28"/>
      <c r="AJ332" s="28"/>
    </row>
    <row r="333" ht="12.75" customHeight="1">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I333" s="28"/>
      <c r="AJ333" s="28"/>
    </row>
    <row r="334" ht="12.75" customHeight="1">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I334" s="28"/>
      <c r="AJ334" s="28"/>
    </row>
    <row r="335" ht="12.75" customHeight="1">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I335" s="28"/>
      <c r="AJ335" s="28"/>
    </row>
    <row r="336" ht="12.75" customHeight="1">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I336" s="28"/>
      <c r="AJ336" s="28"/>
    </row>
    <row r="337" ht="12.75" customHeight="1">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I337" s="28"/>
      <c r="AJ337" s="28"/>
    </row>
    <row r="338" ht="12.75" customHeight="1">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I338" s="28"/>
      <c r="AJ338" s="28"/>
    </row>
    <row r="339" ht="12.75" customHeight="1">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I339" s="28"/>
      <c r="AJ339" s="28"/>
    </row>
    <row r="340" ht="12.75" customHeight="1">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I340" s="28"/>
      <c r="AJ340" s="28"/>
    </row>
    <row r="341" ht="12.75" customHeight="1">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I341" s="28"/>
      <c r="AJ341" s="28"/>
    </row>
    <row r="342" ht="12.75" customHeight="1">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I342" s="28"/>
      <c r="AJ342" s="28"/>
    </row>
    <row r="343" ht="12.75" customHeight="1">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I343" s="28"/>
      <c r="AJ343" s="28"/>
    </row>
    <row r="344" ht="12.75" customHeight="1">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I344" s="28"/>
      <c r="AJ344" s="28"/>
    </row>
    <row r="345" ht="12.75" customHeight="1">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I345" s="28"/>
      <c r="AJ345" s="28"/>
    </row>
    <row r="346" ht="12.75" customHeight="1">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I346" s="28"/>
      <c r="AJ346" s="28"/>
    </row>
    <row r="347" ht="12.75" customHeight="1">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I347" s="28"/>
      <c r="AJ347" s="28"/>
    </row>
    <row r="348" ht="12.75" customHeight="1">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I348" s="28"/>
      <c r="AJ348" s="28"/>
    </row>
    <row r="349" ht="12.75" customHeight="1">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I349" s="28"/>
      <c r="AJ349" s="28"/>
    </row>
    <row r="350" ht="12.75" customHeight="1">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I350" s="28"/>
      <c r="AJ350" s="28"/>
    </row>
    <row r="351" ht="12.75" customHeight="1">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I351" s="28"/>
      <c r="AJ351" s="28"/>
    </row>
    <row r="352" ht="12.75" customHeight="1">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I352" s="28"/>
      <c r="AJ352" s="28"/>
    </row>
    <row r="353" ht="12.75" customHeight="1">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I353" s="28"/>
      <c r="AJ353" s="28"/>
    </row>
    <row r="354" ht="12.75" customHeight="1">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I354" s="28"/>
      <c r="AJ354" s="28"/>
    </row>
    <row r="355" ht="12.75" customHeight="1">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I355" s="28"/>
      <c r="AJ355" s="28"/>
    </row>
    <row r="356" ht="12.75" customHeight="1">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I356" s="28"/>
      <c r="AJ356" s="28"/>
    </row>
    <row r="357" ht="12.75" customHeight="1">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I357" s="28"/>
      <c r="AJ357" s="28"/>
    </row>
    <row r="358" ht="12.75" customHeight="1">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I358" s="28"/>
      <c r="AJ358" s="28"/>
    </row>
    <row r="359" ht="12.75" customHeight="1">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I359" s="28"/>
      <c r="AJ359" s="28"/>
    </row>
    <row r="360" ht="12.75" customHeight="1">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I360" s="28"/>
      <c r="AJ360" s="28"/>
    </row>
    <row r="361" ht="12.75" customHeight="1">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I361" s="28"/>
      <c r="AJ361" s="28"/>
    </row>
    <row r="362" ht="12.75" customHeight="1">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I362" s="28"/>
      <c r="AJ362" s="28"/>
    </row>
    <row r="363" ht="12.75" customHeight="1">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I363" s="28"/>
      <c r="AJ363" s="28"/>
    </row>
    <row r="364" ht="12.75" customHeight="1">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I364" s="28"/>
      <c r="AJ364" s="28"/>
    </row>
    <row r="365" ht="12.75" customHeight="1">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I365" s="28"/>
      <c r="AJ365" s="28"/>
    </row>
    <row r="366" ht="12.75" customHeight="1">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I366" s="28"/>
      <c r="AJ366" s="28"/>
    </row>
    <row r="367" ht="12.75" customHeight="1">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I367" s="28"/>
      <c r="AJ367" s="28"/>
    </row>
    <row r="368" ht="12.75" customHeight="1">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I368" s="28"/>
      <c r="AJ368" s="28"/>
    </row>
    <row r="369" ht="12.75" customHeight="1">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I369" s="28"/>
      <c r="AJ369" s="28"/>
    </row>
    <row r="370" ht="12.75" customHeight="1">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I370" s="28"/>
      <c r="AJ370" s="28"/>
    </row>
    <row r="371" ht="12.75" customHeight="1">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I371" s="28"/>
      <c r="AJ371" s="28"/>
    </row>
    <row r="372" ht="12.75" customHeight="1">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I372" s="28"/>
      <c r="AJ372" s="28"/>
    </row>
    <row r="373" ht="12.75" customHeight="1">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I373" s="28"/>
      <c r="AJ373" s="28"/>
    </row>
    <row r="374" ht="12.75" customHeight="1">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I374" s="28"/>
      <c r="AJ374" s="28"/>
    </row>
    <row r="375" ht="12.75" customHeight="1">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I375" s="28"/>
      <c r="AJ375" s="28"/>
    </row>
    <row r="376" ht="12.75" customHeight="1">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I376" s="28"/>
      <c r="AJ376" s="28"/>
    </row>
    <row r="377" ht="12.75" customHeight="1">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I377" s="28"/>
      <c r="AJ377" s="28"/>
    </row>
    <row r="378" ht="12.75" customHeight="1">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I378" s="28"/>
      <c r="AJ378" s="28"/>
    </row>
    <row r="379" ht="12.75" customHeight="1">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I379" s="28"/>
      <c r="AJ379" s="28"/>
    </row>
    <row r="380" ht="12.75" customHeight="1">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I380" s="28"/>
      <c r="AJ380" s="28"/>
    </row>
    <row r="381" ht="12.75" customHeight="1">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I381" s="28"/>
      <c r="AJ381" s="28"/>
    </row>
    <row r="382" ht="12.75" customHeight="1">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I382" s="28"/>
      <c r="AJ382" s="28"/>
    </row>
    <row r="383" ht="12.75" customHeight="1">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I383" s="28"/>
      <c r="AJ383" s="28"/>
    </row>
    <row r="384" ht="12.75" customHeight="1">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I384" s="28"/>
      <c r="AJ384" s="28"/>
    </row>
    <row r="385" ht="12.75" customHeight="1">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I385" s="28"/>
      <c r="AJ385" s="28"/>
    </row>
    <row r="386" ht="12.75" customHeight="1">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I386" s="28"/>
      <c r="AJ386" s="28"/>
    </row>
    <row r="387" ht="12.75" customHeight="1">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I387" s="28"/>
      <c r="AJ387" s="28"/>
    </row>
    <row r="388" ht="12.75" customHeight="1">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I388" s="28"/>
      <c r="AJ388" s="28"/>
    </row>
    <row r="389" ht="12.75" customHeight="1">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I389" s="28"/>
      <c r="AJ389" s="28"/>
    </row>
    <row r="390" ht="12.75" customHeight="1">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I390" s="28"/>
      <c r="AJ390" s="28"/>
    </row>
    <row r="391" ht="12.75" customHeight="1">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I391" s="28"/>
      <c r="AJ391" s="28"/>
    </row>
    <row r="392" ht="12.75" customHeight="1">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I392" s="28"/>
      <c r="AJ392" s="28"/>
    </row>
    <row r="393" ht="12.75" customHeight="1">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I393" s="28"/>
      <c r="AJ393" s="28"/>
    </row>
    <row r="394" ht="12.75" customHeight="1">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I394" s="28"/>
      <c r="AJ394" s="28"/>
    </row>
    <row r="395" ht="12.75" customHeight="1">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I395" s="28"/>
      <c r="AJ395" s="28"/>
    </row>
    <row r="396" ht="12.75" customHeight="1">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I396" s="28"/>
      <c r="AJ396" s="28"/>
    </row>
    <row r="397" ht="12.75" customHeight="1">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I397" s="28"/>
      <c r="AJ397" s="28"/>
    </row>
    <row r="398" ht="12.75" customHeight="1">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I398" s="28"/>
      <c r="AJ398" s="28"/>
    </row>
    <row r="399" ht="12.75" customHeight="1">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I399" s="28"/>
      <c r="AJ399" s="28"/>
    </row>
    <row r="400" ht="12.75" customHeight="1">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I400" s="28"/>
      <c r="AJ400" s="28"/>
    </row>
    <row r="401" ht="12.75" customHeight="1">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I401" s="28"/>
      <c r="AJ401" s="28"/>
    </row>
    <row r="402" ht="12.75" customHeight="1">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I402" s="28"/>
      <c r="AJ402" s="28"/>
    </row>
    <row r="403" ht="12.75" customHeight="1">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I403" s="28"/>
      <c r="AJ403" s="28"/>
    </row>
    <row r="404" ht="12.75" customHeight="1">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I404" s="28"/>
      <c r="AJ404" s="28"/>
    </row>
    <row r="405" ht="12.75" customHeight="1">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I405" s="28"/>
      <c r="AJ405" s="28"/>
    </row>
    <row r="406" ht="12.75" customHeight="1">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I406" s="28"/>
      <c r="AJ406" s="28"/>
    </row>
    <row r="407" ht="12.75" customHeight="1">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I407" s="28"/>
      <c r="AJ407" s="28"/>
    </row>
    <row r="408" ht="12.75" customHeight="1">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I408" s="28"/>
      <c r="AJ408" s="28"/>
    </row>
    <row r="409" ht="12.75" customHeight="1">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I409" s="28"/>
      <c r="AJ409" s="28"/>
    </row>
    <row r="410" ht="12.75" customHeight="1">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I410" s="28"/>
      <c r="AJ410" s="28"/>
    </row>
    <row r="411" ht="12.75" customHeight="1">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I411" s="28"/>
      <c r="AJ411" s="28"/>
    </row>
    <row r="412" ht="12.75" customHeight="1">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I412" s="28"/>
      <c r="AJ412" s="28"/>
    </row>
    <row r="413" ht="12.75" customHeight="1">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I413" s="28"/>
      <c r="AJ413" s="28"/>
    </row>
    <row r="414" ht="12.75" customHeight="1">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I414" s="28"/>
      <c r="AJ414" s="28"/>
    </row>
    <row r="415" ht="12.75" customHeight="1">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I415" s="28"/>
      <c r="AJ415" s="28"/>
    </row>
    <row r="416" ht="12.75" customHeight="1">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I416" s="28"/>
      <c r="AJ416" s="28"/>
    </row>
    <row r="417" ht="12.75" customHeight="1">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I417" s="28"/>
      <c r="AJ417" s="28"/>
    </row>
    <row r="418" ht="12.75" customHeight="1">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I418" s="28"/>
      <c r="AJ418" s="28"/>
    </row>
    <row r="419" ht="12.75" customHeight="1">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I419" s="28"/>
      <c r="AJ419" s="28"/>
    </row>
    <row r="420" ht="12.75" customHeight="1">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I420" s="28"/>
      <c r="AJ420" s="28"/>
    </row>
    <row r="421" ht="12.75" customHeight="1">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I421" s="28"/>
      <c r="AJ421" s="28"/>
    </row>
    <row r="422" ht="12.75" customHeight="1">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I422" s="28"/>
      <c r="AJ422" s="28"/>
    </row>
    <row r="423" ht="12.75" customHeight="1">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I423" s="28"/>
      <c r="AJ423" s="28"/>
    </row>
    <row r="424" ht="12.75" customHeight="1">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I424" s="28"/>
      <c r="AJ424" s="28"/>
    </row>
    <row r="425" ht="12.75" customHeight="1">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I425" s="28"/>
      <c r="AJ425" s="28"/>
    </row>
    <row r="426" ht="12.75" customHeight="1">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I426" s="28"/>
      <c r="AJ426" s="28"/>
    </row>
    <row r="427" ht="12.75" customHeight="1">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I427" s="28"/>
      <c r="AJ427" s="28"/>
    </row>
    <row r="428" ht="12.75" customHeight="1">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I428" s="28"/>
      <c r="AJ428" s="28"/>
    </row>
    <row r="429" ht="12.75" customHeight="1">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I429" s="28"/>
      <c r="AJ429" s="28"/>
    </row>
    <row r="430" ht="12.75" customHeight="1">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I430" s="28"/>
      <c r="AJ430" s="28"/>
    </row>
    <row r="431" ht="12.75" customHeight="1">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I431" s="28"/>
      <c r="AJ431" s="28"/>
    </row>
    <row r="432" ht="12.75" customHeight="1">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I432" s="28"/>
      <c r="AJ432" s="28"/>
    </row>
    <row r="433" ht="12.75" customHeight="1">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I433" s="28"/>
      <c r="AJ433" s="28"/>
    </row>
    <row r="434" ht="12.75" customHeight="1">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I434" s="28"/>
      <c r="AJ434" s="28"/>
    </row>
    <row r="435" ht="12.75" customHeight="1">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I435" s="28"/>
      <c r="AJ435" s="28"/>
    </row>
    <row r="436" ht="12.75" customHeight="1">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I436" s="28"/>
      <c r="AJ436" s="28"/>
    </row>
    <row r="437" ht="12.75" customHeight="1">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I437" s="28"/>
      <c r="AJ437" s="28"/>
    </row>
    <row r="438" ht="12.75" customHeight="1">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I438" s="28"/>
      <c r="AJ438" s="28"/>
    </row>
    <row r="439" ht="12.75" customHeight="1">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I439" s="28"/>
      <c r="AJ439" s="28"/>
    </row>
    <row r="440" ht="12.75" customHeight="1">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I440" s="28"/>
      <c r="AJ440" s="28"/>
    </row>
    <row r="441" ht="12.75" customHeight="1">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I441" s="28"/>
      <c r="AJ441" s="28"/>
    </row>
    <row r="442" ht="12.75" customHeight="1">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I442" s="28"/>
      <c r="AJ442" s="28"/>
    </row>
    <row r="443" ht="12.75" customHeight="1">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I443" s="28"/>
      <c r="AJ443" s="28"/>
    </row>
    <row r="444" ht="12.75" customHeight="1">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I444" s="28"/>
      <c r="AJ444" s="28"/>
    </row>
    <row r="445" ht="12.75" customHeight="1">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I445" s="28"/>
      <c r="AJ445" s="28"/>
    </row>
    <row r="446" ht="12.75" customHeight="1">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I446" s="28"/>
      <c r="AJ446" s="28"/>
    </row>
    <row r="447" ht="12.75" customHeight="1">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I447" s="28"/>
      <c r="AJ447" s="28"/>
    </row>
    <row r="448" ht="12.75" customHeight="1">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I448" s="28"/>
      <c r="AJ448" s="28"/>
    </row>
    <row r="449" ht="12.75" customHeight="1">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I449" s="28"/>
      <c r="AJ449" s="28"/>
    </row>
    <row r="450" ht="12.75" customHeight="1">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I450" s="28"/>
      <c r="AJ450" s="28"/>
    </row>
    <row r="451" ht="12.75" customHeight="1">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I451" s="28"/>
      <c r="AJ451" s="28"/>
    </row>
    <row r="452" ht="12.75" customHeight="1">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I452" s="28"/>
      <c r="AJ452" s="28"/>
    </row>
    <row r="453" ht="12.75" customHeight="1">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I453" s="28"/>
      <c r="AJ453" s="28"/>
    </row>
    <row r="454" ht="12.75" customHeight="1">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I454" s="28"/>
      <c r="AJ454" s="28"/>
    </row>
    <row r="455" ht="12.75" customHeight="1">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I455" s="28"/>
      <c r="AJ455" s="28"/>
    </row>
    <row r="456" ht="12.75" customHeight="1">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I456" s="28"/>
      <c r="AJ456" s="28"/>
    </row>
    <row r="457" ht="12.75" customHeight="1">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I457" s="28"/>
      <c r="AJ457" s="28"/>
    </row>
    <row r="458" ht="12.75" customHeight="1">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I458" s="28"/>
      <c r="AJ458" s="28"/>
    </row>
    <row r="459" ht="12.75" customHeight="1">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I459" s="28"/>
      <c r="AJ459" s="28"/>
    </row>
    <row r="460" ht="12.75" customHeight="1">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I460" s="28"/>
      <c r="AJ460" s="28"/>
    </row>
    <row r="461" ht="12.75" customHeight="1">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I461" s="28"/>
      <c r="AJ461" s="28"/>
    </row>
    <row r="462" ht="12.75" customHeight="1">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I462" s="28"/>
      <c r="AJ462" s="28"/>
    </row>
    <row r="463" ht="12.75" customHeight="1">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I463" s="28"/>
      <c r="AJ463" s="28"/>
    </row>
    <row r="464" ht="12.75" customHeight="1">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I464" s="28"/>
      <c r="AJ464" s="28"/>
    </row>
    <row r="465" ht="12.75" customHeight="1">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I465" s="28"/>
      <c r="AJ465" s="28"/>
    </row>
    <row r="466" ht="12.75" customHeight="1">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I466" s="28"/>
      <c r="AJ466" s="28"/>
    </row>
    <row r="467" ht="12.75" customHeight="1">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I467" s="28"/>
      <c r="AJ467" s="28"/>
    </row>
    <row r="468" ht="12.75" customHeight="1">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I468" s="28"/>
      <c r="AJ468" s="28"/>
    </row>
    <row r="469" ht="12.75" customHeight="1">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I469" s="28"/>
      <c r="AJ469" s="28"/>
    </row>
    <row r="470" ht="12.75" customHeight="1">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I470" s="28"/>
      <c r="AJ470" s="28"/>
    </row>
    <row r="471" ht="12.75" customHeight="1">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I471" s="28"/>
      <c r="AJ471" s="28"/>
    </row>
    <row r="472" ht="12.75" customHeight="1">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I472" s="28"/>
      <c r="AJ472" s="28"/>
    </row>
    <row r="473" ht="12.75" customHeight="1">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I473" s="28"/>
      <c r="AJ473" s="28"/>
    </row>
    <row r="474" ht="12.75" customHeight="1">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I474" s="28"/>
      <c r="AJ474" s="28"/>
    </row>
    <row r="475" ht="12.75" customHeight="1">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I475" s="28"/>
      <c r="AJ475" s="28"/>
    </row>
    <row r="476" ht="12.75" customHeight="1">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I476" s="28"/>
      <c r="AJ476" s="28"/>
    </row>
    <row r="477" ht="12.75" customHeight="1">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I477" s="28"/>
      <c r="AJ477" s="28"/>
    </row>
    <row r="478" ht="12.75" customHeight="1">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I478" s="28"/>
      <c r="AJ478" s="28"/>
    </row>
    <row r="479" ht="12.75" customHeight="1">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I479" s="28"/>
      <c r="AJ479" s="28"/>
    </row>
    <row r="480" ht="12.75" customHeight="1">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I480" s="28"/>
      <c r="AJ480" s="28"/>
    </row>
    <row r="481" ht="12.75" customHeight="1">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I481" s="28"/>
      <c r="AJ481" s="28"/>
    </row>
    <row r="482" ht="12.75" customHeight="1">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I482" s="28"/>
      <c r="AJ482" s="28"/>
    </row>
    <row r="483" ht="12.75" customHeight="1">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I483" s="28"/>
      <c r="AJ483" s="28"/>
    </row>
    <row r="484" ht="12.75" customHeight="1">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I484" s="28"/>
      <c r="AJ484" s="28"/>
    </row>
    <row r="485" ht="12.75" customHeight="1">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I485" s="28"/>
      <c r="AJ485" s="28"/>
    </row>
    <row r="486" ht="12.75" customHeight="1">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I486" s="28"/>
      <c r="AJ486" s="28"/>
    </row>
    <row r="487" ht="12.75" customHeight="1">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I487" s="28"/>
      <c r="AJ487" s="28"/>
    </row>
    <row r="488" ht="12.75" customHeight="1">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I488" s="28"/>
      <c r="AJ488" s="28"/>
    </row>
    <row r="489" ht="12.75" customHeight="1">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I489" s="28"/>
      <c r="AJ489" s="28"/>
    </row>
    <row r="490" ht="12.75" customHeight="1">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I490" s="28"/>
      <c r="AJ490" s="28"/>
    </row>
    <row r="491" ht="12.75" customHeight="1">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I491" s="28"/>
      <c r="AJ491" s="28"/>
    </row>
    <row r="492" ht="12.75" customHeight="1">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I492" s="28"/>
      <c r="AJ492" s="28"/>
    </row>
    <row r="493" ht="12.75" customHeight="1">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I493" s="28"/>
      <c r="AJ493" s="28"/>
    </row>
    <row r="494" ht="12.75" customHeight="1">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I494" s="28"/>
      <c r="AJ494" s="28"/>
    </row>
    <row r="495" ht="12.75" customHeight="1">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I495" s="28"/>
      <c r="AJ495" s="28"/>
    </row>
    <row r="496" ht="12.75" customHeight="1">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I496" s="28"/>
      <c r="AJ496" s="28"/>
    </row>
    <row r="497" ht="12.75" customHeight="1">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I497" s="28"/>
      <c r="AJ497" s="28"/>
    </row>
    <row r="498" ht="12.75" customHeight="1">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I498" s="28"/>
      <c r="AJ498" s="28"/>
    </row>
    <row r="499" ht="12.75" customHeight="1">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I499" s="28"/>
      <c r="AJ499" s="28"/>
    </row>
    <row r="500" ht="12.75" customHeight="1">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I500" s="28"/>
      <c r="AJ500" s="28"/>
    </row>
    <row r="501" ht="12.75" customHeight="1">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I501" s="28"/>
      <c r="AJ501" s="28"/>
    </row>
    <row r="502" ht="12.75" customHeight="1">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I502" s="28"/>
      <c r="AJ502" s="28"/>
    </row>
    <row r="503" ht="12.75" customHeight="1">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I503" s="28"/>
      <c r="AJ503" s="28"/>
    </row>
    <row r="504" ht="12.75" customHeight="1">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I504" s="28"/>
      <c r="AJ504" s="28"/>
    </row>
    <row r="505" ht="12.75" customHeight="1">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I505" s="28"/>
      <c r="AJ505" s="28"/>
    </row>
    <row r="506" ht="12.75" customHeight="1">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I506" s="28"/>
      <c r="AJ506" s="28"/>
    </row>
    <row r="507" ht="12.75" customHeight="1">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I507" s="28"/>
      <c r="AJ507" s="28"/>
    </row>
    <row r="508" ht="12.75" customHeight="1">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I508" s="28"/>
      <c r="AJ508" s="28"/>
    </row>
    <row r="509" ht="12.75" customHeight="1">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I509" s="28"/>
      <c r="AJ509" s="28"/>
    </row>
    <row r="510" ht="12.75" customHeight="1">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I510" s="28"/>
      <c r="AJ510" s="28"/>
    </row>
    <row r="511" ht="12.75" customHeight="1">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I511" s="28"/>
      <c r="AJ511" s="28"/>
    </row>
    <row r="512" ht="12.75" customHeight="1">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I512" s="28"/>
      <c r="AJ512" s="28"/>
    </row>
    <row r="513" ht="12.75" customHeight="1">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I513" s="28"/>
      <c r="AJ513" s="28"/>
    </row>
    <row r="514" ht="12.75" customHeight="1">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I514" s="28"/>
      <c r="AJ514" s="28"/>
    </row>
    <row r="515" ht="12.75" customHeight="1">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I515" s="28"/>
      <c r="AJ515" s="28"/>
    </row>
    <row r="516" ht="12.75" customHeight="1">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I516" s="28"/>
      <c r="AJ516" s="28"/>
    </row>
    <row r="517" ht="12.75" customHeight="1">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I517" s="28"/>
      <c r="AJ517" s="28"/>
    </row>
    <row r="518" ht="12.75" customHeight="1">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I518" s="28"/>
      <c r="AJ518" s="28"/>
    </row>
    <row r="519" ht="12.75" customHeight="1">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I519" s="28"/>
      <c r="AJ519" s="28"/>
    </row>
    <row r="520" ht="12.75" customHeight="1">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I520" s="28"/>
      <c r="AJ520" s="28"/>
    </row>
    <row r="521" ht="12.75" customHeight="1">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I521" s="28"/>
      <c r="AJ521" s="28"/>
    </row>
    <row r="522" ht="12.75" customHeight="1">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I522" s="28"/>
      <c r="AJ522" s="28"/>
    </row>
    <row r="523" ht="12.75" customHeight="1">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I523" s="28"/>
      <c r="AJ523" s="28"/>
    </row>
    <row r="524" ht="12.75" customHeight="1">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I524" s="28"/>
      <c r="AJ524" s="28"/>
    </row>
    <row r="525" ht="12.75" customHeight="1">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I525" s="28"/>
      <c r="AJ525" s="28"/>
    </row>
    <row r="526" ht="12.75" customHeight="1">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I526" s="28"/>
      <c r="AJ526" s="28"/>
    </row>
    <row r="527" ht="12.75" customHeight="1">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I527" s="28"/>
      <c r="AJ527" s="28"/>
    </row>
    <row r="528" ht="12.75" customHeight="1">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I528" s="28"/>
      <c r="AJ528" s="28"/>
    </row>
    <row r="529" ht="12.75" customHeight="1">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I529" s="28"/>
      <c r="AJ529" s="28"/>
    </row>
    <row r="530" ht="12.75" customHeight="1">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I530" s="28"/>
      <c r="AJ530" s="28"/>
    </row>
    <row r="531" ht="12.75" customHeight="1">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I531" s="28"/>
      <c r="AJ531" s="28"/>
    </row>
    <row r="532" ht="12.75" customHeight="1">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I532" s="28"/>
      <c r="AJ532" s="28"/>
    </row>
    <row r="533" ht="12.75" customHeight="1">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I533" s="28"/>
      <c r="AJ533" s="28"/>
    </row>
    <row r="534" ht="12.75" customHeight="1">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I534" s="28"/>
      <c r="AJ534" s="28"/>
    </row>
    <row r="535" ht="12.75" customHeight="1">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I535" s="28"/>
      <c r="AJ535" s="28"/>
    </row>
    <row r="536" ht="12.75" customHeight="1">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I536" s="28"/>
      <c r="AJ536" s="28"/>
    </row>
    <row r="537" ht="12.75" customHeight="1">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I537" s="28"/>
      <c r="AJ537" s="28"/>
    </row>
    <row r="538" ht="12.75" customHeight="1">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I538" s="28"/>
      <c r="AJ538" s="28"/>
    </row>
    <row r="539" ht="12.75" customHeight="1">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I539" s="28"/>
      <c r="AJ539" s="28"/>
    </row>
    <row r="540" ht="12.75" customHeight="1">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I540" s="28"/>
      <c r="AJ540" s="28"/>
    </row>
    <row r="541" ht="12.75" customHeight="1">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I541" s="28"/>
      <c r="AJ541" s="28"/>
    </row>
    <row r="542" ht="12.75" customHeight="1">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I542" s="28"/>
      <c r="AJ542" s="28"/>
    </row>
    <row r="543" ht="12.75" customHeight="1">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I543" s="28"/>
      <c r="AJ543" s="28"/>
    </row>
    <row r="544" ht="12.75" customHeight="1">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I544" s="28"/>
      <c r="AJ544" s="28"/>
    </row>
    <row r="545" ht="12.75" customHeight="1">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I545" s="28"/>
      <c r="AJ545" s="28"/>
    </row>
    <row r="546" ht="12.75" customHeight="1">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I546" s="28"/>
      <c r="AJ546" s="28"/>
    </row>
    <row r="547" ht="12.75" customHeight="1">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I547" s="28"/>
      <c r="AJ547" s="28"/>
    </row>
    <row r="548" ht="12.75" customHeight="1">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I548" s="28"/>
      <c r="AJ548" s="28"/>
    </row>
    <row r="549" ht="12.75" customHeight="1">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I549" s="28"/>
      <c r="AJ549" s="28"/>
    </row>
    <row r="550" ht="12.75" customHeight="1">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I550" s="28"/>
      <c r="AJ550" s="28"/>
    </row>
    <row r="551" ht="12.75" customHeight="1">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I551" s="28"/>
      <c r="AJ551" s="28"/>
    </row>
    <row r="552" ht="12.75" customHeight="1">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I552" s="28"/>
      <c r="AJ552" s="28"/>
    </row>
    <row r="553" ht="12.75" customHeight="1">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I553" s="28"/>
      <c r="AJ553" s="28"/>
    </row>
    <row r="554" ht="12.75" customHeight="1">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I554" s="28"/>
      <c r="AJ554" s="28"/>
    </row>
    <row r="555" ht="12.75" customHeight="1">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I555" s="28"/>
      <c r="AJ555" s="28"/>
    </row>
    <row r="556" ht="12.75" customHeight="1">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I556" s="28"/>
      <c r="AJ556" s="28"/>
    </row>
    <row r="557" ht="12.75" customHeight="1">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I557" s="28"/>
      <c r="AJ557" s="28"/>
    </row>
    <row r="558" ht="12.75" customHeight="1">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I558" s="28"/>
      <c r="AJ558" s="28"/>
    </row>
    <row r="559" ht="12.75" customHeight="1">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I559" s="28"/>
      <c r="AJ559" s="28"/>
    </row>
    <row r="560" ht="12.75" customHeight="1">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I560" s="28"/>
      <c r="AJ560" s="28"/>
    </row>
    <row r="561" ht="12.75" customHeight="1">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I561" s="28"/>
      <c r="AJ561" s="28"/>
    </row>
    <row r="562" ht="12.75" customHeight="1">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I562" s="28"/>
      <c r="AJ562" s="28"/>
    </row>
    <row r="563" ht="12.75" customHeight="1">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I563" s="28"/>
      <c r="AJ563" s="28"/>
    </row>
    <row r="564" ht="12.75" customHeight="1">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I564" s="28"/>
      <c r="AJ564" s="28"/>
    </row>
    <row r="565" ht="12.75" customHeight="1">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I565" s="28"/>
      <c r="AJ565" s="28"/>
    </row>
    <row r="566" ht="12.75" customHeight="1">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I566" s="28"/>
      <c r="AJ566" s="28"/>
    </row>
    <row r="567" ht="12.75" customHeight="1">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I567" s="28"/>
      <c r="AJ567" s="28"/>
    </row>
    <row r="568" ht="12.75" customHeight="1">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I568" s="28"/>
      <c r="AJ568" s="28"/>
    </row>
    <row r="569" ht="12.75" customHeight="1">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I569" s="28"/>
      <c r="AJ569" s="28"/>
    </row>
    <row r="570" ht="12.75" customHeight="1">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I570" s="28"/>
      <c r="AJ570" s="28"/>
    </row>
    <row r="571" ht="12.75" customHeight="1">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I571" s="28"/>
      <c r="AJ571" s="28"/>
    </row>
    <row r="572" ht="12.75" customHeight="1">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I572" s="28"/>
      <c r="AJ572" s="28"/>
    </row>
    <row r="573" ht="12.75" customHeight="1">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I573" s="28"/>
      <c r="AJ573" s="28"/>
    </row>
    <row r="574" ht="12.75" customHeight="1">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I574" s="28"/>
      <c r="AJ574" s="28"/>
    </row>
    <row r="575" ht="12.75" customHeight="1">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I575" s="28"/>
      <c r="AJ575" s="28"/>
    </row>
    <row r="576" ht="12.75" customHeight="1">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I576" s="28"/>
      <c r="AJ576" s="28"/>
    </row>
    <row r="577" ht="12.75" customHeight="1">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I577" s="28"/>
      <c r="AJ577" s="28"/>
    </row>
    <row r="578" ht="12.75" customHeight="1">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I578" s="28"/>
      <c r="AJ578" s="28"/>
    </row>
    <row r="579" ht="12.75" customHeight="1">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I579" s="28"/>
      <c r="AJ579" s="28"/>
    </row>
    <row r="580" ht="12.75" customHeight="1">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I580" s="28"/>
      <c r="AJ580" s="28"/>
    </row>
    <row r="581" ht="12.75" customHeight="1">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I581" s="28"/>
      <c r="AJ581" s="28"/>
    </row>
    <row r="582" ht="12.75" customHeight="1">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I582" s="28"/>
      <c r="AJ582" s="28"/>
    </row>
    <row r="583" ht="12.75" customHeight="1">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I583" s="28"/>
      <c r="AJ583" s="28"/>
    </row>
    <row r="584" ht="12.75" customHeight="1">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I584" s="28"/>
      <c r="AJ584" s="28"/>
    </row>
    <row r="585" ht="12.75" customHeight="1">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I585" s="28"/>
      <c r="AJ585" s="28"/>
    </row>
    <row r="586" ht="12.75" customHeight="1">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I586" s="28"/>
      <c r="AJ586" s="28"/>
    </row>
    <row r="587" ht="12.75" customHeight="1">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I587" s="28"/>
      <c r="AJ587" s="28"/>
    </row>
    <row r="588" ht="12.75" customHeight="1">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I588" s="28"/>
      <c r="AJ588" s="28"/>
    </row>
    <row r="589" ht="12.75" customHeight="1">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I589" s="28"/>
      <c r="AJ589" s="28"/>
    </row>
    <row r="590" ht="12.75" customHeight="1">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I590" s="28"/>
      <c r="AJ590" s="28"/>
    </row>
    <row r="591" ht="12.75" customHeight="1">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I591" s="28"/>
      <c r="AJ591" s="28"/>
    </row>
    <row r="592" ht="12.75" customHeight="1">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I592" s="28"/>
      <c r="AJ592" s="28"/>
    </row>
    <row r="593" ht="12.75" customHeight="1">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I593" s="28"/>
      <c r="AJ593" s="28"/>
    </row>
    <row r="594" ht="12.75" customHeight="1">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I594" s="28"/>
      <c r="AJ594" s="28"/>
    </row>
    <row r="595" ht="12.75" customHeight="1">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I595" s="28"/>
      <c r="AJ595" s="28"/>
    </row>
    <row r="596" ht="12.75" customHeight="1">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I596" s="28"/>
      <c r="AJ596" s="28"/>
    </row>
    <row r="597" ht="12.75" customHeight="1">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I597" s="28"/>
      <c r="AJ597" s="28"/>
    </row>
    <row r="598" ht="12.75" customHeight="1">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I598" s="28"/>
      <c r="AJ598" s="28"/>
    </row>
    <row r="599" ht="12.75" customHeight="1">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I599" s="28"/>
      <c r="AJ599" s="28"/>
    </row>
    <row r="600" ht="12.75" customHeight="1">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I600" s="28"/>
      <c r="AJ600" s="28"/>
    </row>
    <row r="601" ht="12.75" customHeight="1">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I601" s="28"/>
      <c r="AJ601" s="28"/>
    </row>
    <row r="602" ht="12.75" customHeight="1">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I602" s="28"/>
      <c r="AJ602" s="28"/>
    </row>
    <row r="603" ht="12.75" customHeight="1">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I603" s="28"/>
      <c r="AJ603" s="28"/>
    </row>
    <row r="604" ht="12.75" customHeight="1">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I604" s="28"/>
      <c r="AJ604" s="28"/>
    </row>
    <row r="605" ht="12.75" customHeight="1">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I605" s="28"/>
      <c r="AJ605" s="28"/>
    </row>
    <row r="606" ht="12.75" customHeight="1">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I606" s="28"/>
      <c r="AJ606" s="28"/>
    </row>
    <row r="607" ht="12.75" customHeight="1">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I607" s="28"/>
      <c r="AJ607" s="28"/>
    </row>
    <row r="608" ht="12.75" customHeight="1">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I608" s="28"/>
      <c r="AJ608" s="28"/>
    </row>
    <row r="609" ht="12.75" customHeight="1">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I609" s="28"/>
      <c r="AJ609" s="28"/>
    </row>
    <row r="610" ht="12.75" customHeight="1">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I610" s="28"/>
      <c r="AJ610" s="28"/>
    </row>
    <row r="611" ht="12.75" customHeight="1">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I611" s="28"/>
      <c r="AJ611" s="28"/>
    </row>
    <row r="612" ht="12.75" customHeight="1">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I612" s="28"/>
      <c r="AJ612" s="28"/>
    </row>
    <row r="613" ht="12.75" customHeight="1">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I613" s="28"/>
      <c r="AJ613" s="28"/>
    </row>
    <row r="614" ht="12.75" customHeight="1">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I614" s="28"/>
      <c r="AJ614" s="28"/>
    </row>
    <row r="615" ht="12.75" customHeight="1">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I615" s="28"/>
      <c r="AJ615" s="28"/>
    </row>
    <row r="616" ht="12.75" customHeight="1">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I616" s="28"/>
      <c r="AJ616" s="28"/>
    </row>
    <row r="617" ht="12.75" customHeight="1">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I617" s="28"/>
      <c r="AJ617" s="28"/>
    </row>
    <row r="618" ht="12.75" customHeight="1">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I618" s="28"/>
      <c r="AJ618" s="28"/>
    </row>
    <row r="619" ht="12.75" customHeight="1">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I619" s="28"/>
      <c r="AJ619" s="28"/>
    </row>
    <row r="620" ht="12.75" customHeight="1">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I620" s="28"/>
      <c r="AJ620" s="28"/>
    </row>
    <row r="621" ht="12.75" customHeight="1">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I621" s="28"/>
      <c r="AJ621" s="28"/>
    </row>
    <row r="622" ht="12.75" customHeight="1">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I622" s="28"/>
      <c r="AJ622" s="28"/>
    </row>
    <row r="623" ht="12.75" customHeight="1">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I623" s="28"/>
      <c r="AJ623" s="28"/>
    </row>
    <row r="624" ht="12.75" customHeight="1">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I624" s="28"/>
      <c r="AJ624" s="28"/>
    </row>
    <row r="625" ht="12.75" customHeight="1">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I625" s="28"/>
      <c r="AJ625" s="28"/>
    </row>
    <row r="626" ht="12.75" customHeight="1">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I626" s="28"/>
      <c r="AJ626" s="28"/>
    </row>
    <row r="627" ht="12.75" customHeight="1">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I627" s="28"/>
      <c r="AJ627" s="28"/>
    </row>
    <row r="628" ht="12.75" customHeight="1">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I628" s="28"/>
      <c r="AJ628" s="28"/>
    </row>
    <row r="629" ht="12.75" customHeight="1">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I629" s="28"/>
      <c r="AJ629" s="28"/>
    </row>
    <row r="630" ht="12.75" customHeight="1">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I630" s="28"/>
      <c r="AJ630" s="28"/>
    </row>
    <row r="631" ht="12.75" customHeight="1">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I631" s="28"/>
      <c r="AJ631" s="28"/>
    </row>
    <row r="632" ht="12.75" customHeight="1">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I632" s="28"/>
      <c r="AJ632" s="28"/>
    </row>
    <row r="633" ht="12.75" customHeight="1">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I633" s="28"/>
      <c r="AJ633" s="28"/>
    </row>
    <row r="634" ht="12.75" customHeight="1">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I634" s="28"/>
      <c r="AJ634" s="28"/>
    </row>
    <row r="635" ht="12.75" customHeight="1">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I635" s="28"/>
      <c r="AJ635" s="28"/>
    </row>
    <row r="636" ht="12.75" customHeight="1">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I636" s="28"/>
      <c r="AJ636" s="28"/>
    </row>
    <row r="637" ht="12.75" customHeight="1">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I637" s="28"/>
      <c r="AJ637" s="28"/>
    </row>
    <row r="638" ht="12.75" customHeight="1">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I638" s="28"/>
      <c r="AJ638" s="28"/>
    </row>
    <row r="639" ht="12.75" customHeight="1">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I639" s="28"/>
      <c r="AJ639" s="28"/>
    </row>
    <row r="640" ht="12.75" customHeight="1">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I640" s="28"/>
      <c r="AJ640" s="28"/>
    </row>
    <row r="641" ht="12.75" customHeight="1">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I641" s="28"/>
      <c r="AJ641" s="28"/>
    </row>
    <row r="642" ht="12.75" customHeight="1">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I642" s="28"/>
      <c r="AJ642" s="28"/>
    </row>
    <row r="643" ht="12.75" customHeight="1">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I643" s="28"/>
      <c r="AJ643" s="28"/>
    </row>
    <row r="644" ht="12.75" customHeight="1">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I644" s="28"/>
      <c r="AJ644" s="28"/>
    </row>
    <row r="645" ht="12.75" customHeight="1">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I645" s="28"/>
      <c r="AJ645" s="28"/>
    </row>
    <row r="646" ht="12.75" customHeight="1">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I646" s="28"/>
      <c r="AJ646" s="28"/>
    </row>
    <row r="647" ht="12.75" customHeight="1">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I647" s="28"/>
      <c r="AJ647" s="28"/>
    </row>
    <row r="648" ht="12.75" customHeight="1">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I648" s="28"/>
      <c r="AJ648" s="28"/>
    </row>
    <row r="649" ht="12.75" customHeight="1">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I649" s="28"/>
      <c r="AJ649" s="28"/>
    </row>
    <row r="650" ht="12.75" customHeight="1">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I650" s="28"/>
      <c r="AJ650" s="28"/>
    </row>
    <row r="651" ht="12.75" customHeight="1">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I651" s="28"/>
      <c r="AJ651" s="28"/>
    </row>
    <row r="652" ht="12.75" customHeight="1">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I652" s="28"/>
      <c r="AJ652" s="28"/>
    </row>
    <row r="653" ht="12.75" customHeight="1">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I653" s="28"/>
      <c r="AJ653" s="28"/>
    </row>
    <row r="654" ht="12.75" customHeight="1">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I654" s="28"/>
      <c r="AJ654" s="28"/>
    </row>
    <row r="655" ht="12.75" customHeight="1">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I655" s="28"/>
      <c r="AJ655" s="28"/>
    </row>
    <row r="656" ht="12.75" customHeight="1">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I656" s="28"/>
      <c r="AJ656" s="28"/>
    </row>
    <row r="657" ht="12.75" customHeight="1">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I657" s="28"/>
      <c r="AJ657" s="28"/>
    </row>
    <row r="658" ht="12.75" customHeight="1">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I658" s="28"/>
      <c r="AJ658" s="28"/>
    </row>
    <row r="659" ht="12.75" customHeight="1">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I659" s="28"/>
      <c r="AJ659" s="28"/>
    </row>
    <row r="660" ht="12.75" customHeight="1">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I660" s="28"/>
      <c r="AJ660" s="28"/>
    </row>
    <row r="661" ht="12.75" customHeight="1">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I661" s="28"/>
      <c r="AJ661" s="28"/>
    </row>
    <row r="662" ht="12.75" customHeight="1">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I662" s="28"/>
      <c r="AJ662" s="28"/>
    </row>
    <row r="663" ht="12.75" customHeight="1">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I663" s="28"/>
      <c r="AJ663" s="28"/>
    </row>
    <row r="664" ht="12.75" customHeight="1">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I664" s="28"/>
      <c r="AJ664" s="28"/>
    </row>
    <row r="665" ht="12.75" customHeight="1">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I665" s="28"/>
      <c r="AJ665" s="28"/>
    </row>
    <row r="666" ht="12.75" customHeight="1">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I666" s="28"/>
      <c r="AJ666" s="28"/>
    </row>
    <row r="667" ht="12.75" customHeight="1">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I667" s="28"/>
      <c r="AJ667" s="28"/>
    </row>
    <row r="668" ht="12.75" customHeight="1">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I668" s="28"/>
      <c r="AJ668" s="28"/>
    </row>
    <row r="669" ht="12.75" customHeight="1">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I669" s="28"/>
      <c r="AJ669" s="28"/>
    </row>
    <row r="670" ht="12.75" customHeight="1">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I670" s="28"/>
      <c r="AJ670" s="28"/>
    </row>
    <row r="671" ht="12.75" customHeight="1">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I671" s="28"/>
      <c r="AJ671" s="28"/>
    </row>
    <row r="672" ht="12.75" customHeight="1">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I672" s="28"/>
      <c r="AJ672" s="28"/>
    </row>
    <row r="673" ht="12.75" customHeight="1">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I673" s="28"/>
      <c r="AJ673" s="28"/>
    </row>
    <row r="674" ht="12.75" customHeight="1">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I674" s="28"/>
      <c r="AJ674" s="28"/>
    </row>
    <row r="675" ht="12.75" customHeight="1">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I675" s="28"/>
      <c r="AJ675" s="28"/>
    </row>
    <row r="676" ht="12.75" customHeight="1">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I676" s="28"/>
      <c r="AJ676" s="28"/>
    </row>
    <row r="677" ht="12.75" customHeight="1">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I677" s="28"/>
      <c r="AJ677" s="28"/>
    </row>
    <row r="678" ht="12.75" customHeight="1">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I678" s="28"/>
      <c r="AJ678" s="28"/>
    </row>
    <row r="679" ht="12.75" customHeight="1">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I679" s="28"/>
      <c r="AJ679" s="28"/>
    </row>
    <row r="680" ht="12.75" customHeight="1">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I680" s="28"/>
      <c r="AJ680" s="28"/>
    </row>
    <row r="681" ht="12.75" customHeight="1">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I681" s="28"/>
      <c r="AJ681" s="28"/>
    </row>
    <row r="682" ht="12.75" customHeight="1">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I682" s="28"/>
      <c r="AJ682" s="28"/>
    </row>
    <row r="683" ht="12.75" customHeight="1">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I683" s="28"/>
      <c r="AJ683" s="28"/>
    </row>
    <row r="684" ht="12.75" customHeight="1">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I684" s="28"/>
      <c r="AJ684" s="28"/>
    </row>
    <row r="685" ht="12.75" customHeight="1">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I685" s="28"/>
      <c r="AJ685" s="28"/>
    </row>
    <row r="686" ht="12.75" customHeight="1">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I686" s="28"/>
      <c r="AJ686" s="28"/>
    </row>
    <row r="687" ht="12.75" customHeight="1">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I687" s="28"/>
      <c r="AJ687" s="28"/>
    </row>
    <row r="688" ht="12.75" customHeight="1">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I688" s="28"/>
      <c r="AJ688" s="28"/>
    </row>
    <row r="689" ht="12.75" customHeight="1">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I689" s="28"/>
      <c r="AJ689" s="28"/>
    </row>
    <row r="690" ht="12.75" customHeight="1">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I690" s="28"/>
      <c r="AJ690" s="28"/>
    </row>
    <row r="691" ht="12.75" customHeight="1">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I691" s="28"/>
      <c r="AJ691" s="28"/>
    </row>
    <row r="692" ht="12.75" customHeight="1">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I692" s="28"/>
      <c r="AJ692" s="28"/>
    </row>
    <row r="693" ht="12.75" customHeight="1">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I693" s="28"/>
      <c r="AJ693" s="28"/>
    </row>
    <row r="694" ht="12.75" customHeight="1">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I694" s="28"/>
      <c r="AJ694" s="28"/>
    </row>
    <row r="695" ht="12.75" customHeight="1">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I695" s="28"/>
      <c r="AJ695" s="28"/>
    </row>
    <row r="696" ht="12.75" customHeight="1">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I696" s="28"/>
      <c r="AJ696" s="28"/>
    </row>
    <row r="697" ht="12.75" customHeight="1">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I697" s="28"/>
      <c r="AJ697" s="28"/>
    </row>
    <row r="698" ht="12.75" customHeight="1">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I698" s="28"/>
      <c r="AJ698" s="28"/>
    </row>
    <row r="699" ht="12.75" customHeight="1">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I699" s="28"/>
      <c r="AJ699" s="28"/>
    </row>
    <row r="700" ht="12.75" customHeight="1">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I700" s="28"/>
      <c r="AJ700" s="28"/>
    </row>
    <row r="701" ht="12.75" customHeight="1">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I701" s="28"/>
      <c r="AJ701" s="28"/>
    </row>
    <row r="702" ht="12.75" customHeight="1">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I702" s="28"/>
      <c r="AJ702" s="28"/>
    </row>
    <row r="703" ht="12.75" customHeight="1">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I703" s="28"/>
      <c r="AJ703" s="28"/>
    </row>
    <row r="704" ht="12.75" customHeight="1">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I704" s="28"/>
      <c r="AJ704" s="28"/>
    </row>
    <row r="705" ht="12.75" customHeight="1">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I705" s="28"/>
      <c r="AJ705" s="28"/>
    </row>
    <row r="706" ht="12.75" customHeight="1">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I706" s="28"/>
      <c r="AJ706" s="28"/>
    </row>
    <row r="707" ht="12.75" customHeight="1">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I707" s="28"/>
      <c r="AJ707" s="28"/>
    </row>
    <row r="708" ht="12.75" customHeight="1">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I708" s="28"/>
      <c r="AJ708" s="28"/>
    </row>
    <row r="709" ht="12.75" customHeight="1">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I709" s="28"/>
      <c r="AJ709" s="28"/>
    </row>
    <row r="710" ht="12.75" customHeight="1">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I710" s="28"/>
      <c r="AJ710" s="28"/>
    </row>
    <row r="711" ht="12.75" customHeight="1">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I711" s="28"/>
      <c r="AJ711" s="28"/>
    </row>
    <row r="712" ht="12.75" customHeight="1">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I712" s="28"/>
      <c r="AJ712" s="28"/>
    </row>
    <row r="713" ht="12.75" customHeight="1">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I713" s="28"/>
      <c r="AJ713" s="28"/>
    </row>
    <row r="714" ht="12.75" customHeight="1">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I714" s="28"/>
      <c r="AJ714" s="28"/>
    </row>
    <row r="715" ht="12.75" customHeight="1">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I715" s="28"/>
      <c r="AJ715" s="28"/>
    </row>
    <row r="716" ht="12.75" customHeight="1">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I716" s="28"/>
      <c r="AJ716" s="28"/>
    </row>
    <row r="717" ht="12.75" customHeight="1">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I717" s="28"/>
      <c r="AJ717" s="28"/>
    </row>
    <row r="718" ht="12.75" customHeight="1">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I718" s="28"/>
      <c r="AJ718" s="28"/>
    </row>
    <row r="719" ht="12.75" customHeight="1">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I719" s="28"/>
      <c r="AJ719" s="28"/>
    </row>
    <row r="720" ht="12.75" customHeight="1">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I720" s="28"/>
      <c r="AJ720" s="28"/>
    </row>
    <row r="721" ht="12.75" customHeight="1">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I721" s="28"/>
      <c r="AJ721" s="28"/>
    </row>
    <row r="722" ht="12.75" customHeight="1">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I722" s="28"/>
      <c r="AJ722" s="28"/>
    </row>
    <row r="723" ht="12.75" customHeight="1">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I723" s="28"/>
      <c r="AJ723" s="28"/>
    </row>
    <row r="724" ht="12.75" customHeight="1">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I724" s="28"/>
      <c r="AJ724" s="28"/>
    </row>
    <row r="725" ht="12.75" customHeight="1">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I725" s="28"/>
      <c r="AJ725" s="28"/>
    </row>
    <row r="726" ht="12.75" customHeight="1">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I726" s="28"/>
      <c r="AJ726" s="28"/>
    </row>
    <row r="727" ht="12.75" customHeight="1">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I727" s="28"/>
      <c r="AJ727" s="28"/>
    </row>
    <row r="728" ht="12.75" customHeight="1">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I728" s="28"/>
      <c r="AJ728" s="28"/>
    </row>
    <row r="729" ht="12.75" customHeight="1">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I729" s="28"/>
      <c r="AJ729" s="28"/>
    </row>
    <row r="730" ht="12.75" customHeight="1">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I730" s="28"/>
      <c r="AJ730" s="28"/>
    </row>
    <row r="731" ht="12.75" customHeight="1">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I731" s="28"/>
      <c r="AJ731" s="28"/>
    </row>
    <row r="732" ht="12.75" customHeight="1">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I732" s="28"/>
      <c r="AJ732" s="28"/>
    </row>
    <row r="733" ht="12.75" customHeight="1">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I733" s="28"/>
      <c r="AJ733" s="28"/>
    </row>
    <row r="734" ht="12.75" customHeight="1">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I734" s="28"/>
      <c r="AJ734" s="28"/>
    </row>
    <row r="735" ht="12.75" customHeight="1">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I735" s="28"/>
      <c r="AJ735" s="28"/>
    </row>
    <row r="736" ht="12.75" customHeight="1">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I736" s="28"/>
      <c r="AJ736" s="28"/>
    </row>
    <row r="737" ht="12.75" customHeight="1">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I737" s="28"/>
      <c r="AJ737" s="28"/>
    </row>
    <row r="738" ht="12.75" customHeight="1">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I738" s="28"/>
      <c r="AJ738" s="28"/>
    </row>
    <row r="739" ht="12.75" customHeight="1">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I739" s="28"/>
      <c r="AJ739" s="28"/>
    </row>
    <row r="740" ht="12.75" customHeight="1">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I740" s="28"/>
      <c r="AJ740" s="28"/>
    </row>
    <row r="741" ht="12.75" customHeight="1">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I741" s="28"/>
      <c r="AJ741" s="28"/>
    </row>
    <row r="742" ht="12.75" customHeight="1">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I742" s="28"/>
      <c r="AJ742" s="28"/>
    </row>
    <row r="743" ht="12.75" customHeight="1">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I743" s="28"/>
      <c r="AJ743" s="28"/>
    </row>
    <row r="744" ht="12.75" customHeight="1">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I744" s="28"/>
      <c r="AJ744" s="28"/>
    </row>
    <row r="745" ht="12.75" customHeight="1">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I745" s="28"/>
      <c r="AJ745" s="28"/>
    </row>
    <row r="746" ht="12.75" customHeight="1">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I746" s="28"/>
      <c r="AJ746" s="28"/>
    </row>
    <row r="747" ht="12.75" customHeight="1">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I747" s="28"/>
      <c r="AJ747" s="28"/>
    </row>
    <row r="748" ht="12.75" customHeight="1">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I748" s="28"/>
      <c r="AJ748" s="28"/>
    </row>
    <row r="749" ht="12.75" customHeight="1">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I749" s="28"/>
      <c r="AJ749" s="28"/>
    </row>
    <row r="750" ht="12.75" customHeight="1">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I750" s="28"/>
      <c r="AJ750" s="28"/>
    </row>
    <row r="751" ht="12.75" customHeight="1">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I751" s="28"/>
      <c r="AJ751" s="28"/>
    </row>
    <row r="752" ht="12.75" customHeight="1">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I752" s="28"/>
      <c r="AJ752" s="28"/>
    </row>
    <row r="753" ht="12.75" customHeight="1">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I753" s="28"/>
      <c r="AJ753" s="28"/>
    </row>
    <row r="754" ht="12.75" customHeight="1">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I754" s="28"/>
      <c r="AJ754" s="28"/>
    </row>
    <row r="755" ht="12.75" customHeight="1">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I755" s="28"/>
      <c r="AJ755" s="28"/>
    </row>
    <row r="756" ht="12.75" customHeight="1">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I756" s="28"/>
      <c r="AJ756" s="28"/>
    </row>
    <row r="757" ht="12.75" customHeight="1">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I757" s="28"/>
      <c r="AJ757" s="28"/>
    </row>
    <row r="758" ht="12.75" customHeight="1">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I758" s="28"/>
      <c r="AJ758" s="28"/>
    </row>
    <row r="759" ht="12.75" customHeight="1">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I759" s="28"/>
      <c r="AJ759" s="28"/>
    </row>
    <row r="760" ht="12.75" customHeight="1">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I760" s="28"/>
      <c r="AJ760" s="28"/>
    </row>
    <row r="761" ht="12.75" customHeight="1">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I761" s="28"/>
      <c r="AJ761" s="28"/>
    </row>
    <row r="762" ht="12.75" customHeight="1">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I762" s="28"/>
      <c r="AJ762" s="28"/>
    </row>
    <row r="763" ht="12.75" customHeight="1">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I763" s="28"/>
      <c r="AJ763" s="28"/>
    </row>
    <row r="764" ht="12.75" customHeight="1">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I764" s="28"/>
      <c r="AJ764" s="28"/>
    </row>
    <row r="765" ht="12.75" customHeight="1">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I765" s="28"/>
      <c r="AJ765" s="28"/>
    </row>
    <row r="766" ht="12.75" customHeight="1">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I766" s="28"/>
      <c r="AJ766" s="28"/>
    </row>
    <row r="767" ht="12.75" customHeight="1">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I767" s="28"/>
      <c r="AJ767" s="28"/>
    </row>
    <row r="768" ht="12.75" customHeight="1">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I768" s="28"/>
      <c r="AJ768" s="28"/>
    </row>
    <row r="769" ht="12.75" customHeight="1">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I769" s="28"/>
      <c r="AJ769" s="28"/>
    </row>
    <row r="770" ht="12.75" customHeight="1">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I770" s="28"/>
      <c r="AJ770" s="28"/>
    </row>
    <row r="771" ht="12.75" customHeight="1">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I771" s="28"/>
      <c r="AJ771" s="28"/>
    </row>
    <row r="772" ht="12.75" customHeight="1">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I772" s="28"/>
      <c r="AJ772" s="28"/>
    </row>
    <row r="773" ht="12.75" customHeight="1">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I773" s="28"/>
      <c r="AJ773" s="28"/>
    </row>
    <row r="774" ht="12.75" customHeight="1">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I774" s="28"/>
      <c r="AJ774" s="28"/>
    </row>
    <row r="775" ht="12.75" customHeight="1">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I775" s="28"/>
      <c r="AJ775" s="28"/>
    </row>
    <row r="776" ht="12.75" customHeight="1">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I776" s="28"/>
      <c r="AJ776" s="28"/>
    </row>
    <row r="777" ht="12.75" customHeight="1">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I777" s="28"/>
      <c r="AJ777" s="28"/>
    </row>
    <row r="778" ht="12.75" customHeight="1">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I778" s="28"/>
      <c r="AJ778" s="28"/>
    </row>
    <row r="779" ht="12.75" customHeight="1">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I779" s="28"/>
      <c r="AJ779" s="28"/>
    </row>
    <row r="780" ht="12.75" customHeight="1">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I780" s="28"/>
      <c r="AJ780" s="28"/>
    </row>
    <row r="781" ht="12.75" customHeight="1">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I781" s="28"/>
      <c r="AJ781" s="28"/>
    </row>
    <row r="782" ht="12.75" customHeight="1">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I782" s="28"/>
      <c r="AJ782" s="28"/>
    </row>
    <row r="783" ht="12.75" customHeight="1">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I783" s="28"/>
      <c r="AJ783" s="28"/>
    </row>
    <row r="784" ht="12.75" customHeight="1">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I784" s="28"/>
      <c r="AJ784" s="28"/>
    </row>
    <row r="785" ht="12.75" customHeight="1">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I785" s="28"/>
      <c r="AJ785" s="28"/>
    </row>
    <row r="786" ht="12.75" customHeight="1">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I786" s="28"/>
      <c r="AJ786" s="28"/>
    </row>
    <row r="787" ht="12.75" customHeight="1">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I787" s="28"/>
      <c r="AJ787" s="28"/>
    </row>
    <row r="788" ht="12.75" customHeight="1">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I788" s="28"/>
      <c r="AJ788" s="28"/>
    </row>
    <row r="789" ht="12.75" customHeight="1">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I789" s="28"/>
      <c r="AJ789" s="28"/>
    </row>
    <row r="790" ht="12.75" customHeight="1">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I790" s="28"/>
      <c r="AJ790" s="28"/>
    </row>
    <row r="791" ht="12.75" customHeight="1">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I791" s="28"/>
      <c r="AJ791" s="28"/>
    </row>
    <row r="792" ht="12.75" customHeight="1">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I792" s="28"/>
      <c r="AJ792" s="28"/>
    </row>
    <row r="793" ht="12.75" customHeight="1">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I793" s="28"/>
      <c r="AJ793" s="28"/>
    </row>
    <row r="794" ht="12.75" customHeight="1">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I794" s="28"/>
      <c r="AJ794" s="28"/>
    </row>
    <row r="795" ht="12.75" customHeight="1">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I795" s="28"/>
      <c r="AJ795" s="28"/>
    </row>
    <row r="796" ht="12.75" customHeight="1">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I796" s="28"/>
      <c r="AJ796" s="28"/>
    </row>
    <row r="797" ht="12.75" customHeight="1">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I797" s="28"/>
      <c r="AJ797" s="28"/>
    </row>
    <row r="798" ht="12.75" customHeight="1">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I798" s="28"/>
      <c r="AJ798" s="28"/>
    </row>
    <row r="799" ht="12.75" customHeight="1">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I799" s="28"/>
      <c r="AJ799" s="28"/>
    </row>
    <row r="800" ht="12.75" customHeight="1">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I800" s="28"/>
      <c r="AJ800" s="28"/>
    </row>
    <row r="801" ht="12.75" customHeight="1">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I801" s="28"/>
      <c r="AJ801" s="28"/>
    </row>
    <row r="802" ht="12.75" customHeight="1">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I802" s="28"/>
      <c r="AJ802" s="28"/>
    </row>
    <row r="803" ht="12.75" customHeight="1">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I803" s="28"/>
      <c r="AJ803" s="28"/>
    </row>
    <row r="804" ht="12.75" customHeight="1">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I804" s="28"/>
      <c r="AJ804" s="28"/>
    </row>
    <row r="805" ht="12.75" customHeight="1">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I805" s="28"/>
      <c r="AJ805" s="28"/>
    </row>
    <row r="806" ht="12.75" customHeight="1">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I806" s="28"/>
      <c r="AJ806" s="28"/>
    </row>
    <row r="807" ht="12.75" customHeight="1">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I807" s="28"/>
      <c r="AJ807" s="28"/>
    </row>
    <row r="808" ht="12.75" customHeight="1">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I808" s="28"/>
      <c r="AJ808" s="28"/>
    </row>
    <row r="809" ht="12.75" customHeight="1">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I809" s="28"/>
      <c r="AJ809" s="28"/>
    </row>
    <row r="810" ht="12.75" customHeight="1">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I810" s="28"/>
      <c r="AJ810" s="28"/>
    </row>
    <row r="811" ht="12.75" customHeight="1">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I811" s="28"/>
      <c r="AJ811" s="28"/>
    </row>
    <row r="812" ht="12.75" customHeight="1">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I812" s="28"/>
      <c r="AJ812" s="28"/>
    </row>
    <row r="813" ht="12.75" customHeight="1">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I813" s="28"/>
      <c r="AJ813" s="28"/>
    </row>
    <row r="814" ht="12.75" customHeight="1">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I814" s="28"/>
      <c r="AJ814" s="28"/>
    </row>
    <row r="815" ht="12.75" customHeight="1">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I815" s="28"/>
      <c r="AJ815" s="28"/>
    </row>
    <row r="816" ht="12.75" customHeight="1">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I816" s="28"/>
      <c r="AJ816" s="28"/>
    </row>
    <row r="817" ht="12.75" customHeight="1">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I817" s="28"/>
      <c r="AJ817" s="28"/>
    </row>
    <row r="818" ht="12.75" customHeight="1">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I818" s="28"/>
      <c r="AJ818" s="28"/>
    </row>
    <row r="819" ht="12.75" customHeight="1">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I819" s="28"/>
      <c r="AJ819" s="28"/>
    </row>
    <row r="820" ht="12.75" customHeight="1">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I820" s="28"/>
      <c r="AJ820" s="28"/>
    </row>
    <row r="821" ht="12.75" customHeight="1">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I821" s="28"/>
      <c r="AJ821" s="28"/>
    </row>
    <row r="822" ht="12.75" customHeight="1">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I822" s="28"/>
      <c r="AJ822" s="28"/>
    </row>
    <row r="823" ht="12.75" customHeight="1">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I823" s="28"/>
      <c r="AJ823" s="28"/>
    </row>
    <row r="824" ht="12.75" customHeight="1">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I824" s="28"/>
      <c r="AJ824" s="28"/>
    </row>
    <row r="825" ht="12.75" customHeight="1">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I825" s="28"/>
      <c r="AJ825" s="28"/>
    </row>
    <row r="826" ht="12.75" customHeight="1">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I826" s="28"/>
      <c r="AJ826" s="28"/>
    </row>
    <row r="827" ht="12.75" customHeight="1">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I827" s="28"/>
      <c r="AJ827" s="28"/>
    </row>
    <row r="828" ht="12.75" customHeight="1">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I828" s="28"/>
      <c r="AJ828" s="28"/>
    </row>
    <row r="829" ht="12.75" customHeight="1">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I829" s="28"/>
      <c r="AJ829" s="28"/>
    </row>
    <row r="830" ht="12.75" customHeight="1">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I830" s="28"/>
      <c r="AJ830" s="28"/>
    </row>
    <row r="831" ht="12.75" customHeight="1">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I831" s="28"/>
      <c r="AJ831" s="28"/>
    </row>
    <row r="832" ht="12.75" customHeight="1">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I832" s="28"/>
      <c r="AJ832" s="28"/>
    </row>
    <row r="833" ht="12.75" customHeight="1">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I833" s="28"/>
      <c r="AJ833" s="28"/>
    </row>
    <row r="834" ht="12.75" customHeight="1">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I834" s="28"/>
      <c r="AJ834" s="28"/>
    </row>
    <row r="835" ht="12.75" customHeight="1">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I835" s="28"/>
      <c r="AJ835" s="28"/>
    </row>
    <row r="836" ht="12.75" customHeight="1">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I836" s="28"/>
      <c r="AJ836" s="28"/>
    </row>
    <row r="837" ht="12.75" customHeight="1">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I837" s="28"/>
      <c r="AJ837" s="28"/>
    </row>
    <row r="838" ht="12.75" customHeight="1">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I838" s="28"/>
      <c r="AJ838" s="28"/>
    </row>
    <row r="839" ht="12.75" customHeight="1">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I839" s="28"/>
      <c r="AJ839" s="28"/>
    </row>
    <row r="840" ht="12.75" customHeight="1">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I840" s="28"/>
      <c r="AJ840" s="28"/>
    </row>
    <row r="841" ht="12.75" customHeight="1">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I841" s="28"/>
      <c r="AJ841" s="28"/>
    </row>
    <row r="842" ht="12.75" customHeight="1">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I842" s="28"/>
      <c r="AJ842" s="28"/>
    </row>
    <row r="843" ht="12.75" customHeight="1">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I843" s="28"/>
      <c r="AJ843" s="28"/>
    </row>
    <row r="844" ht="12.75" customHeight="1">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I844" s="28"/>
      <c r="AJ844" s="28"/>
    </row>
    <row r="845" ht="12.75" customHeight="1">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I845" s="28"/>
      <c r="AJ845" s="28"/>
    </row>
    <row r="846" ht="12.75" customHeight="1">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I846" s="28"/>
      <c r="AJ846" s="28"/>
    </row>
    <row r="847" ht="12.75" customHeight="1">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I847" s="28"/>
      <c r="AJ847" s="28"/>
    </row>
    <row r="848" ht="12.75" customHeight="1">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I848" s="28"/>
      <c r="AJ848" s="28"/>
    </row>
    <row r="849" ht="12.75" customHeight="1">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I849" s="28"/>
      <c r="AJ849" s="28"/>
    </row>
    <row r="850" ht="12.75" customHeight="1">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I850" s="28"/>
      <c r="AJ850" s="28"/>
    </row>
    <row r="851" ht="12.75" customHeight="1">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I851" s="28"/>
      <c r="AJ851" s="28"/>
    </row>
    <row r="852" ht="12.75" customHeight="1">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I852" s="28"/>
      <c r="AJ852" s="28"/>
    </row>
    <row r="853" ht="12.75" customHeight="1">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I853" s="28"/>
      <c r="AJ853" s="28"/>
    </row>
    <row r="854" ht="12.75" customHeight="1">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I854" s="28"/>
      <c r="AJ854" s="28"/>
    </row>
    <row r="855" ht="12.75" customHeight="1">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I855" s="28"/>
      <c r="AJ855" s="28"/>
    </row>
    <row r="856" ht="12.75" customHeight="1">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I856" s="28"/>
      <c r="AJ856" s="28"/>
    </row>
    <row r="857" ht="12.75" customHeight="1">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I857" s="28"/>
      <c r="AJ857" s="28"/>
    </row>
    <row r="858" ht="12.75" customHeight="1">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I858" s="28"/>
      <c r="AJ858" s="28"/>
    </row>
    <row r="859" ht="12.75" customHeight="1">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I859" s="28"/>
      <c r="AJ859" s="28"/>
    </row>
    <row r="860" ht="12.75" customHeight="1">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I860" s="28"/>
      <c r="AJ860" s="28"/>
    </row>
    <row r="861" ht="12.75" customHeight="1">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I861" s="28"/>
      <c r="AJ861" s="28"/>
    </row>
    <row r="862" ht="12.75" customHeight="1">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I862" s="28"/>
      <c r="AJ862" s="28"/>
    </row>
    <row r="863" ht="12.75" customHeight="1">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I863" s="28"/>
      <c r="AJ863" s="28"/>
    </row>
    <row r="864" ht="12.75" customHeight="1">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I864" s="28"/>
      <c r="AJ864" s="28"/>
    </row>
    <row r="865" ht="12.75" customHeight="1">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I865" s="28"/>
      <c r="AJ865" s="28"/>
    </row>
    <row r="866" ht="12.75" customHeight="1">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I866" s="28"/>
      <c r="AJ866" s="28"/>
    </row>
    <row r="867" ht="12.75" customHeight="1">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I867" s="28"/>
      <c r="AJ867" s="28"/>
    </row>
    <row r="868" ht="12.75" customHeight="1">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I868" s="28"/>
      <c r="AJ868" s="28"/>
    </row>
    <row r="869" ht="12.75" customHeight="1">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I869" s="28"/>
      <c r="AJ869" s="28"/>
    </row>
    <row r="870" ht="12.75" customHeight="1">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I870" s="28"/>
      <c r="AJ870" s="28"/>
    </row>
    <row r="871" ht="12.75" customHeight="1">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I871" s="28"/>
      <c r="AJ871" s="28"/>
    </row>
    <row r="872" ht="12.75" customHeight="1">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I872" s="28"/>
      <c r="AJ872" s="28"/>
    </row>
    <row r="873" ht="12.75" customHeight="1">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I873" s="28"/>
      <c r="AJ873" s="28"/>
    </row>
    <row r="874" ht="12.75" customHeight="1">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I874" s="28"/>
      <c r="AJ874" s="28"/>
    </row>
    <row r="875" ht="12.75" customHeight="1">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I875" s="28"/>
      <c r="AJ875" s="28"/>
    </row>
    <row r="876" ht="12.75" customHeight="1">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I876" s="28"/>
      <c r="AJ876" s="28"/>
    </row>
    <row r="877" ht="12.75" customHeight="1">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I877" s="28"/>
      <c r="AJ877" s="28"/>
    </row>
    <row r="878" ht="12.75" customHeight="1">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I878" s="28"/>
      <c r="AJ878" s="28"/>
    </row>
    <row r="879" ht="12.75" customHeight="1">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I879" s="28"/>
      <c r="AJ879" s="28"/>
    </row>
    <row r="880" ht="12.75" customHeight="1">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I880" s="28"/>
      <c r="AJ880" s="28"/>
    </row>
    <row r="881" ht="12.75" customHeight="1">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I881" s="28"/>
      <c r="AJ881" s="28"/>
    </row>
    <row r="882" ht="12.75" customHeight="1">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I882" s="28"/>
      <c r="AJ882" s="28"/>
    </row>
    <row r="883" ht="12.75" customHeight="1">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I883" s="28"/>
      <c r="AJ883" s="28"/>
    </row>
    <row r="884" ht="12.75" customHeight="1">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I884" s="28"/>
      <c r="AJ884" s="28"/>
    </row>
    <row r="885" ht="12.75" customHeight="1">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I885" s="28"/>
      <c r="AJ885" s="28"/>
    </row>
    <row r="886" ht="12.75" customHeight="1">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I886" s="28"/>
      <c r="AJ886" s="28"/>
    </row>
    <row r="887" ht="12.75" customHeight="1">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I887" s="28"/>
      <c r="AJ887" s="28"/>
    </row>
    <row r="888" ht="12.75" customHeight="1">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I888" s="28"/>
      <c r="AJ888" s="28"/>
    </row>
    <row r="889" ht="12.75" customHeight="1">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I889" s="28"/>
      <c r="AJ889" s="28"/>
    </row>
    <row r="890" ht="12.75" customHeight="1">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I890" s="28"/>
      <c r="AJ890" s="28"/>
    </row>
    <row r="891" ht="12.75" customHeight="1">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I891" s="28"/>
      <c r="AJ891" s="28"/>
    </row>
    <row r="892" ht="12.75" customHeight="1">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I892" s="28"/>
      <c r="AJ892" s="28"/>
    </row>
    <row r="893" ht="12.75" customHeight="1">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I893" s="28"/>
      <c r="AJ893" s="28"/>
    </row>
    <row r="894" ht="12.75" customHeight="1">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I894" s="28"/>
      <c r="AJ894" s="28"/>
    </row>
    <row r="895" ht="12.75" customHeight="1">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I895" s="28"/>
      <c r="AJ895" s="28"/>
    </row>
    <row r="896" ht="12.75" customHeight="1">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I896" s="28"/>
      <c r="AJ896" s="28"/>
    </row>
    <row r="897" ht="12.75" customHeight="1">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I897" s="28"/>
      <c r="AJ897" s="28"/>
    </row>
    <row r="898" ht="12.75" customHeight="1">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I898" s="28"/>
      <c r="AJ898" s="28"/>
    </row>
    <row r="899" ht="12.75" customHeight="1">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I899" s="28"/>
      <c r="AJ899" s="28"/>
    </row>
    <row r="900" ht="12.75" customHeight="1">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I900" s="28"/>
      <c r="AJ900" s="28"/>
    </row>
    <row r="901" ht="12.75" customHeight="1">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I901" s="28"/>
      <c r="AJ901" s="28"/>
    </row>
    <row r="902" ht="12.75" customHeight="1">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I902" s="28"/>
      <c r="AJ902" s="28"/>
    </row>
    <row r="903" ht="12.75" customHeight="1">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I903" s="28"/>
      <c r="AJ903" s="28"/>
    </row>
    <row r="904" ht="12.75" customHeight="1">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I904" s="28"/>
      <c r="AJ904" s="28"/>
    </row>
    <row r="905" ht="12.75" customHeight="1">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I905" s="28"/>
      <c r="AJ905" s="28"/>
    </row>
    <row r="906" ht="12.75" customHeight="1">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I906" s="28"/>
      <c r="AJ906" s="28"/>
    </row>
    <row r="907" ht="12.75" customHeight="1">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I907" s="28"/>
      <c r="AJ907" s="28"/>
    </row>
    <row r="908" ht="12.75" customHeight="1">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I908" s="28"/>
      <c r="AJ908" s="28"/>
    </row>
    <row r="909" ht="12.75" customHeight="1">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I909" s="28"/>
      <c r="AJ909" s="28"/>
    </row>
    <row r="910" ht="12.75" customHeight="1">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I910" s="28"/>
      <c r="AJ910" s="28"/>
    </row>
    <row r="911" ht="12.75" customHeight="1">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I911" s="28"/>
      <c r="AJ911" s="28"/>
    </row>
    <row r="912" ht="12.75" customHeight="1">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I912" s="28"/>
      <c r="AJ912" s="28"/>
    </row>
    <row r="913" ht="12.75" customHeight="1">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I913" s="28"/>
      <c r="AJ913" s="28"/>
    </row>
    <row r="914" ht="12.75" customHeight="1">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I914" s="28"/>
      <c r="AJ914" s="28"/>
    </row>
    <row r="915" ht="12.75" customHeight="1">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I915" s="28"/>
      <c r="AJ915" s="28"/>
    </row>
    <row r="916" ht="12.75" customHeight="1">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I916" s="28"/>
      <c r="AJ916" s="28"/>
    </row>
    <row r="917" ht="12.75" customHeight="1">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I917" s="28"/>
      <c r="AJ917" s="28"/>
    </row>
    <row r="918" ht="12.75" customHeight="1">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I918" s="28"/>
      <c r="AJ918" s="28"/>
    </row>
    <row r="919" ht="12.75" customHeight="1">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I919" s="28"/>
      <c r="AJ919" s="28"/>
    </row>
    <row r="920" ht="12.75" customHeight="1">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I920" s="28"/>
      <c r="AJ920" s="28"/>
    </row>
    <row r="921" ht="12.75" customHeight="1">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I921" s="28"/>
      <c r="AJ921" s="28"/>
    </row>
    <row r="922" ht="12.75" customHeight="1">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I922" s="28"/>
      <c r="AJ922" s="28"/>
    </row>
    <row r="923" ht="12.75" customHeight="1">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I923" s="28"/>
      <c r="AJ923" s="28"/>
    </row>
    <row r="924" ht="12.75" customHeight="1">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I924" s="28"/>
      <c r="AJ924" s="28"/>
    </row>
    <row r="925" ht="12.75" customHeight="1">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I925" s="28"/>
      <c r="AJ925" s="28"/>
    </row>
    <row r="926" ht="12.75" customHeight="1">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I926" s="28"/>
      <c r="AJ926" s="28"/>
    </row>
    <row r="927" ht="12.75" customHeight="1">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I927" s="28"/>
      <c r="AJ927" s="28"/>
    </row>
    <row r="928" ht="12.75" customHeight="1">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I928" s="28"/>
      <c r="AJ928" s="28"/>
    </row>
    <row r="929" ht="12.75" customHeight="1">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I929" s="28"/>
      <c r="AJ929" s="28"/>
    </row>
    <row r="930" ht="12.75" customHeight="1">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I930" s="28"/>
      <c r="AJ930" s="28"/>
    </row>
    <row r="931" ht="12.75" customHeight="1">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I931" s="28"/>
      <c r="AJ931" s="28"/>
    </row>
    <row r="932" ht="12.75" customHeight="1">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I932" s="28"/>
      <c r="AJ932" s="28"/>
    </row>
    <row r="933" ht="12.75" customHeight="1">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I933" s="28"/>
      <c r="AJ933" s="28"/>
    </row>
    <row r="934" ht="12.75" customHeight="1">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I934" s="28"/>
      <c r="AJ934" s="28"/>
    </row>
    <row r="935" ht="12.75" customHeight="1">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I935" s="28"/>
      <c r="AJ935" s="28"/>
    </row>
    <row r="936" ht="12.75" customHeight="1">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I936" s="28"/>
      <c r="AJ936" s="28"/>
    </row>
    <row r="937" ht="12.75" customHeight="1">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I937" s="28"/>
      <c r="AJ937" s="28"/>
    </row>
    <row r="938" ht="12.75" customHeight="1">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I938" s="28"/>
      <c r="AJ938" s="28"/>
    </row>
    <row r="939" ht="12.75" customHeight="1">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I939" s="28"/>
      <c r="AJ939" s="28"/>
    </row>
    <row r="940" ht="12.75" customHeight="1">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I940" s="28"/>
      <c r="AJ940" s="28"/>
    </row>
    <row r="941" ht="12.75" customHeight="1">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I941" s="28"/>
      <c r="AJ941" s="28"/>
    </row>
    <row r="942" ht="12.75" customHeight="1">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I942" s="28"/>
      <c r="AJ942" s="28"/>
    </row>
    <row r="943" ht="12.75" customHeight="1">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I943" s="28"/>
      <c r="AJ943" s="28"/>
    </row>
    <row r="944" ht="12.75" customHeight="1">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I944" s="28"/>
      <c r="AJ944" s="28"/>
    </row>
    <row r="945" ht="12.75" customHeight="1">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I945" s="28"/>
      <c r="AJ945" s="28"/>
    </row>
    <row r="946" ht="12.75" customHeight="1">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I946" s="28"/>
      <c r="AJ946" s="28"/>
    </row>
    <row r="947" ht="12.75" customHeight="1">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I947" s="28"/>
      <c r="AJ947" s="28"/>
    </row>
    <row r="948" ht="12.75" customHeight="1">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I948" s="28"/>
      <c r="AJ948" s="28"/>
    </row>
    <row r="949" ht="12.75" customHeight="1">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I949" s="28"/>
      <c r="AJ949" s="28"/>
    </row>
    <row r="950" ht="12.75" customHeight="1">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I950" s="28"/>
      <c r="AJ950" s="28"/>
    </row>
    <row r="951" ht="12.75" customHeight="1">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I951" s="28"/>
      <c r="AJ951" s="28"/>
    </row>
    <row r="952" ht="12.75" customHeight="1">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I952" s="28"/>
      <c r="AJ952" s="28"/>
    </row>
    <row r="953" ht="12.75" customHeight="1">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I953" s="28"/>
      <c r="AJ953" s="28"/>
    </row>
    <row r="954" ht="12.75" customHeight="1">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I954" s="28"/>
      <c r="AJ954" s="28"/>
    </row>
    <row r="955" ht="12.75" customHeight="1">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I955" s="28"/>
      <c r="AJ955" s="28"/>
    </row>
    <row r="956" ht="12.75" customHeight="1">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I956" s="28"/>
      <c r="AJ956" s="28"/>
    </row>
    <row r="957" ht="12.75" customHeight="1">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I957" s="28"/>
      <c r="AJ957" s="28"/>
    </row>
    <row r="958" ht="12.75" customHeight="1">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I958" s="28"/>
      <c r="AJ958" s="28"/>
    </row>
    <row r="959" ht="12.75" customHeight="1">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I959" s="28"/>
      <c r="AJ959" s="28"/>
    </row>
    <row r="960" ht="12.75" customHeight="1">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I960" s="28"/>
      <c r="AJ960" s="28"/>
    </row>
    <row r="961" ht="12.75" customHeight="1">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I961" s="28"/>
      <c r="AJ961" s="28"/>
    </row>
    <row r="962" ht="12.75" customHeight="1">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I962" s="28"/>
      <c r="AJ962" s="28"/>
    </row>
    <row r="963" ht="12.75" customHeight="1">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I963" s="28"/>
      <c r="AJ963" s="28"/>
    </row>
    <row r="964" ht="12.75" customHeight="1">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I964" s="28"/>
      <c r="AJ964" s="28"/>
    </row>
    <row r="965" ht="12.75" customHeight="1">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I965" s="28"/>
      <c r="AJ965" s="28"/>
    </row>
    <row r="966" ht="12.75" customHeight="1">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I966" s="28"/>
      <c r="AJ966" s="28"/>
    </row>
    <row r="967" ht="12.75" customHeight="1">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I967" s="28"/>
      <c r="AJ967" s="28"/>
    </row>
    <row r="968" ht="12.75" customHeight="1">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I968" s="28"/>
      <c r="AJ968" s="28"/>
    </row>
    <row r="969" ht="12.75" customHeight="1">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I969" s="28"/>
      <c r="AJ969" s="28"/>
    </row>
    <row r="970" ht="12.75" customHeight="1">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I970" s="28"/>
      <c r="AJ970" s="28"/>
    </row>
    <row r="971" ht="12.75" customHeight="1">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I971" s="28"/>
      <c r="AJ971" s="28"/>
    </row>
    <row r="972" ht="12.75" customHeight="1">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I972" s="28"/>
      <c r="AJ972" s="28"/>
    </row>
    <row r="973" ht="12.75" customHeight="1">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I973" s="28"/>
      <c r="AJ973" s="28"/>
    </row>
    <row r="974" ht="12.75" customHeight="1">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I974" s="28"/>
      <c r="AJ974" s="28"/>
    </row>
    <row r="975" ht="12.75" customHeight="1">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I975" s="28"/>
      <c r="AJ975" s="28"/>
    </row>
    <row r="976" ht="12.75" customHeight="1">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I976" s="28"/>
      <c r="AJ976" s="28"/>
    </row>
    <row r="977" ht="12.75" customHeight="1">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I977" s="28"/>
      <c r="AJ977" s="28"/>
    </row>
    <row r="978" ht="12.75" customHeight="1">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I978" s="28"/>
      <c r="AJ978" s="28"/>
    </row>
    <row r="979" ht="12.75" customHeight="1">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I979" s="28"/>
      <c r="AJ979" s="28"/>
    </row>
    <row r="980" ht="12.75" customHeight="1">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I980" s="28"/>
      <c r="AJ980" s="28"/>
    </row>
    <row r="981" ht="12.75" customHeight="1">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I981" s="28"/>
      <c r="AJ981" s="28"/>
    </row>
    <row r="982" ht="12.75" customHeight="1">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I982" s="28"/>
      <c r="AJ982" s="28"/>
    </row>
    <row r="983" ht="12.75" customHeight="1">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I983" s="28"/>
      <c r="AJ983" s="28"/>
    </row>
    <row r="984" ht="12.75" customHeight="1">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I984" s="28"/>
      <c r="AJ984" s="28"/>
    </row>
    <row r="985" ht="12.75" customHeight="1">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I985" s="28"/>
      <c r="AJ985" s="28"/>
    </row>
    <row r="986" ht="12.75" customHeight="1">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I986" s="28"/>
      <c r="AJ986" s="28"/>
    </row>
    <row r="987" ht="12.75" customHeight="1">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I987" s="28"/>
      <c r="AJ987" s="28"/>
    </row>
    <row r="988" ht="12.75" customHeight="1">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I988" s="28"/>
      <c r="AJ988" s="28"/>
    </row>
    <row r="989" ht="12.75" customHeight="1">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I989" s="28"/>
      <c r="AJ989" s="28"/>
    </row>
    <row r="990" ht="12.75" customHeight="1">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I990" s="28"/>
      <c r="AJ990" s="28"/>
    </row>
    <row r="991" ht="12.75" customHeight="1">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I991" s="28"/>
      <c r="AJ991" s="28"/>
    </row>
    <row r="992" ht="12.75" customHeight="1">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I992" s="28"/>
      <c r="AJ992" s="28"/>
    </row>
    <row r="993" ht="12.75" customHeight="1">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I993" s="28"/>
      <c r="AJ993" s="28"/>
    </row>
    <row r="994" ht="12.75" customHeight="1">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I994" s="28"/>
      <c r="AJ994" s="28"/>
    </row>
    <row r="995" ht="12.75" customHeight="1">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I995" s="28"/>
      <c r="AJ995" s="28"/>
    </row>
    <row r="996" ht="12.75" customHeight="1">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I996" s="28"/>
      <c r="AJ996" s="28"/>
    </row>
    <row r="997" ht="12.75" customHeight="1">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I997" s="28"/>
      <c r="AJ997" s="28"/>
    </row>
    <row r="998" ht="12.75" customHeight="1">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I998" s="28"/>
      <c r="AJ998" s="28"/>
    </row>
    <row r="999" ht="12.75" customHeight="1">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I999" s="28"/>
      <c r="AJ999" s="28"/>
    </row>
    <row r="1000" ht="12.75" customHeight="1">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I1000" s="28"/>
      <c r="AJ1000" s="28"/>
    </row>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9.86"/>
    <col customWidth="1" min="3" max="26" width="8.71"/>
  </cols>
  <sheetData>
    <row r="1" ht="12.75" customHeight="1">
      <c r="A1" s="15" t="s">
        <v>2</v>
      </c>
      <c r="B1" s="18" t="s">
        <v>1068</v>
      </c>
    </row>
    <row r="2" ht="12.75" customHeight="1">
      <c r="A2" s="17">
        <v>1.0</v>
      </c>
    </row>
    <row r="3" ht="12.75" customHeight="1">
      <c r="A3" s="17">
        <f t="shared" ref="A3:A101" si="1">A2+1</f>
        <v>2</v>
      </c>
    </row>
    <row r="4" ht="12.75" customHeight="1">
      <c r="A4" s="17">
        <f t="shared" si="1"/>
        <v>3</v>
      </c>
    </row>
    <row r="5" ht="12.75" customHeight="1">
      <c r="A5" s="17">
        <f t="shared" si="1"/>
        <v>4</v>
      </c>
    </row>
    <row r="6" ht="12.75" customHeight="1">
      <c r="A6" s="17">
        <f t="shared" si="1"/>
        <v>5</v>
      </c>
    </row>
    <row r="7" ht="12.75" customHeight="1">
      <c r="A7" s="17">
        <f t="shared" si="1"/>
        <v>6</v>
      </c>
    </row>
    <row r="8" ht="12.75" customHeight="1">
      <c r="A8" s="17">
        <f t="shared" si="1"/>
        <v>7</v>
      </c>
    </row>
    <row r="9" ht="12.75" customHeight="1">
      <c r="A9" s="17">
        <f t="shared" si="1"/>
        <v>8</v>
      </c>
    </row>
    <row r="10" ht="12.75" customHeight="1">
      <c r="A10" s="17">
        <f t="shared" si="1"/>
        <v>9</v>
      </c>
    </row>
    <row r="11" ht="12.75" customHeight="1">
      <c r="A11" s="17">
        <f t="shared" si="1"/>
        <v>10</v>
      </c>
    </row>
    <row r="12" ht="12.75" customHeight="1">
      <c r="A12" s="17">
        <f t="shared" si="1"/>
        <v>11</v>
      </c>
    </row>
    <row r="13" ht="12.75" customHeight="1">
      <c r="A13" s="17">
        <f t="shared" si="1"/>
        <v>12</v>
      </c>
    </row>
    <row r="14" ht="12.75" customHeight="1">
      <c r="A14" s="17">
        <f t="shared" si="1"/>
        <v>13</v>
      </c>
    </row>
    <row r="15" ht="12.75" customHeight="1">
      <c r="A15" s="17">
        <f t="shared" si="1"/>
        <v>14</v>
      </c>
    </row>
    <row r="16" ht="12.75" customHeight="1">
      <c r="A16" s="17">
        <f t="shared" si="1"/>
        <v>15</v>
      </c>
    </row>
    <row r="17" ht="12.75" customHeight="1">
      <c r="A17" s="17">
        <f t="shared" si="1"/>
        <v>16</v>
      </c>
    </row>
    <row r="18" ht="12.75" customHeight="1">
      <c r="A18" s="17">
        <f t="shared" si="1"/>
        <v>17</v>
      </c>
    </row>
    <row r="19" ht="12.75" customHeight="1">
      <c r="A19" s="17">
        <f t="shared" si="1"/>
        <v>18</v>
      </c>
    </row>
    <row r="20" ht="12.75" customHeight="1">
      <c r="A20" s="17">
        <f t="shared" si="1"/>
        <v>19</v>
      </c>
    </row>
    <row r="21" ht="12.75" customHeight="1">
      <c r="A21" s="17">
        <f t="shared" si="1"/>
        <v>20</v>
      </c>
    </row>
    <row r="22" ht="12.75" customHeight="1">
      <c r="A22" s="17">
        <f t="shared" si="1"/>
        <v>21</v>
      </c>
    </row>
    <row r="23" ht="12.75" customHeight="1">
      <c r="A23" s="17">
        <f t="shared" si="1"/>
        <v>22</v>
      </c>
      <c r="B23" s="13" t="s">
        <v>1069</v>
      </c>
      <c r="C23" s="13" t="s">
        <v>1070</v>
      </c>
    </row>
    <row r="24" ht="12.75" customHeight="1">
      <c r="A24" s="17">
        <f t="shared" si="1"/>
        <v>23</v>
      </c>
    </row>
    <row r="25" ht="12.75" customHeight="1">
      <c r="A25" s="17">
        <f t="shared" si="1"/>
        <v>24</v>
      </c>
    </row>
    <row r="26" ht="12.75" customHeight="1">
      <c r="A26" s="17">
        <f t="shared" si="1"/>
        <v>25</v>
      </c>
    </row>
    <row r="27" ht="12.75" customHeight="1">
      <c r="A27" s="17">
        <f t="shared" si="1"/>
        <v>26</v>
      </c>
    </row>
    <row r="28" ht="12.75" customHeight="1">
      <c r="A28" s="17">
        <f t="shared" si="1"/>
        <v>27</v>
      </c>
    </row>
    <row r="29" ht="12.75" customHeight="1">
      <c r="A29" s="17">
        <f t="shared" si="1"/>
        <v>28</v>
      </c>
    </row>
    <row r="30" ht="12.75" customHeight="1">
      <c r="A30" s="17">
        <f t="shared" si="1"/>
        <v>29</v>
      </c>
    </row>
    <row r="31" ht="12.75" customHeight="1">
      <c r="A31" s="17">
        <f t="shared" si="1"/>
        <v>30</v>
      </c>
    </row>
    <row r="32" ht="12.75" customHeight="1">
      <c r="A32" s="17">
        <f t="shared" si="1"/>
        <v>31</v>
      </c>
    </row>
    <row r="33" ht="12.75" customHeight="1">
      <c r="A33" s="17">
        <f t="shared" si="1"/>
        <v>32</v>
      </c>
    </row>
    <row r="34" ht="12.75" customHeight="1">
      <c r="A34" s="17">
        <f t="shared" si="1"/>
        <v>33</v>
      </c>
    </row>
    <row r="35" ht="12.75" customHeight="1">
      <c r="A35" s="17">
        <f t="shared" si="1"/>
        <v>34</v>
      </c>
    </row>
    <row r="36" ht="12.75" customHeight="1">
      <c r="A36" s="17">
        <f t="shared" si="1"/>
        <v>35</v>
      </c>
    </row>
    <row r="37" ht="12.75" customHeight="1">
      <c r="A37" s="17">
        <f t="shared" si="1"/>
        <v>36</v>
      </c>
    </row>
    <row r="38" ht="12.75" customHeight="1">
      <c r="A38" s="17">
        <f t="shared" si="1"/>
        <v>37</v>
      </c>
    </row>
    <row r="39" ht="12.75" customHeight="1">
      <c r="A39" s="17">
        <f t="shared" si="1"/>
        <v>38</v>
      </c>
    </row>
    <row r="40" ht="12.75" customHeight="1">
      <c r="A40" s="17">
        <f t="shared" si="1"/>
        <v>39</v>
      </c>
    </row>
    <row r="41" ht="12.75" customHeight="1">
      <c r="A41" s="17">
        <f t="shared" si="1"/>
        <v>40</v>
      </c>
    </row>
    <row r="42" ht="12.75" customHeight="1">
      <c r="A42" s="17">
        <f t="shared" si="1"/>
        <v>41</v>
      </c>
    </row>
    <row r="43" ht="12.75" customHeight="1">
      <c r="A43" s="17">
        <f t="shared" si="1"/>
        <v>42</v>
      </c>
    </row>
    <row r="44" ht="12.75" customHeight="1">
      <c r="A44" s="17">
        <f t="shared" si="1"/>
        <v>43</v>
      </c>
    </row>
    <row r="45" ht="12.75" customHeight="1">
      <c r="A45" s="17">
        <f t="shared" si="1"/>
        <v>44</v>
      </c>
    </row>
    <row r="46" ht="12.75" customHeight="1">
      <c r="A46" s="17">
        <f t="shared" si="1"/>
        <v>45</v>
      </c>
    </row>
    <row r="47" ht="12.75" customHeight="1">
      <c r="A47" s="17">
        <f t="shared" si="1"/>
        <v>46</v>
      </c>
    </row>
    <row r="48" ht="12.75" customHeight="1">
      <c r="A48" s="17">
        <f t="shared" si="1"/>
        <v>47</v>
      </c>
    </row>
    <row r="49" ht="12.75" customHeight="1">
      <c r="A49" s="17">
        <f t="shared" si="1"/>
        <v>48</v>
      </c>
    </row>
    <row r="50" ht="12.75" customHeight="1">
      <c r="A50" s="17">
        <f t="shared" si="1"/>
        <v>49</v>
      </c>
    </row>
    <row r="51" ht="12.75" customHeight="1">
      <c r="A51" s="17">
        <f t="shared" si="1"/>
        <v>50</v>
      </c>
    </row>
    <row r="52" ht="12.75" customHeight="1">
      <c r="A52" s="17">
        <f t="shared" si="1"/>
        <v>51</v>
      </c>
    </row>
    <row r="53" ht="12.75" customHeight="1">
      <c r="A53" s="17">
        <f t="shared" si="1"/>
        <v>52</v>
      </c>
    </row>
    <row r="54" ht="12.75" customHeight="1">
      <c r="A54" s="17">
        <f t="shared" si="1"/>
        <v>53</v>
      </c>
    </row>
    <row r="55" ht="12.75" customHeight="1">
      <c r="A55" s="17">
        <f t="shared" si="1"/>
        <v>54</v>
      </c>
    </row>
    <row r="56" ht="12.75" customHeight="1">
      <c r="A56" s="17">
        <f t="shared" si="1"/>
        <v>55</v>
      </c>
    </row>
    <row r="57" ht="12.75" customHeight="1">
      <c r="A57" s="17">
        <f t="shared" si="1"/>
        <v>56</v>
      </c>
    </row>
    <row r="58" ht="12.75" customHeight="1">
      <c r="A58" s="17">
        <f t="shared" si="1"/>
        <v>57</v>
      </c>
    </row>
    <row r="59" ht="12.75" customHeight="1">
      <c r="A59" s="17">
        <f t="shared" si="1"/>
        <v>58</v>
      </c>
    </row>
    <row r="60" ht="12.75" customHeight="1">
      <c r="A60" s="17">
        <f t="shared" si="1"/>
        <v>59</v>
      </c>
    </row>
    <row r="61" ht="12.75" customHeight="1">
      <c r="A61" s="17">
        <f t="shared" si="1"/>
        <v>60</v>
      </c>
    </row>
    <row r="62" ht="12.75" customHeight="1">
      <c r="A62" s="17">
        <f t="shared" si="1"/>
        <v>61</v>
      </c>
    </row>
    <row r="63" ht="12.75" customHeight="1">
      <c r="A63" s="17">
        <f t="shared" si="1"/>
        <v>62</v>
      </c>
    </row>
    <row r="64" ht="12.75" customHeight="1">
      <c r="A64" s="17">
        <f t="shared" si="1"/>
        <v>63</v>
      </c>
    </row>
    <row r="65" ht="12.75" customHeight="1">
      <c r="A65" s="17">
        <f t="shared" si="1"/>
        <v>64</v>
      </c>
    </row>
    <row r="66" ht="12.75" customHeight="1">
      <c r="A66" s="17">
        <f t="shared" si="1"/>
        <v>65</v>
      </c>
    </row>
    <row r="67" ht="12.75" customHeight="1">
      <c r="A67" s="17">
        <f t="shared" si="1"/>
        <v>66</v>
      </c>
    </row>
    <row r="68" ht="12.75" customHeight="1">
      <c r="A68" s="17">
        <f t="shared" si="1"/>
        <v>67</v>
      </c>
    </row>
    <row r="69" ht="12.75" customHeight="1">
      <c r="A69" s="17">
        <f t="shared" si="1"/>
        <v>68</v>
      </c>
    </row>
    <row r="70" ht="12.75" customHeight="1">
      <c r="A70" s="17">
        <f t="shared" si="1"/>
        <v>69</v>
      </c>
    </row>
    <row r="71" ht="12.75" customHeight="1">
      <c r="A71" s="17">
        <f t="shared" si="1"/>
        <v>70</v>
      </c>
    </row>
    <row r="72" ht="12.75" customHeight="1">
      <c r="A72" s="17">
        <f t="shared" si="1"/>
        <v>71</v>
      </c>
    </row>
    <row r="73" ht="12.75" customHeight="1">
      <c r="A73" s="17">
        <f t="shared" si="1"/>
        <v>72</v>
      </c>
    </row>
    <row r="74" ht="12.75" customHeight="1">
      <c r="A74" s="17">
        <f t="shared" si="1"/>
        <v>73</v>
      </c>
    </row>
    <row r="75" ht="12.75" customHeight="1">
      <c r="A75" s="17">
        <f t="shared" si="1"/>
        <v>74</v>
      </c>
    </row>
    <row r="76" ht="12.75" customHeight="1">
      <c r="A76" s="17">
        <f t="shared" si="1"/>
        <v>75</v>
      </c>
    </row>
    <row r="77" ht="12.75" customHeight="1">
      <c r="A77" s="17">
        <f t="shared" si="1"/>
        <v>76</v>
      </c>
    </row>
    <row r="78" ht="12.75" customHeight="1">
      <c r="A78" s="17">
        <f t="shared" si="1"/>
        <v>77</v>
      </c>
    </row>
    <row r="79" ht="12.75" customHeight="1">
      <c r="A79" s="17">
        <f t="shared" si="1"/>
        <v>78</v>
      </c>
    </row>
    <row r="80" ht="12.75" customHeight="1">
      <c r="A80" s="17">
        <f t="shared" si="1"/>
        <v>79</v>
      </c>
    </row>
    <row r="81" ht="12.75" customHeight="1">
      <c r="A81" s="17">
        <f t="shared" si="1"/>
        <v>80</v>
      </c>
    </row>
    <row r="82" ht="12.75" customHeight="1">
      <c r="A82" s="17">
        <f t="shared" si="1"/>
        <v>81</v>
      </c>
    </row>
    <row r="83" ht="12.75" customHeight="1">
      <c r="A83" s="17">
        <f t="shared" si="1"/>
        <v>82</v>
      </c>
    </row>
    <row r="84" ht="12.75" customHeight="1">
      <c r="A84" s="17">
        <f t="shared" si="1"/>
        <v>83</v>
      </c>
    </row>
    <row r="85" ht="12.75" customHeight="1">
      <c r="A85" s="17">
        <f t="shared" si="1"/>
        <v>84</v>
      </c>
    </row>
    <row r="86" ht="12.75" customHeight="1">
      <c r="A86" s="17">
        <f t="shared" si="1"/>
        <v>85</v>
      </c>
    </row>
    <row r="87" ht="12.75" customHeight="1">
      <c r="A87" s="17">
        <f t="shared" si="1"/>
        <v>86</v>
      </c>
    </row>
    <row r="88" ht="12.75" customHeight="1">
      <c r="A88" s="17">
        <f t="shared" si="1"/>
        <v>87</v>
      </c>
    </row>
    <row r="89" ht="12.75" customHeight="1">
      <c r="A89" s="17">
        <f t="shared" si="1"/>
        <v>88</v>
      </c>
    </row>
    <row r="90" ht="12.75" customHeight="1">
      <c r="A90" s="17">
        <f t="shared" si="1"/>
        <v>89</v>
      </c>
    </row>
    <row r="91" ht="12.75" customHeight="1">
      <c r="A91" s="17">
        <f t="shared" si="1"/>
        <v>90</v>
      </c>
    </row>
    <row r="92" ht="12.75" customHeight="1">
      <c r="A92" s="17">
        <f t="shared" si="1"/>
        <v>91</v>
      </c>
    </row>
    <row r="93" ht="12.75" customHeight="1">
      <c r="A93" s="17">
        <f t="shared" si="1"/>
        <v>92</v>
      </c>
    </row>
    <row r="94" ht="12.75" customHeight="1">
      <c r="A94" s="17">
        <f t="shared" si="1"/>
        <v>93</v>
      </c>
    </row>
    <row r="95" ht="12.75" customHeight="1">
      <c r="A95" s="17">
        <f t="shared" si="1"/>
        <v>94</v>
      </c>
    </row>
    <row r="96" ht="12.75" customHeight="1">
      <c r="A96" s="17">
        <f t="shared" si="1"/>
        <v>95</v>
      </c>
    </row>
    <row r="97" ht="12.75" customHeight="1">
      <c r="A97" s="17">
        <f t="shared" si="1"/>
        <v>96</v>
      </c>
    </row>
    <row r="98" ht="12.75" customHeight="1">
      <c r="A98" s="17">
        <f t="shared" si="1"/>
        <v>97</v>
      </c>
    </row>
    <row r="99" ht="12.75" customHeight="1">
      <c r="A99" s="17">
        <f t="shared" si="1"/>
        <v>98</v>
      </c>
    </row>
    <row r="100" ht="12.75" customHeight="1">
      <c r="A100" s="17">
        <f t="shared" si="1"/>
        <v>99</v>
      </c>
    </row>
    <row r="101" ht="12.75" customHeight="1">
      <c r="A101" s="17">
        <f t="shared" si="1"/>
        <v>100</v>
      </c>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2020-06-04T19:09:35Z</dcterms:created>
  <dc:creator>Pete Edmunds</dc:creator>
</cp:coreProperties>
</file>