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MG1145\Documents\tracker\"/>
    </mc:Choice>
  </mc:AlternateContent>
  <xr:revisionPtr revIDLastSave="0" documentId="13_ncr:1_{9B88CD52-2C45-4AC7-8CB3-CCF0B72AD413}" xr6:coauthVersionLast="45" xr6:coauthVersionMax="45" xr10:uidLastSave="{00000000-0000-0000-0000-000000000000}"/>
  <bookViews>
    <workbookView xWindow="-28920" yWindow="30" windowWidth="29040" windowHeight="15840" activeTab="2" xr2:uid="{00000000-000D-0000-FFFF-FFFF00000000}"/>
  </bookViews>
  <sheets>
    <sheet name="assumption" sheetId="12" r:id="rId1"/>
    <sheet name="companies" sheetId="15" r:id="rId2"/>
    <sheet name="target_data" sheetId="23" r:id="rId3"/>
    <sheet name="fundamental_data" sheetId="22" r:id="rId4"/>
    <sheet name="targets" sheetId="21" r:id="rId5"/>
    <sheet name="grouping" sheetId="16" r:id="rId6"/>
    <sheet name="financials" sheetId="18" r:id="rId7"/>
    <sheet name="GHG19" sheetId="19" r:id="rId8"/>
    <sheet name="sources" sheetId="20" r:id="rId9"/>
    <sheet name="company" sheetId="9" r:id="rId10"/>
    <sheet name="sector" sheetId="10" r:id="rId11"/>
    <sheet name="Sheet1" sheetId="14" r:id="rId12"/>
  </sheets>
  <definedNames>
    <definedName name="_xlnm._FilterDatabase" localSheetId="1" hidden="1">companies!$A$1:$E$101</definedName>
    <definedName name="_xlnm._FilterDatabase" localSheetId="9" hidden="1">company!$A$1:$BC$101</definedName>
    <definedName name="_xlnm._FilterDatabase" localSheetId="6" hidden="1">financials!$A$1:$F$101</definedName>
    <definedName name="_xlnm._FilterDatabase" localSheetId="7" hidden="1">'GHG19'!$A$1:$BI$101</definedName>
    <definedName name="_xlnm._FilterDatabase" localSheetId="5" hidden="1">grouping!$A$1:$L$101</definedName>
    <definedName name="_xlnm._FilterDatabase" localSheetId="4" hidden="1">targets!$A$1:$U$161</definedName>
    <definedName name="_xlcn.WorksheetConnection_CompanyTracker_MengSustainabilityProject.xlsxTable11" hidden="1">Table1[]</definedName>
    <definedName name="k_cost">assumption!$B$2</definedName>
    <definedName name="k_rev_max">assumption!$B$3</definedName>
  </definedNames>
  <calcPr calcId="191029"/>
  <extLst>
    <ext xmlns:x15="http://schemas.microsoft.com/office/spreadsheetml/2010/11/main" uri="{FCE2AD5D-F65C-4FA6-A056-5C36A1767C68}">
      <x15:dataModel>
        <x15:modelTables>
          <x15:modelTable id="Table1" name="Table1" connection="WorksheetConnection_Company Tracker _ Meng Sustainability Project.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14" l="1"/>
  <c r="D1" i="14" s="1"/>
  <c r="C26" i="14"/>
  <c r="D26" i="14" s="1"/>
  <c r="C25" i="14"/>
  <c r="D25" i="14" s="1"/>
  <c r="C24" i="14"/>
  <c r="D24" i="14" s="1"/>
  <c r="C23" i="14"/>
  <c r="D23" i="14" s="1"/>
  <c r="C22" i="14"/>
  <c r="D22" i="14" s="1"/>
  <c r="C21" i="14"/>
  <c r="D21" i="14" s="1"/>
  <c r="C20" i="14"/>
  <c r="D20" i="14" s="1"/>
  <c r="C19" i="14"/>
  <c r="D19" i="14" s="1"/>
  <c r="C18" i="14"/>
  <c r="D18" i="14" s="1"/>
  <c r="C17" i="14"/>
  <c r="D17" i="14" s="1"/>
  <c r="C16" i="14"/>
  <c r="D16" i="14" s="1"/>
  <c r="C15" i="14"/>
  <c r="D15" i="14" s="1"/>
  <c r="C14" i="14"/>
  <c r="D14" i="14" s="1"/>
  <c r="C13" i="14"/>
  <c r="D13" i="14" s="1"/>
  <c r="C12" i="14"/>
  <c r="D12" i="14" s="1"/>
  <c r="C11" i="14"/>
  <c r="D11" i="14" s="1"/>
  <c r="C10" i="14"/>
  <c r="D10" i="14" s="1"/>
  <c r="C9" i="14"/>
  <c r="D9" i="14" s="1"/>
  <c r="C8" i="14"/>
  <c r="D8" i="14" s="1"/>
  <c r="C7" i="14"/>
  <c r="D7" i="14" s="1"/>
  <c r="C6" i="14"/>
  <c r="D6" i="14" s="1"/>
  <c r="C5" i="14"/>
  <c r="D5" i="14" s="1"/>
  <c r="C4" i="14"/>
  <c r="D4" i="14" s="1"/>
  <c r="C3" i="14"/>
  <c r="D3" i="14" s="1"/>
  <c r="C2" i="14"/>
  <c r="D2" i="14" s="1"/>
  <c r="A4" i="20"/>
  <c r="A5" i="20" s="1"/>
  <c r="A6" i="20" s="1"/>
  <c r="A7" i="20" s="1"/>
  <c r="A8" i="20" s="1"/>
  <c r="A9" i="20" s="1"/>
  <c r="A10" i="20" s="1"/>
  <c r="A11" i="20" s="1"/>
  <c r="A12" i="20" s="1"/>
  <c r="A13" i="20" s="1"/>
  <c r="A14" i="20" s="1"/>
  <c r="A15" i="20" s="1"/>
  <c r="A16" i="20" s="1"/>
  <c r="A17" i="20" s="1"/>
  <c r="A18" i="20" s="1"/>
  <c r="A19" i="20" s="1"/>
  <c r="A20" i="20" s="1"/>
  <c r="A21" i="20" s="1"/>
  <c r="A22" i="20" s="1"/>
  <c r="A23" i="20" s="1"/>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A49" i="20" s="1"/>
  <c r="A50" i="20" s="1"/>
  <c r="A51" i="20" s="1"/>
  <c r="A52" i="20" s="1"/>
  <c r="A53" i="20" s="1"/>
  <c r="A54" i="20" s="1"/>
  <c r="A55" i="20" s="1"/>
  <c r="A56" i="20" s="1"/>
  <c r="A57" i="20" s="1"/>
  <c r="A58" i="20" s="1"/>
  <c r="A59" i="20" s="1"/>
  <c r="A60" i="20" s="1"/>
  <c r="A61" i="20" s="1"/>
  <c r="A62" i="20" s="1"/>
  <c r="A63" i="20" s="1"/>
  <c r="A64" i="20" s="1"/>
  <c r="A65" i="20" s="1"/>
  <c r="A66" i="20" s="1"/>
  <c r="A67" i="20" s="1"/>
  <c r="A68" i="20" s="1"/>
  <c r="A69" i="20" s="1"/>
  <c r="A70" i="20" s="1"/>
  <c r="A71" i="20" s="1"/>
  <c r="A72" i="20" s="1"/>
  <c r="A73" i="20" s="1"/>
  <c r="A74" i="20" s="1"/>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3" i="20"/>
  <c r="W100" i="19" l="1"/>
  <c r="W98" i="19"/>
  <c r="W96" i="19"/>
  <c r="W94" i="19"/>
  <c r="W92" i="19"/>
  <c r="W90" i="19"/>
  <c r="W88" i="19"/>
  <c r="W86" i="19"/>
  <c r="W84" i="19"/>
  <c r="W82" i="19"/>
  <c r="W79" i="19"/>
  <c r="W74" i="19"/>
  <c r="W71" i="19"/>
  <c r="W70" i="19"/>
  <c r="W66" i="19"/>
  <c r="W58" i="19"/>
  <c r="W56" i="19"/>
  <c r="W54" i="19"/>
  <c r="W48" i="19"/>
  <c r="W44" i="19"/>
  <c r="W43" i="19"/>
  <c r="W42" i="19"/>
  <c r="W41" i="19"/>
  <c r="W36" i="19"/>
  <c r="W27" i="19"/>
  <c r="W26" i="19"/>
  <c r="W25" i="19"/>
  <c r="W23" i="19"/>
  <c r="W22" i="19"/>
  <c r="W21" i="19"/>
  <c r="W19" i="19"/>
  <c r="W18" i="19"/>
  <c r="W17" i="19"/>
  <c r="W16" i="19"/>
  <c r="W15" i="19"/>
  <c r="W13" i="19"/>
  <c r="W11" i="19"/>
  <c r="W10" i="19"/>
  <c r="W9" i="19"/>
  <c r="W8" i="19"/>
  <c r="W7" i="19"/>
  <c r="W5" i="19"/>
  <c r="W2" i="19"/>
  <c r="AR101" i="19"/>
  <c r="AR100" i="19"/>
  <c r="AR99" i="19"/>
  <c r="AR98" i="19"/>
  <c r="AR97" i="19"/>
  <c r="AR96" i="19"/>
  <c r="AR95" i="19"/>
  <c r="AR94" i="19"/>
  <c r="AR93" i="19"/>
  <c r="AR92" i="19"/>
  <c r="AR91" i="19"/>
  <c r="AR90" i="19"/>
  <c r="AR89" i="19"/>
  <c r="AR88" i="19"/>
  <c r="AR87" i="19"/>
  <c r="AR86" i="19"/>
  <c r="AR85" i="19"/>
  <c r="AR84" i="19"/>
  <c r="AR83" i="19"/>
  <c r="AR82" i="19"/>
  <c r="AR81" i="19"/>
  <c r="AR80" i="19"/>
  <c r="AR79" i="19"/>
  <c r="AR78" i="19"/>
  <c r="AR77" i="19"/>
  <c r="AR76" i="19"/>
  <c r="AR75" i="19"/>
  <c r="AR74" i="19"/>
  <c r="AR73" i="19"/>
  <c r="AR72" i="19"/>
  <c r="AR71" i="19"/>
  <c r="AR70" i="19"/>
  <c r="AR69" i="19"/>
  <c r="AR68" i="19"/>
  <c r="AR67" i="19"/>
  <c r="AR66" i="19"/>
  <c r="AR65" i="19"/>
  <c r="AR64" i="19"/>
  <c r="AR63" i="19"/>
  <c r="AR62" i="19"/>
  <c r="AR61" i="19"/>
  <c r="AR60" i="19"/>
  <c r="AR59" i="19"/>
  <c r="AR58" i="19"/>
  <c r="AR57" i="19"/>
  <c r="AR56" i="19"/>
  <c r="AR55" i="19"/>
  <c r="AR54" i="19"/>
  <c r="AR53" i="19"/>
  <c r="AR52" i="19"/>
  <c r="AR51" i="19"/>
  <c r="AR50" i="19"/>
  <c r="AR49" i="19"/>
  <c r="AR48" i="19"/>
  <c r="AR47" i="19"/>
  <c r="AR46" i="19"/>
  <c r="AR45" i="19"/>
  <c r="AR44" i="19"/>
  <c r="AR43" i="19"/>
  <c r="AR42" i="19"/>
  <c r="AR41" i="19"/>
  <c r="AR40" i="19"/>
  <c r="AR39" i="19"/>
  <c r="AR38" i="19"/>
  <c r="AR37" i="19"/>
  <c r="AR36" i="19"/>
  <c r="AR35" i="19"/>
  <c r="AR34" i="19"/>
  <c r="AR33" i="19"/>
  <c r="AR32" i="19"/>
  <c r="AR31" i="19"/>
  <c r="AR30" i="19"/>
  <c r="AR29" i="19"/>
  <c r="AR28" i="19"/>
  <c r="AR27" i="19"/>
  <c r="AR26" i="19"/>
  <c r="AR25" i="19"/>
  <c r="AR24" i="19"/>
  <c r="AR23" i="19"/>
  <c r="AR22" i="19"/>
  <c r="AR21" i="19"/>
  <c r="AR20" i="19"/>
  <c r="AR19" i="19"/>
  <c r="AR18" i="19"/>
  <c r="AR17" i="19"/>
  <c r="AR16" i="19"/>
  <c r="AR15" i="19"/>
  <c r="AR14" i="19"/>
  <c r="AR13" i="19"/>
  <c r="AR12" i="19"/>
  <c r="AR11" i="19"/>
  <c r="AR10" i="19"/>
  <c r="AR9" i="19"/>
  <c r="AR8" i="19"/>
  <c r="AR7" i="19"/>
  <c r="AR6" i="19"/>
  <c r="AR5" i="19"/>
  <c r="AR4" i="19"/>
  <c r="AR3" i="19"/>
  <c r="AR2" i="19"/>
  <c r="AM101" i="19"/>
  <c r="AP101" i="19" s="1"/>
  <c r="AQ101" i="19" s="1"/>
  <c r="AM100" i="19"/>
  <c r="AP100" i="19" s="1"/>
  <c r="AQ100" i="19" s="1"/>
  <c r="AM99" i="19"/>
  <c r="AN99" i="19" s="1"/>
  <c r="AO99" i="19" s="1"/>
  <c r="AM98" i="19"/>
  <c r="AP98" i="19" s="1"/>
  <c r="AQ98" i="19" s="1"/>
  <c r="AM97" i="19"/>
  <c r="AP97" i="19" s="1"/>
  <c r="AQ97" i="19" s="1"/>
  <c r="AM96" i="19"/>
  <c r="AP96" i="19" s="1"/>
  <c r="AQ96" i="19" s="1"/>
  <c r="AM95" i="19"/>
  <c r="AP95" i="19" s="1"/>
  <c r="AQ95" i="19" s="1"/>
  <c r="AM94" i="19"/>
  <c r="AP94" i="19" s="1"/>
  <c r="AQ94" i="19" s="1"/>
  <c r="AM93" i="19"/>
  <c r="AP93" i="19" s="1"/>
  <c r="AQ93" i="19" s="1"/>
  <c r="AM92" i="19"/>
  <c r="AP92" i="19" s="1"/>
  <c r="AQ92" i="19" s="1"/>
  <c r="AM91" i="19"/>
  <c r="AP91" i="19" s="1"/>
  <c r="AQ91" i="19" s="1"/>
  <c r="AM90" i="19"/>
  <c r="AN90" i="19" s="1"/>
  <c r="AO90" i="19" s="1"/>
  <c r="AM89" i="19"/>
  <c r="AP89" i="19" s="1"/>
  <c r="AQ89" i="19" s="1"/>
  <c r="AM88" i="19"/>
  <c r="AN88" i="19" s="1"/>
  <c r="AO88" i="19" s="1"/>
  <c r="AM87" i="19"/>
  <c r="AP87" i="19" s="1"/>
  <c r="AQ87" i="19" s="1"/>
  <c r="AM86" i="19"/>
  <c r="AP86" i="19" s="1"/>
  <c r="AQ86" i="19" s="1"/>
  <c r="AM85" i="19"/>
  <c r="AP85" i="19" s="1"/>
  <c r="AQ85" i="19" s="1"/>
  <c r="AM84" i="19"/>
  <c r="AP84" i="19" s="1"/>
  <c r="AQ84" i="19" s="1"/>
  <c r="AM83" i="19"/>
  <c r="AN83" i="19" s="1"/>
  <c r="AO83" i="19" s="1"/>
  <c r="AM82" i="19"/>
  <c r="AP82" i="19" s="1"/>
  <c r="AQ82" i="19" s="1"/>
  <c r="AM81" i="19"/>
  <c r="AN81" i="19" s="1"/>
  <c r="AO81" i="19" s="1"/>
  <c r="AM80" i="19"/>
  <c r="AP80" i="19" s="1"/>
  <c r="AQ80" i="19" s="1"/>
  <c r="AM79" i="19"/>
  <c r="AP79" i="19" s="1"/>
  <c r="AQ79" i="19" s="1"/>
  <c r="AM78" i="19"/>
  <c r="AP78" i="19" s="1"/>
  <c r="AQ78" i="19" s="1"/>
  <c r="AM77" i="19"/>
  <c r="AP77" i="19" s="1"/>
  <c r="AQ77" i="19" s="1"/>
  <c r="AM76" i="19"/>
  <c r="AN76" i="19" s="1"/>
  <c r="AO76" i="19" s="1"/>
  <c r="AM75" i="19"/>
  <c r="AP75" i="19" s="1"/>
  <c r="AQ75" i="19" s="1"/>
  <c r="AM74" i="19"/>
  <c r="AN74" i="19" s="1"/>
  <c r="AO74" i="19" s="1"/>
  <c r="AM73" i="19"/>
  <c r="AP73" i="19" s="1"/>
  <c r="AQ73" i="19" s="1"/>
  <c r="AM72" i="19"/>
  <c r="AP72" i="19" s="1"/>
  <c r="AQ72" i="19" s="1"/>
  <c r="AM71" i="19"/>
  <c r="AP71" i="19" s="1"/>
  <c r="AQ71" i="19" s="1"/>
  <c r="AM70" i="19"/>
  <c r="AP70" i="19" s="1"/>
  <c r="AQ70" i="19" s="1"/>
  <c r="AM69" i="19"/>
  <c r="AP69" i="19" s="1"/>
  <c r="AQ69" i="19" s="1"/>
  <c r="AM68" i="19"/>
  <c r="AP68" i="19" s="1"/>
  <c r="AQ68" i="19" s="1"/>
  <c r="AM67" i="19"/>
  <c r="AN67" i="19" s="1"/>
  <c r="AO67" i="19" s="1"/>
  <c r="AM66" i="19"/>
  <c r="AP66" i="19" s="1"/>
  <c r="AQ66" i="19" s="1"/>
  <c r="AM65" i="19"/>
  <c r="AP65" i="19" s="1"/>
  <c r="AQ65" i="19" s="1"/>
  <c r="AM64" i="19"/>
  <c r="AP64" i="19" s="1"/>
  <c r="AQ64" i="19" s="1"/>
  <c r="AM63" i="19"/>
  <c r="AP63" i="19" s="1"/>
  <c r="AQ63" i="19" s="1"/>
  <c r="AM62" i="19"/>
  <c r="AP62" i="19" s="1"/>
  <c r="AQ62" i="19" s="1"/>
  <c r="AM61" i="19"/>
  <c r="AN61" i="19" s="1"/>
  <c r="AO61" i="19" s="1"/>
  <c r="AM60" i="19"/>
  <c r="AP60" i="19" s="1"/>
  <c r="AQ60" i="19" s="1"/>
  <c r="AM59" i="19"/>
  <c r="AP59" i="19" s="1"/>
  <c r="AQ59" i="19" s="1"/>
  <c r="AM58" i="19"/>
  <c r="AP58" i="19" s="1"/>
  <c r="AQ58" i="19" s="1"/>
  <c r="AM57" i="19"/>
  <c r="AP57" i="19" s="1"/>
  <c r="AQ57" i="19" s="1"/>
  <c r="AM56" i="19"/>
  <c r="AP56" i="19" s="1"/>
  <c r="AQ56" i="19" s="1"/>
  <c r="AM55" i="19"/>
  <c r="AP55" i="19" s="1"/>
  <c r="AQ55" i="19" s="1"/>
  <c r="AM54" i="19"/>
  <c r="AP54" i="19" s="1"/>
  <c r="AQ54" i="19" s="1"/>
  <c r="AM53" i="19"/>
  <c r="AP53" i="19" s="1"/>
  <c r="AQ53" i="19" s="1"/>
  <c r="AM52" i="19"/>
  <c r="AN52" i="19" s="1"/>
  <c r="AO52" i="19" s="1"/>
  <c r="AM51" i="19"/>
  <c r="AP51" i="19" s="1"/>
  <c r="AQ51" i="19" s="1"/>
  <c r="AM50" i="19"/>
  <c r="AP50" i="19" s="1"/>
  <c r="AQ50" i="19" s="1"/>
  <c r="AM49" i="19"/>
  <c r="AP49" i="19" s="1"/>
  <c r="AQ49" i="19" s="1"/>
  <c r="AM48" i="19"/>
  <c r="AP48" i="19" s="1"/>
  <c r="AQ48" i="19" s="1"/>
  <c r="AM47" i="19"/>
  <c r="AP47" i="19" s="1"/>
  <c r="AQ47" i="19" s="1"/>
  <c r="AM46" i="19"/>
  <c r="AP46" i="19" s="1"/>
  <c r="AQ46" i="19" s="1"/>
  <c r="AM45" i="19"/>
  <c r="AP45" i="19" s="1"/>
  <c r="AQ45" i="19" s="1"/>
  <c r="AM44" i="19"/>
  <c r="AP44" i="19" s="1"/>
  <c r="AQ44" i="19" s="1"/>
  <c r="AM43" i="19"/>
  <c r="AP43" i="19" s="1"/>
  <c r="AQ43" i="19" s="1"/>
  <c r="AM42" i="19"/>
  <c r="AP42" i="19" s="1"/>
  <c r="AQ42" i="19" s="1"/>
  <c r="AM41" i="19"/>
  <c r="AP41" i="19" s="1"/>
  <c r="AQ41" i="19" s="1"/>
  <c r="AM40" i="19"/>
  <c r="AP40" i="19" s="1"/>
  <c r="AQ40" i="19" s="1"/>
  <c r="AM39" i="19"/>
  <c r="AP39" i="19" s="1"/>
  <c r="AQ39" i="19" s="1"/>
  <c r="AM38" i="19"/>
  <c r="AP38" i="19" s="1"/>
  <c r="AQ38" i="19" s="1"/>
  <c r="AM37" i="19"/>
  <c r="AN37" i="19" s="1"/>
  <c r="AO37" i="19" s="1"/>
  <c r="AM36" i="19"/>
  <c r="AP36" i="19" s="1"/>
  <c r="AQ36" i="19" s="1"/>
  <c r="AM35" i="19"/>
  <c r="AP35" i="19" s="1"/>
  <c r="AQ35" i="19" s="1"/>
  <c r="AM34" i="19"/>
  <c r="AP34" i="19" s="1"/>
  <c r="AQ34" i="19" s="1"/>
  <c r="AM33" i="19"/>
  <c r="AN33" i="19" s="1"/>
  <c r="AO33" i="19" s="1"/>
  <c r="AM32" i="19"/>
  <c r="AP32" i="19" s="1"/>
  <c r="AQ32" i="19" s="1"/>
  <c r="AM31" i="19"/>
  <c r="AP31" i="19" s="1"/>
  <c r="AQ31" i="19" s="1"/>
  <c r="AM30" i="19"/>
  <c r="AP30" i="19" s="1"/>
  <c r="AQ30" i="19" s="1"/>
  <c r="AM29" i="19"/>
  <c r="AP29" i="19" s="1"/>
  <c r="AQ29" i="19" s="1"/>
  <c r="AM28" i="19"/>
  <c r="AP28" i="19" s="1"/>
  <c r="AQ28" i="19" s="1"/>
  <c r="AM27" i="19"/>
  <c r="AP27" i="19" s="1"/>
  <c r="AQ27" i="19" s="1"/>
  <c r="AM26" i="19"/>
  <c r="AN26" i="19" s="1"/>
  <c r="AO26" i="19" s="1"/>
  <c r="AM25" i="19"/>
  <c r="AP25" i="19" s="1"/>
  <c r="AQ25" i="19" s="1"/>
  <c r="AM24" i="19"/>
  <c r="AM23" i="19"/>
  <c r="AP23" i="19" s="1"/>
  <c r="AQ23" i="19" s="1"/>
  <c r="AM22" i="19"/>
  <c r="AP22" i="19" s="1"/>
  <c r="AQ22" i="19" s="1"/>
  <c r="AM21" i="19"/>
  <c r="AP21" i="19" s="1"/>
  <c r="AQ21" i="19" s="1"/>
  <c r="AM20" i="19"/>
  <c r="AN20" i="19" s="1"/>
  <c r="AO20" i="19" s="1"/>
  <c r="AM19" i="19"/>
  <c r="AP19" i="19" s="1"/>
  <c r="AQ19" i="19" s="1"/>
  <c r="AM18" i="19"/>
  <c r="AN18" i="19" s="1"/>
  <c r="AO18" i="19" s="1"/>
  <c r="AM17" i="19"/>
  <c r="AP17" i="19" s="1"/>
  <c r="AQ17" i="19" s="1"/>
  <c r="AM16" i="19"/>
  <c r="AP16" i="19" s="1"/>
  <c r="AQ16" i="19" s="1"/>
  <c r="AM15" i="19"/>
  <c r="AN15" i="19" s="1"/>
  <c r="AO15" i="19" s="1"/>
  <c r="AM14" i="19"/>
  <c r="AP14" i="19" s="1"/>
  <c r="AQ14" i="19" s="1"/>
  <c r="AM13" i="19"/>
  <c r="AN13" i="19" s="1"/>
  <c r="AO13" i="19" s="1"/>
  <c r="AM12" i="19"/>
  <c r="AP12" i="19" s="1"/>
  <c r="AQ12" i="19" s="1"/>
  <c r="AM11" i="19"/>
  <c r="AP11" i="19" s="1"/>
  <c r="AQ11" i="19" s="1"/>
  <c r="AM10" i="19"/>
  <c r="AP10" i="19" s="1"/>
  <c r="AQ10" i="19" s="1"/>
  <c r="AM9" i="19"/>
  <c r="AP9" i="19" s="1"/>
  <c r="AQ9" i="19" s="1"/>
  <c r="AM8" i="19"/>
  <c r="AP8" i="19" s="1"/>
  <c r="AQ8" i="19" s="1"/>
  <c r="AM7" i="19"/>
  <c r="AP7" i="19" s="1"/>
  <c r="AQ7" i="19" s="1"/>
  <c r="AM6" i="19"/>
  <c r="AP6" i="19" s="1"/>
  <c r="AQ6" i="19" s="1"/>
  <c r="AM5" i="19"/>
  <c r="AN5" i="19" s="1"/>
  <c r="AO5" i="19" s="1"/>
  <c r="AM4" i="19"/>
  <c r="AP4" i="19" s="1"/>
  <c r="AQ4" i="19" s="1"/>
  <c r="AM3" i="19"/>
  <c r="AP3" i="19" s="1"/>
  <c r="AQ3" i="19" s="1"/>
  <c r="AM2" i="19"/>
  <c r="AN2" i="19" s="1"/>
  <c r="AF3" i="19"/>
  <c r="AG3" i="19" s="1"/>
  <c r="AH3" i="19" s="1"/>
  <c r="AF4" i="19"/>
  <c r="AG4" i="19" s="1"/>
  <c r="AH4" i="19" s="1"/>
  <c r="AF5" i="19"/>
  <c r="AG5" i="19" s="1"/>
  <c r="AH5" i="19" s="1"/>
  <c r="AF6" i="19"/>
  <c r="AG6" i="19" s="1"/>
  <c r="AH6" i="19" s="1"/>
  <c r="AF7" i="19"/>
  <c r="AG7" i="19" s="1"/>
  <c r="AH7" i="19" s="1"/>
  <c r="AF8" i="19"/>
  <c r="AG8" i="19" s="1"/>
  <c r="AH8" i="19" s="1"/>
  <c r="AF9" i="19"/>
  <c r="AF10" i="19"/>
  <c r="AG10" i="19" s="1"/>
  <c r="AH10" i="19" s="1"/>
  <c r="AF11" i="19"/>
  <c r="AG11" i="19" s="1"/>
  <c r="AH11" i="19" s="1"/>
  <c r="AF12" i="19"/>
  <c r="AG12" i="19" s="1"/>
  <c r="AH12" i="19" s="1"/>
  <c r="AF13" i="19"/>
  <c r="AG13" i="19" s="1"/>
  <c r="AH13" i="19" s="1"/>
  <c r="AF14" i="19"/>
  <c r="AG14" i="19" s="1"/>
  <c r="AH14" i="19" s="1"/>
  <c r="AF15" i="19"/>
  <c r="AG15" i="19" s="1"/>
  <c r="AH15" i="19" s="1"/>
  <c r="AF16" i="19"/>
  <c r="AG16" i="19" s="1"/>
  <c r="AH16" i="19" s="1"/>
  <c r="AF17" i="19"/>
  <c r="AG17" i="19" s="1"/>
  <c r="AH17" i="19" s="1"/>
  <c r="AF18" i="19"/>
  <c r="AF19" i="19"/>
  <c r="AG19" i="19" s="1"/>
  <c r="AH19" i="19" s="1"/>
  <c r="AF20" i="19"/>
  <c r="AG20" i="19" s="1"/>
  <c r="AH20" i="19" s="1"/>
  <c r="AF21" i="19"/>
  <c r="AG21" i="19" s="1"/>
  <c r="AH21" i="19" s="1"/>
  <c r="AF22" i="19"/>
  <c r="AG22" i="19" s="1"/>
  <c r="AH22" i="19" s="1"/>
  <c r="AF23" i="19"/>
  <c r="AG23" i="19" s="1"/>
  <c r="AH23" i="19" s="1"/>
  <c r="AF24" i="19"/>
  <c r="AF25" i="19"/>
  <c r="AG25" i="19" s="1"/>
  <c r="AH25" i="19" s="1"/>
  <c r="AF26" i="19"/>
  <c r="AG26" i="19" s="1"/>
  <c r="AH26" i="19" s="1"/>
  <c r="AF27" i="19"/>
  <c r="AG27" i="19" s="1"/>
  <c r="AH27" i="19" s="1"/>
  <c r="AF28" i="19"/>
  <c r="AG28" i="19" s="1"/>
  <c r="AH28" i="19" s="1"/>
  <c r="AF29" i="19"/>
  <c r="AG29" i="19" s="1"/>
  <c r="AH29" i="19" s="1"/>
  <c r="AF30" i="19"/>
  <c r="AG30" i="19" s="1"/>
  <c r="AH30" i="19" s="1"/>
  <c r="AF31" i="19"/>
  <c r="AG31" i="19" s="1"/>
  <c r="AH31" i="19" s="1"/>
  <c r="AF32" i="19"/>
  <c r="AG32" i="19" s="1"/>
  <c r="AH32" i="19" s="1"/>
  <c r="AF33" i="19"/>
  <c r="AG33" i="19" s="1"/>
  <c r="AH33" i="19" s="1"/>
  <c r="AF34" i="19"/>
  <c r="AG34" i="19" s="1"/>
  <c r="AH34" i="19" s="1"/>
  <c r="AF35" i="19"/>
  <c r="AG35" i="19" s="1"/>
  <c r="AH35" i="19" s="1"/>
  <c r="AF36" i="19"/>
  <c r="AG36" i="19" s="1"/>
  <c r="AH36" i="19" s="1"/>
  <c r="AF37" i="19"/>
  <c r="AG37" i="19" s="1"/>
  <c r="AH37" i="19" s="1"/>
  <c r="AF38" i="19"/>
  <c r="AG38" i="19" s="1"/>
  <c r="AH38" i="19" s="1"/>
  <c r="AF39" i="19"/>
  <c r="AG39" i="19" s="1"/>
  <c r="AH39" i="19" s="1"/>
  <c r="AF40" i="19"/>
  <c r="AG40" i="19" s="1"/>
  <c r="AH40" i="19" s="1"/>
  <c r="AF41" i="19"/>
  <c r="AG41" i="19" s="1"/>
  <c r="AH41" i="19" s="1"/>
  <c r="AF42" i="19"/>
  <c r="AG42" i="19" s="1"/>
  <c r="AH42" i="19" s="1"/>
  <c r="AF43" i="19"/>
  <c r="AG43" i="19" s="1"/>
  <c r="AH43" i="19" s="1"/>
  <c r="AF44" i="19"/>
  <c r="AG44" i="19" s="1"/>
  <c r="AH44" i="19" s="1"/>
  <c r="AF45" i="19"/>
  <c r="AG45" i="19" s="1"/>
  <c r="AH45" i="19" s="1"/>
  <c r="AF46" i="19"/>
  <c r="AG46" i="19" s="1"/>
  <c r="AH46" i="19" s="1"/>
  <c r="AF47" i="19"/>
  <c r="AG47" i="19" s="1"/>
  <c r="AH47" i="19" s="1"/>
  <c r="AF48" i="19"/>
  <c r="AG48" i="19" s="1"/>
  <c r="AH48" i="19" s="1"/>
  <c r="AF49" i="19"/>
  <c r="AG49" i="19" s="1"/>
  <c r="AH49" i="19" s="1"/>
  <c r="AF50" i="19"/>
  <c r="AG50" i="19" s="1"/>
  <c r="AH50" i="19" s="1"/>
  <c r="AF51" i="19"/>
  <c r="AG51" i="19" s="1"/>
  <c r="AH51" i="19" s="1"/>
  <c r="AF52" i="19"/>
  <c r="AG52" i="19" s="1"/>
  <c r="AH52" i="19" s="1"/>
  <c r="AF53" i="19"/>
  <c r="AG53" i="19" s="1"/>
  <c r="AH53" i="19" s="1"/>
  <c r="AF54" i="19"/>
  <c r="AG54" i="19" s="1"/>
  <c r="AH54" i="19" s="1"/>
  <c r="AF55" i="19"/>
  <c r="AG55" i="19" s="1"/>
  <c r="AH55" i="19" s="1"/>
  <c r="AF56" i="19"/>
  <c r="AG56" i="19" s="1"/>
  <c r="AH56" i="19" s="1"/>
  <c r="AF57" i="19"/>
  <c r="AG57" i="19" s="1"/>
  <c r="AH57" i="19" s="1"/>
  <c r="AF58" i="19"/>
  <c r="AG58" i="19" s="1"/>
  <c r="AH58" i="19" s="1"/>
  <c r="AF59" i="19"/>
  <c r="AG59" i="19" s="1"/>
  <c r="AH59" i="19" s="1"/>
  <c r="AF60" i="19"/>
  <c r="AG60" i="19" s="1"/>
  <c r="AH60" i="19" s="1"/>
  <c r="AF61" i="19"/>
  <c r="AG61" i="19" s="1"/>
  <c r="AH61" i="19" s="1"/>
  <c r="AF62" i="19"/>
  <c r="AG62" i="19" s="1"/>
  <c r="AH62" i="19" s="1"/>
  <c r="AF63" i="19"/>
  <c r="AG63" i="19" s="1"/>
  <c r="AH63" i="19" s="1"/>
  <c r="AF64" i="19"/>
  <c r="AG64" i="19" s="1"/>
  <c r="AH64" i="19" s="1"/>
  <c r="AF65" i="19"/>
  <c r="AG65" i="19" s="1"/>
  <c r="AH65" i="19" s="1"/>
  <c r="AF66" i="19"/>
  <c r="AG66" i="19" s="1"/>
  <c r="AH66" i="19" s="1"/>
  <c r="AF67" i="19"/>
  <c r="AG67" i="19" s="1"/>
  <c r="AH67" i="19" s="1"/>
  <c r="AF68" i="19"/>
  <c r="AG68" i="19" s="1"/>
  <c r="AH68" i="19" s="1"/>
  <c r="AF69" i="19"/>
  <c r="AG69" i="19" s="1"/>
  <c r="AH69" i="19" s="1"/>
  <c r="AF70" i="19"/>
  <c r="AG70" i="19" s="1"/>
  <c r="AH70" i="19" s="1"/>
  <c r="AF71" i="19"/>
  <c r="AG71" i="19" s="1"/>
  <c r="AH71" i="19" s="1"/>
  <c r="AF72" i="19"/>
  <c r="AG72" i="19" s="1"/>
  <c r="AH72" i="19" s="1"/>
  <c r="AF73" i="19"/>
  <c r="AG73" i="19" s="1"/>
  <c r="AH73" i="19" s="1"/>
  <c r="AF74" i="19"/>
  <c r="AG74" i="19" s="1"/>
  <c r="AH74" i="19" s="1"/>
  <c r="AF75" i="19"/>
  <c r="AG75" i="19" s="1"/>
  <c r="AH75" i="19" s="1"/>
  <c r="AF76" i="19"/>
  <c r="AG76" i="19" s="1"/>
  <c r="AH76" i="19" s="1"/>
  <c r="AF77" i="19"/>
  <c r="AG77" i="19" s="1"/>
  <c r="AH77" i="19" s="1"/>
  <c r="AF78" i="19"/>
  <c r="AG78" i="19" s="1"/>
  <c r="AH78" i="19" s="1"/>
  <c r="AF79" i="19"/>
  <c r="AG79" i="19" s="1"/>
  <c r="AH79" i="19" s="1"/>
  <c r="AF80" i="19"/>
  <c r="AG80" i="19" s="1"/>
  <c r="AH80" i="19" s="1"/>
  <c r="AF81" i="19"/>
  <c r="AG81" i="19" s="1"/>
  <c r="AH81" i="19" s="1"/>
  <c r="AF82" i="19"/>
  <c r="AG82" i="19" s="1"/>
  <c r="AH82" i="19" s="1"/>
  <c r="AF83" i="19"/>
  <c r="AG83" i="19" s="1"/>
  <c r="AH83" i="19" s="1"/>
  <c r="AF84" i="19"/>
  <c r="AG84" i="19" s="1"/>
  <c r="AH84" i="19" s="1"/>
  <c r="AF85" i="19"/>
  <c r="AG85" i="19" s="1"/>
  <c r="AH85" i="19" s="1"/>
  <c r="AF86" i="19"/>
  <c r="AG86" i="19" s="1"/>
  <c r="AH86" i="19" s="1"/>
  <c r="AF87" i="19"/>
  <c r="AG87" i="19" s="1"/>
  <c r="AH87" i="19" s="1"/>
  <c r="AF88" i="19"/>
  <c r="AG88" i="19" s="1"/>
  <c r="AH88" i="19" s="1"/>
  <c r="AF89" i="19"/>
  <c r="AG89" i="19" s="1"/>
  <c r="AH89" i="19" s="1"/>
  <c r="AF90" i="19"/>
  <c r="AG90" i="19" s="1"/>
  <c r="AH90" i="19" s="1"/>
  <c r="AF91" i="19"/>
  <c r="AG91" i="19" s="1"/>
  <c r="AH91" i="19" s="1"/>
  <c r="AF92" i="19"/>
  <c r="AG92" i="19" s="1"/>
  <c r="AH92" i="19" s="1"/>
  <c r="AF93" i="19"/>
  <c r="AG93" i="19" s="1"/>
  <c r="AH93" i="19" s="1"/>
  <c r="AF94" i="19"/>
  <c r="AG94" i="19" s="1"/>
  <c r="AH94" i="19" s="1"/>
  <c r="AF95" i="19"/>
  <c r="AG95" i="19" s="1"/>
  <c r="AH95" i="19" s="1"/>
  <c r="AF96" i="19"/>
  <c r="AG96" i="19" s="1"/>
  <c r="AH96" i="19" s="1"/>
  <c r="AF97" i="19"/>
  <c r="AG97" i="19" s="1"/>
  <c r="AH97" i="19" s="1"/>
  <c r="AF98" i="19"/>
  <c r="AG98" i="19" s="1"/>
  <c r="AH98" i="19" s="1"/>
  <c r="AF99" i="19"/>
  <c r="AG99" i="19" s="1"/>
  <c r="AH99" i="19" s="1"/>
  <c r="AF100" i="19"/>
  <c r="AG100" i="19" s="1"/>
  <c r="AH100" i="19" s="1"/>
  <c r="AF101" i="19"/>
  <c r="AG101" i="19" s="1"/>
  <c r="AH101" i="19" s="1"/>
  <c r="AF2" i="19"/>
  <c r="AG2" i="19" s="1"/>
  <c r="AH2" i="19" s="1"/>
  <c r="AG18" i="19"/>
  <c r="AH18" i="19" s="1"/>
  <c r="AG9" i="19"/>
  <c r="AH9" i="19" s="1"/>
  <c r="AS8" i="19" l="1"/>
  <c r="AT8" i="19" s="1"/>
  <c r="AS18" i="19"/>
  <c r="AT18" i="19" s="1"/>
  <c r="AS36" i="19"/>
  <c r="AT36" i="19" s="1"/>
  <c r="AS58" i="19"/>
  <c r="AT58" i="19" s="1"/>
  <c r="AS86" i="19"/>
  <c r="AT86" i="19" s="1"/>
  <c r="AS9" i="19"/>
  <c r="AT9" i="19" s="1"/>
  <c r="AS19" i="19"/>
  <c r="AT19" i="19" s="1"/>
  <c r="AS41" i="19"/>
  <c r="AT41" i="19" s="1"/>
  <c r="AS66" i="19"/>
  <c r="AT66" i="19" s="1"/>
  <c r="AS88" i="19"/>
  <c r="AT88" i="19" s="1"/>
  <c r="AS10" i="19"/>
  <c r="AT10" i="19" s="1"/>
  <c r="AS21" i="19"/>
  <c r="AT21" i="19" s="1"/>
  <c r="AS42" i="19"/>
  <c r="AT42" i="19" s="1"/>
  <c r="AS70" i="19"/>
  <c r="AT70" i="19" s="1"/>
  <c r="AS90" i="19"/>
  <c r="AT90" i="19" s="1"/>
  <c r="AS11" i="19"/>
  <c r="AT11" i="19" s="1"/>
  <c r="AS22" i="19"/>
  <c r="AT22" i="19" s="1"/>
  <c r="AS43" i="19"/>
  <c r="AT43" i="19" s="1"/>
  <c r="AS71" i="19"/>
  <c r="AT71" i="19" s="1"/>
  <c r="AS92" i="19"/>
  <c r="AT92" i="19" s="1"/>
  <c r="AS13" i="19"/>
  <c r="AT13" i="19" s="1"/>
  <c r="AS23" i="19"/>
  <c r="AT23" i="19" s="1"/>
  <c r="AS44" i="19"/>
  <c r="AT44" i="19" s="1"/>
  <c r="AS74" i="19"/>
  <c r="AT74" i="19" s="1"/>
  <c r="AS94" i="19"/>
  <c r="AT94" i="19" s="1"/>
  <c r="AS2" i="19"/>
  <c r="AT2" i="19" s="1"/>
  <c r="AS15" i="19"/>
  <c r="AT15" i="19" s="1"/>
  <c r="AS25" i="19"/>
  <c r="AT25" i="19" s="1"/>
  <c r="AS48" i="19"/>
  <c r="AT48" i="19" s="1"/>
  <c r="AS79" i="19"/>
  <c r="AT79" i="19" s="1"/>
  <c r="AS96" i="19"/>
  <c r="AT96" i="19" s="1"/>
  <c r="AS5" i="19"/>
  <c r="AT5" i="19" s="1"/>
  <c r="AS16" i="19"/>
  <c r="AT16" i="19" s="1"/>
  <c r="AS26" i="19"/>
  <c r="AT26" i="19" s="1"/>
  <c r="AS54" i="19"/>
  <c r="AT54" i="19" s="1"/>
  <c r="AS82" i="19"/>
  <c r="AT82" i="19" s="1"/>
  <c r="AS98" i="19"/>
  <c r="AT98" i="19" s="1"/>
  <c r="AS7" i="19"/>
  <c r="AT7" i="19" s="1"/>
  <c r="AS17" i="19"/>
  <c r="AT17" i="19" s="1"/>
  <c r="AS27" i="19"/>
  <c r="AT27" i="19" s="1"/>
  <c r="AS56" i="19"/>
  <c r="AT56" i="19" s="1"/>
  <c r="AS84" i="19"/>
  <c r="AT84" i="19" s="1"/>
  <c r="AS100" i="19"/>
  <c r="AT100" i="19" s="1"/>
  <c r="AP18" i="19"/>
  <c r="AQ18" i="19" s="1"/>
  <c r="AP2" i="19"/>
  <c r="AQ2" i="19" s="1"/>
  <c r="AP61" i="19"/>
  <c r="AQ61" i="19" s="1"/>
  <c r="AP90" i="19"/>
  <c r="AQ90" i="19" s="1"/>
  <c r="AN93" i="19"/>
  <c r="AO93" i="19" s="1"/>
  <c r="AP83" i="19"/>
  <c r="AQ83" i="19" s="1"/>
  <c r="AP13" i="19"/>
  <c r="AQ13" i="19" s="1"/>
  <c r="AP37" i="19"/>
  <c r="AQ37" i="19" s="1"/>
  <c r="AN85" i="19"/>
  <c r="AO85" i="19" s="1"/>
  <c r="AN11" i="19"/>
  <c r="AO11" i="19" s="1"/>
  <c r="AN35" i="19"/>
  <c r="AO35" i="19" s="1"/>
  <c r="AP15" i="19"/>
  <c r="AQ15" i="19" s="1"/>
  <c r="AN40" i="19"/>
  <c r="AO40" i="19" s="1"/>
  <c r="AN66" i="19"/>
  <c r="AO66" i="19" s="1"/>
  <c r="AP88" i="19"/>
  <c r="AQ88" i="19" s="1"/>
  <c r="AP67" i="19"/>
  <c r="AQ67" i="19" s="1"/>
  <c r="AN48" i="19"/>
  <c r="AO48" i="19" s="1"/>
  <c r="AP26" i="19"/>
  <c r="AQ26" i="19" s="1"/>
  <c r="AN50" i="19"/>
  <c r="AO50" i="19" s="1"/>
  <c r="AN72" i="19"/>
  <c r="AO72" i="19" s="1"/>
  <c r="AN4" i="19"/>
  <c r="AO4" i="19" s="1"/>
  <c r="AN29" i="19"/>
  <c r="AO29" i="19" s="1"/>
  <c r="AP74" i="19"/>
  <c r="AQ74" i="19" s="1"/>
  <c r="AN98" i="19"/>
  <c r="AO98" i="19" s="1"/>
  <c r="AN43" i="19"/>
  <c r="AO43" i="19" s="1"/>
  <c r="AP5" i="19"/>
  <c r="AQ5" i="19" s="1"/>
  <c r="AN31" i="19"/>
  <c r="AO31" i="19" s="1"/>
  <c r="AN59" i="19"/>
  <c r="AO59" i="19" s="1"/>
  <c r="AP99" i="19"/>
  <c r="AQ99" i="19" s="1"/>
  <c r="AN10" i="19"/>
  <c r="AO10" i="19" s="1"/>
  <c r="AN19" i="19"/>
  <c r="AO19" i="19" s="1"/>
  <c r="AN34" i="19"/>
  <c r="AO34" i="19" s="1"/>
  <c r="AN53" i="19"/>
  <c r="AO53" i="19" s="1"/>
  <c r="AN58" i="19"/>
  <c r="AO58" i="19" s="1"/>
  <c r="AN62" i="19"/>
  <c r="AO62" i="19" s="1"/>
  <c r="AN71" i="19"/>
  <c r="AO71" i="19" s="1"/>
  <c r="AN75" i="19"/>
  <c r="AO75" i="19" s="1"/>
  <c r="AN80" i="19"/>
  <c r="AO80" i="19" s="1"/>
  <c r="AN84" i="19"/>
  <c r="AO84" i="19" s="1"/>
  <c r="AP33" i="19"/>
  <c r="AQ33" i="19" s="1"/>
  <c r="AP52" i="19"/>
  <c r="AQ52" i="19" s="1"/>
  <c r="AN44" i="19"/>
  <c r="AO44" i="19" s="1"/>
  <c r="AN16" i="19"/>
  <c r="AO16" i="19" s="1"/>
  <c r="AP20" i="19"/>
  <c r="AQ20" i="19" s="1"/>
  <c r="AN27" i="19"/>
  <c r="AO27" i="19" s="1"/>
  <c r="AN45" i="19"/>
  <c r="AO45" i="19" s="1"/>
  <c r="AN55" i="19"/>
  <c r="AO55" i="19" s="1"/>
  <c r="AN64" i="19"/>
  <c r="AO64" i="19" s="1"/>
  <c r="AN68" i="19"/>
  <c r="AO68" i="19" s="1"/>
  <c r="AP76" i="19"/>
  <c r="AQ76" i="19" s="1"/>
  <c r="AP81" i="19"/>
  <c r="AQ81" i="19" s="1"/>
  <c r="AN91" i="19"/>
  <c r="AO91" i="19" s="1"/>
  <c r="AN96" i="19"/>
  <c r="AO96" i="19" s="1"/>
  <c r="AN100" i="19"/>
  <c r="AO100" i="19" s="1"/>
  <c r="AN12" i="19"/>
  <c r="AO12" i="19" s="1"/>
  <c r="AN21" i="19"/>
  <c r="AO21" i="19" s="1"/>
  <c r="AN32" i="19"/>
  <c r="AO32" i="19" s="1"/>
  <c r="AN36" i="19"/>
  <c r="AO36" i="19" s="1"/>
  <c r="AN51" i="19"/>
  <c r="AO51" i="19" s="1"/>
  <c r="AN60" i="19"/>
  <c r="AO60" i="19" s="1"/>
  <c r="AN73" i="19"/>
  <c r="AO73" i="19" s="1"/>
  <c r="AN77" i="19"/>
  <c r="AO77" i="19" s="1"/>
  <c r="AN82" i="19"/>
  <c r="AO82" i="19" s="1"/>
  <c r="AN3" i="19"/>
  <c r="AO3" i="19" s="1"/>
  <c r="AN8" i="19"/>
  <c r="AO8" i="19" s="1"/>
  <c r="AN28" i="19"/>
  <c r="AO28" i="19" s="1"/>
  <c r="AN42" i="19"/>
  <c r="AO42" i="19" s="1"/>
  <c r="AN56" i="19"/>
  <c r="AO56" i="19" s="1"/>
  <c r="AN65" i="19"/>
  <c r="AO65" i="19" s="1"/>
  <c r="AN69" i="19"/>
  <c r="AO69" i="19" s="1"/>
  <c r="AN92" i="19"/>
  <c r="AO92" i="19" s="1"/>
  <c r="AN97" i="19"/>
  <c r="AO97" i="19" s="1"/>
  <c r="AN101" i="19"/>
  <c r="AO101" i="19" s="1"/>
  <c r="W20" i="19"/>
  <c r="AS20" i="19" s="1"/>
  <c r="AT20" i="19" s="1"/>
  <c r="W6" i="19"/>
  <c r="AS6" i="19" s="1"/>
  <c r="AT6" i="19" s="1"/>
  <c r="W3" i="19"/>
  <c r="AS3" i="19" s="1"/>
  <c r="AT3" i="19" s="1"/>
  <c r="W12" i="19"/>
  <c r="AS12" i="19" s="1"/>
  <c r="AT12" i="19" s="1"/>
  <c r="W4" i="19"/>
  <c r="AS4" i="19" s="1"/>
  <c r="AT4" i="19" s="1"/>
  <c r="W24" i="19"/>
  <c r="AS24" i="19" s="1"/>
  <c r="AT24" i="19" s="1"/>
  <c r="W14" i="19"/>
  <c r="AS14" i="19" s="1"/>
  <c r="AT14" i="19" s="1"/>
  <c r="W33" i="19"/>
  <c r="AS33" i="19" s="1"/>
  <c r="AT33" i="19" s="1"/>
  <c r="W38" i="19"/>
  <c r="AS38" i="19" s="1"/>
  <c r="AT38" i="19" s="1"/>
  <c r="W50" i="19"/>
  <c r="AS50" i="19" s="1"/>
  <c r="AT50" i="19" s="1"/>
  <c r="W52" i="19"/>
  <c r="AS52" i="19" s="1"/>
  <c r="AT52" i="19" s="1"/>
  <c r="W35" i="19"/>
  <c r="AS35" i="19" s="1"/>
  <c r="AT35" i="19" s="1"/>
  <c r="W40" i="19"/>
  <c r="AS40" i="19" s="1"/>
  <c r="AT40" i="19" s="1"/>
  <c r="W46" i="19"/>
  <c r="AS46" i="19" s="1"/>
  <c r="AT46" i="19" s="1"/>
  <c r="W59" i="19"/>
  <c r="AS59" i="19" s="1"/>
  <c r="AT59" i="19" s="1"/>
  <c r="W45" i="19"/>
  <c r="AS45" i="19" s="1"/>
  <c r="AT45" i="19" s="1"/>
  <c r="W47" i="19"/>
  <c r="AS47" i="19" s="1"/>
  <c r="AT47" i="19" s="1"/>
  <c r="W55" i="19"/>
  <c r="AS55" i="19" s="1"/>
  <c r="AT55" i="19" s="1"/>
  <c r="W57" i="19"/>
  <c r="AS57" i="19" s="1"/>
  <c r="AT57" i="19" s="1"/>
  <c r="W64" i="19"/>
  <c r="AS64" i="19" s="1"/>
  <c r="AT64" i="19" s="1"/>
  <c r="W37" i="19"/>
  <c r="AS37" i="19" s="1"/>
  <c r="AT37" i="19" s="1"/>
  <c r="W39" i="19"/>
  <c r="AS39" i="19" s="1"/>
  <c r="AT39" i="19" s="1"/>
  <c r="W49" i="19"/>
  <c r="AS49" i="19" s="1"/>
  <c r="AT49" i="19" s="1"/>
  <c r="W51" i="19"/>
  <c r="AS51" i="19" s="1"/>
  <c r="AT51" i="19" s="1"/>
  <c r="W53" i="19"/>
  <c r="AS53" i="19" s="1"/>
  <c r="AT53" i="19" s="1"/>
  <c r="W60" i="19"/>
  <c r="AS60" i="19" s="1"/>
  <c r="AT60" i="19" s="1"/>
  <c r="W28" i="19"/>
  <c r="AS28" i="19" s="1"/>
  <c r="AT28" i="19" s="1"/>
  <c r="W62" i="19"/>
  <c r="AS62" i="19" s="1"/>
  <c r="AT62" i="19" s="1"/>
  <c r="W30" i="19"/>
  <c r="AS30" i="19" s="1"/>
  <c r="AT30" i="19" s="1"/>
  <c r="W29" i="19"/>
  <c r="AS29" i="19" s="1"/>
  <c r="AT29" i="19" s="1"/>
  <c r="W32" i="19"/>
  <c r="AS32" i="19" s="1"/>
  <c r="AT32" i="19" s="1"/>
  <c r="W65" i="19"/>
  <c r="AS65" i="19" s="1"/>
  <c r="AT65" i="19" s="1"/>
  <c r="W31" i="19"/>
  <c r="AS31" i="19" s="1"/>
  <c r="AT31" i="19" s="1"/>
  <c r="W34" i="19"/>
  <c r="AS34" i="19" s="1"/>
  <c r="AT34" i="19" s="1"/>
  <c r="W61" i="19"/>
  <c r="AS61" i="19" s="1"/>
  <c r="AT61" i="19" s="1"/>
  <c r="W63" i="19"/>
  <c r="AS63" i="19" s="1"/>
  <c r="AT63" i="19" s="1"/>
  <c r="W68" i="19"/>
  <c r="AS68" i="19" s="1"/>
  <c r="AT68" i="19" s="1"/>
  <c r="W72" i="19"/>
  <c r="AS72" i="19" s="1"/>
  <c r="AT72" i="19" s="1"/>
  <c r="W76" i="19"/>
  <c r="AS76" i="19" s="1"/>
  <c r="AT76" i="19" s="1"/>
  <c r="W78" i="19"/>
  <c r="AS78" i="19" s="1"/>
  <c r="AT78" i="19" s="1"/>
  <c r="W81" i="19"/>
  <c r="AS81" i="19" s="1"/>
  <c r="AT81" i="19" s="1"/>
  <c r="W83" i="19"/>
  <c r="AS83" i="19" s="1"/>
  <c r="AT83" i="19" s="1"/>
  <c r="W85" i="19"/>
  <c r="AS85" i="19" s="1"/>
  <c r="AT85" i="19" s="1"/>
  <c r="W80" i="19"/>
  <c r="AS80" i="19" s="1"/>
  <c r="AT80" i="19" s="1"/>
  <c r="W87" i="19"/>
  <c r="AS87" i="19" s="1"/>
  <c r="AT87" i="19" s="1"/>
  <c r="W93" i="19"/>
  <c r="AS93" i="19" s="1"/>
  <c r="AT93" i="19" s="1"/>
  <c r="W89" i="19"/>
  <c r="AS89" i="19" s="1"/>
  <c r="AT89" i="19" s="1"/>
  <c r="W91" i="19"/>
  <c r="AS91" i="19" s="1"/>
  <c r="AT91" i="19" s="1"/>
  <c r="W67" i="19"/>
  <c r="AS67" i="19" s="1"/>
  <c r="AT67" i="19" s="1"/>
  <c r="W69" i="19"/>
  <c r="AS69" i="19" s="1"/>
  <c r="AT69" i="19" s="1"/>
  <c r="W95" i="19"/>
  <c r="AS95" i="19" s="1"/>
  <c r="AT95" i="19" s="1"/>
  <c r="W73" i="19"/>
  <c r="AS73" i="19" s="1"/>
  <c r="AT73" i="19" s="1"/>
  <c r="W75" i="19"/>
  <c r="AS75" i="19" s="1"/>
  <c r="AT75" i="19" s="1"/>
  <c r="W77" i="19"/>
  <c r="AS77" i="19" s="1"/>
  <c r="AT77" i="19" s="1"/>
  <c r="W97" i="19"/>
  <c r="AS97" i="19" s="1"/>
  <c r="AT97" i="19" s="1"/>
  <c r="W99" i="19"/>
  <c r="AS99" i="19" s="1"/>
  <c r="AT99" i="19" s="1"/>
  <c r="W101" i="19"/>
  <c r="AS101" i="19" s="1"/>
  <c r="AT101" i="19" s="1"/>
  <c r="AN38" i="19"/>
  <c r="AO38" i="19" s="1"/>
  <c r="AN78" i="19"/>
  <c r="AO78" i="19" s="1"/>
  <c r="AN94" i="19"/>
  <c r="AO94" i="19" s="1"/>
  <c r="AN17" i="19"/>
  <c r="AO17" i="19" s="1"/>
  <c r="AN22" i="19"/>
  <c r="AO22" i="19" s="1"/>
  <c r="AN6" i="19"/>
  <c r="AO6" i="19" s="1"/>
  <c r="AN41" i="19"/>
  <c r="AO41" i="19" s="1"/>
  <c r="AN46" i="19"/>
  <c r="AO46" i="19" s="1"/>
  <c r="AN63" i="19"/>
  <c r="AO63" i="19" s="1"/>
  <c r="AN79" i="19"/>
  <c r="AO79" i="19" s="1"/>
  <c r="AN86" i="19"/>
  <c r="AO86" i="19" s="1"/>
  <c r="AN95" i="19"/>
  <c r="AO95" i="19" s="1"/>
  <c r="AN25" i="19"/>
  <c r="AO25" i="19" s="1"/>
  <c r="AN30" i="19"/>
  <c r="AO30" i="19" s="1"/>
  <c r="AN39" i="19"/>
  <c r="AO39" i="19" s="1"/>
  <c r="AN54" i="19"/>
  <c r="AO54" i="19" s="1"/>
  <c r="AN70" i="19"/>
  <c r="AO70" i="19" s="1"/>
  <c r="AN9" i="19"/>
  <c r="AO9" i="19" s="1"/>
  <c r="AN23" i="19"/>
  <c r="AO23" i="19" s="1"/>
  <c r="AN49" i="19"/>
  <c r="AO49" i="19" s="1"/>
  <c r="AN57" i="19"/>
  <c r="AO57" i="19" s="1"/>
  <c r="AN89" i="19"/>
  <c r="AO89" i="19" s="1"/>
  <c r="AN7" i="19"/>
  <c r="AO7" i="19" s="1"/>
  <c r="AN14" i="19"/>
  <c r="AO14" i="19" s="1"/>
  <c r="AN47" i="19"/>
  <c r="AO47" i="19" s="1"/>
  <c r="AN87" i="19"/>
  <c r="AO87" i="19" s="1"/>
  <c r="AO2" i="19"/>
  <c r="A2" i="19"/>
  <c r="A2" i="18"/>
  <c r="A3" i="15" l="1"/>
  <c r="A4" i="15" l="1"/>
  <c r="A3" i="19"/>
  <c r="A3" i="18"/>
  <c r="A5" i="15" l="1"/>
  <c r="A4" i="18"/>
  <c r="A4" i="19"/>
  <c r="G9" i="9"/>
  <c r="G12" i="9"/>
  <c r="G13" i="9"/>
  <c r="G18" i="9"/>
  <c r="G22" i="9"/>
  <c r="G23" i="9"/>
  <c r="G25" i="9"/>
  <c r="G26" i="9"/>
  <c r="G30" i="9"/>
  <c r="G32" i="9"/>
  <c r="G34" i="9"/>
  <c r="G36" i="9"/>
  <c r="G41" i="9"/>
  <c r="G43" i="9"/>
  <c r="G44" i="9"/>
  <c r="G47" i="9"/>
  <c r="G58" i="9"/>
  <c r="G70" i="9"/>
  <c r="G71" i="9"/>
  <c r="G84" i="9"/>
  <c r="G89" i="9"/>
  <c r="G91" i="9"/>
  <c r="G92" i="9"/>
  <c r="F9" i="9"/>
  <c r="F12" i="9"/>
  <c r="H12" i="9" s="1"/>
  <c r="F13" i="9"/>
  <c r="F18" i="9"/>
  <c r="F22" i="9"/>
  <c r="F23" i="9"/>
  <c r="F25" i="9"/>
  <c r="H25" i="9" s="1"/>
  <c r="F26" i="9"/>
  <c r="F30" i="9"/>
  <c r="F32" i="9"/>
  <c r="F34" i="9"/>
  <c r="F36" i="9"/>
  <c r="F41" i="9"/>
  <c r="F43" i="9"/>
  <c r="F44" i="9"/>
  <c r="H44" i="9" s="1"/>
  <c r="F47" i="9"/>
  <c r="F58" i="9"/>
  <c r="F70" i="9"/>
  <c r="F71" i="9"/>
  <c r="F84" i="9"/>
  <c r="F89" i="9"/>
  <c r="F91" i="9"/>
  <c r="F92" i="9"/>
  <c r="H92" i="9" s="1"/>
  <c r="A6" i="15" l="1"/>
  <c r="A5" i="18"/>
  <c r="A5" i="19"/>
  <c r="H18" i="9"/>
  <c r="H58" i="9"/>
  <c r="H9" i="9"/>
  <c r="H30" i="9"/>
  <c r="H71" i="9"/>
  <c r="H34" i="9"/>
  <c r="H13" i="9"/>
  <c r="H26" i="9"/>
  <c r="H43" i="9"/>
  <c r="H89" i="9"/>
  <c r="H41" i="9"/>
  <c r="H22" i="9"/>
  <c r="H84" i="9"/>
  <c r="H36" i="9"/>
  <c r="H91" i="9"/>
  <c r="H70" i="9"/>
  <c r="H32" i="9"/>
  <c r="H23" i="9"/>
  <c r="H47" i="9"/>
  <c r="I12" i="10"/>
  <c r="H12" i="10"/>
  <c r="I11" i="10"/>
  <c r="H11" i="10"/>
  <c r="I10" i="10"/>
  <c r="H10" i="10"/>
  <c r="I9" i="10"/>
  <c r="H9" i="10"/>
  <c r="I8" i="10"/>
  <c r="H8" i="10"/>
  <c r="I7" i="10"/>
  <c r="H7" i="10"/>
  <c r="I6" i="10"/>
  <c r="H6" i="10"/>
  <c r="I5" i="10"/>
  <c r="H5" i="10"/>
  <c r="I4" i="10"/>
  <c r="H4" i="10"/>
  <c r="I3" i="10"/>
  <c r="H3" i="10"/>
  <c r="I2" i="10"/>
  <c r="H2" i="10"/>
  <c r="E12" i="10"/>
  <c r="D12" i="10"/>
  <c r="E11" i="10"/>
  <c r="D11" i="10"/>
  <c r="E10" i="10"/>
  <c r="D10" i="10"/>
  <c r="E9" i="10"/>
  <c r="D9" i="10"/>
  <c r="E8" i="10"/>
  <c r="D8" i="10"/>
  <c r="E7" i="10"/>
  <c r="D7" i="10"/>
  <c r="E6" i="10"/>
  <c r="D6" i="10"/>
  <c r="E5" i="10"/>
  <c r="D5" i="10"/>
  <c r="E4" i="10"/>
  <c r="D4" i="10"/>
  <c r="E3" i="10"/>
  <c r="D3" i="10"/>
  <c r="E2" i="10"/>
  <c r="D2" i="10"/>
  <c r="G12" i="10"/>
  <c r="F12" i="10"/>
  <c r="G11" i="10"/>
  <c r="F11" i="10"/>
  <c r="G10" i="10"/>
  <c r="F10" i="10"/>
  <c r="G9" i="10"/>
  <c r="F9" i="10"/>
  <c r="G8" i="10"/>
  <c r="F8" i="10"/>
  <c r="G7" i="10"/>
  <c r="F7" i="10"/>
  <c r="G6" i="10"/>
  <c r="F6" i="10"/>
  <c r="G5" i="10"/>
  <c r="F5" i="10"/>
  <c r="G4" i="10"/>
  <c r="F4" i="10"/>
  <c r="G3" i="10"/>
  <c r="F3" i="10"/>
  <c r="G2" i="10"/>
  <c r="F2" i="10"/>
  <c r="A7" i="15" l="1"/>
  <c r="A6" i="18"/>
  <c r="A6" i="19"/>
  <c r="M10" i="10"/>
  <c r="M5" i="10"/>
  <c r="M9" i="10"/>
  <c r="M2" i="10"/>
  <c r="M6" i="10"/>
  <c r="M7" i="10"/>
  <c r="M11" i="10"/>
  <c r="M3" i="10"/>
  <c r="M4" i="10"/>
  <c r="M8" i="10"/>
  <c r="M12" i="10"/>
  <c r="G13" i="10"/>
  <c r="D13" i="10"/>
  <c r="P11" i="10"/>
  <c r="P8" i="10"/>
  <c r="P9" i="10"/>
  <c r="P5" i="10"/>
  <c r="P2" i="10"/>
  <c r="P3" i="10"/>
  <c r="P7" i="10"/>
  <c r="O4" i="10"/>
  <c r="O8" i="10"/>
  <c r="O12" i="10"/>
  <c r="P4" i="10"/>
  <c r="P12" i="10"/>
  <c r="O5" i="10"/>
  <c r="O9" i="10"/>
  <c r="H13" i="10"/>
  <c r="I13" i="10"/>
  <c r="O6" i="10"/>
  <c r="O10" i="10"/>
  <c r="P6" i="10"/>
  <c r="P10" i="10"/>
  <c r="O3" i="10"/>
  <c r="O7" i="10"/>
  <c r="O11" i="10"/>
  <c r="O2" i="10"/>
  <c r="E13" i="10"/>
  <c r="F13" i="10"/>
  <c r="AW82" i="9"/>
  <c r="AQ82" i="9"/>
  <c r="AK82" i="9"/>
  <c r="AE82" i="9"/>
  <c r="AW58" i="9"/>
  <c r="AQ58" i="9"/>
  <c r="AK58" i="9"/>
  <c r="AE58" i="9"/>
  <c r="A8" i="15" l="1"/>
  <c r="A7" i="18"/>
  <c r="A7" i="19"/>
  <c r="M13" i="10"/>
  <c r="AF101" i="9"/>
  <c r="Z101" i="9"/>
  <c r="AF100" i="9"/>
  <c r="Z100" i="9"/>
  <c r="AF98" i="9"/>
  <c r="Z98" i="9"/>
  <c r="Z97" i="9"/>
  <c r="Z96" i="9"/>
  <c r="Z95" i="9"/>
  <c r="Z94" i="9"/>
  <c r="AE92" i="9"/>
  <c r="AF88" i="9"/>
  <c r="Z88" i="9"/>
  <c r="AX87" i="9"/>
  <c r="AR87" i="9"/>
  <c r="Z87" i="9"/>
  <c r="Z86" i="9"/>
  <c r="B12" i="10" s="1"/>
  <c r="C12" i="10" s="1"/>
  <c r="Z85" i="9"/>
  <c r="B10" i="10" s="1"/>
  <c r="Z82" i="9"/>
  <c r="Z80" i="9"/>
  <c r="AX78" i="9"/>
  <c r="AR78" i="9"/>
  <c r="AF78" i="9"/>
  <c r="Z78" i="9"/>
  <c r="AR77" i="9"/>
  <c r="AL77" i="9"/>
  <c r="AF77" i="9"/>
  <c r="Z77" i="9"/>
  <c r="AL75" i="9"/>
  <c r="Z75" i="9"/>
  <c r="Z74" i="9"/>
  <c r="B5" i="10" s="1"/>
  <c r="C5" i="10" s="1"/>
  <c r="AW71" i="9"/>
  <c r="AY71" i="9" s="1"/>
  <c r="AS71" i="9"/>
  <c r="AM71" i="9"/>
  <c r="AG71" i="9"/>
  <c r="AA71" i="9"/>
  <c r="AX69" i="9"/>
  <c r="AR69" i="9"/>
  <c r="Z69" i="9"/>
  <c r="Z68" i="9"/>
  <c r="AR65" i="9"/>
  <c r="AL65" i="9"/>
  <c r="Z65" i="9"/>
  <c r="AF64" i="9"/>
  <c r="Z64" i="9"/>
  <c r="Z63" i="9"/>
  <c r="Z62" i="9"/>
  <c r="AF61" i="9"/>
  <c r="Z61" i="9"/>
  <c r="AF59" i="9"/>
  <c r="Z59" i="9"/>
  <c r="AF54" i="9"/>
  <c r="AF53" i="9"/>
  <c r="Z53" i="9"/>
  <c r="B8" i="10" s="1"/>
  <c r="C8" i="10" s="1"/>
  <c r="Q8" i="10" s="1"/>
  <c r="AF52" i="9"/>
  <c r="Z52" i="9"/>
  <c r="AF50" i="9"/>
  <c r="Z50" i="9"/>
  <c r="AX48" i="9"/>
  <c r="AR48" i="9"/>
  <c r="AR46" i="9"/>
  <c r="Z46" i="9"/>
  <c r="B3" i="10" s="1"/>
  <c r="AX45" i="9"/>
  <c r="AR45" i="9"/>
  <c r="Z39" i="9"/>
  <c r="B9" i="10" s="1"/>
  <c r="C9" i="10" s="1"/>
  <c r="AR38" i="9"/>
  <c r="AL38" i="9"/>
  <c r="AF38" i="9"/>
  <c r="AX37" i="9"/>
  <c r="AR37" i="9"/>
  <c r="AL37" i="9"/>
  <c r="AK36" i="9"/>
  <c r="AL35" i="9"/>
  <c r="AF35" i="9"/>
  <c r="Z35" i="9"/>
  <c r="AR35" i="9"/>
  <c r="AX29" i="9"/>
  <c r="AR29" i="9"/>
  <c r="AL29" i="9"/>
  <c r="AF29" i="9"/>
  <c r="Z29" i="9"/>
  <c r="AX28" i="9"/>
  <c r="AR28" i="9"/>
  <c r="AL28" i="9"/>
  <c r="AF28" i="9"/>
  <c r="Z28" i="9"/>
  <c r="AW26" i="9"/>
  <c r="AQ26" i="9"/>
  <c r="AK26" i="9"/>
  <c r="AE26" i="9"/>
  <c r="AX24" i="9"/>
  <c r="AR24" i="9"/>
  <c r="AL24" i="9"/>
  <c r="AF24" i="9"/>
  <c r="Z24" i="9"/>
  <c r="AW23" i="9"/>
  <c r="Z20" i="9"/>
  <c r="Z19" i="9"/>
  <c r="AX17" i="9"/>
  <c r="AR17" i="9"/>
  <c r="Z17" i="9"/>
  <c r="AR15" i="9"/>
  <c r="Z15" i="9"/>
  <c r="AF14" i="9"/>
  <c r="Z14" i="9"/>
  <c r="AR11" i="9"/>
  <c r="AL11" i="9"/>
  <c r="AF11" i="9"/>
  <c r="AX11" i="9"/>
  <c r="Z11" i="9"/>
  <c r="AX9" i="9"/>
  <c r="AR9" i="9"/>
  <c r="Z8" i="9"/>
  <c r="B2" i="10" s="1"/>
  <c r="Z7" i="9"/>
  <c r="B6" i="10" s="1"/>
  <c r="AW6" i="9"/>
  <c r="AL6" i="9"/>
  <c r="Z6" i="9"/>
  <c r="AR5" i="9"/>
  <c r="AX4" i="9"/>
  <c r="AR4" i="9"/>
  <c r="AL4" i="9"/>
  <c r="AF4" i="9"/>
  <c r="Z4" i="9"/>
  <c r="AX2" i="9"/>
  <c r="Y3" i="9"/>
  <c r="Z3" i="9"/>
  <c r="A9" i="15" l="1"/>
  <c r="A8" i="19"/>
  <c r="A8" i="18"/>
  <c r="T71" i="9"/>
  <c r="C2" i="10"/>
  <c r="Q2" i="10" s="1"/>
  <c r="B7" i="10"/>
  <c r="C7" i="10" s="1"/>
  <c r="Q7" i="10" s="1"/>
  <c r="B11" i="10"/>
  <c r="C11" i="10" s="1"/>
  <c r="Q11" i="10" s="1"/>
  <c r="C10" i="10"/>
  <c r="Q10" i="10" s="1"/>
  <c r="C6" i="10"/>
  <c r="Q6" i="10" s="1"/>
  <c r="Q12" i="10"/>
  <c r="Q9" i="10"/>
  <c r="C3" i="10"/>
  <c r="Q3" i="10" s="1"/>
  <c r="AA3" i="9"/>
  <c r="AQ2" i="9"/>
  <c r="AS2" i="9" s="1"/>
  <c r="AK2" i="9"/>
  <c r="AM2" i="9" s="1"/>
  <c r="AE2" i="9"/>
  <c r="Y2" i="9"/>
  <c r="A10" i="15" l="1"/>
  <c r="A9" i="19"/>
  <c r="A9" i="18"/>
  <c r="F3" i="9"/>
  <c r="G3" i="9"/>
  <c r="AG2" i="9"/>
  <c r="AA2" i="9"/>
  <c r="AW3" i="9"/>
  <c r="AY3" i="9" s="1"/>
  <c r="AW4" i="9"/>
  <c r="AY4" i="9" s="1"/>
  <c r="AW5" i="9"/>
  <c r="AY5" i="9" s="1"/>
  <c r="AY6" i="9"/>
  <c r="AW7" i="9"/>
  <c r="AY7" i="9" s="1"/>
  <c r="AW8" i="9"/>
  <c r="AY8" i="9" s="1"/>
  <c r="AW9" i="9"/>
  <c r="AY9" i="9" s="1"/>
  <c r="AW10" i="9"/>
  <c r="AY10" i="9" s="1"/>
  <c r="AW11" i="9"/>
  <c r="AY11" i="9" s="1"/>
  <c r="AW12" i="9"/>
  <c r="AY12" i="9" s="1"/>
  <c r="AW13" i="9"/>
  <c r="AY13" i="9" s="1"/>
  <c r="AW14" i="9"/>
  <c r="AY14" i="9" s="1"/>
  <c r="AW15" i="9"/>
  <c r="AY15" i="9" s="1"/>
  <c r="AW16" i="9"/>
  <c r="AY16" i="9" s="1"/>
  <c r="AW17" i="9"/>
  <c r="AY17" i="9" s="1"/>
  <c r="AW18" i="9"/>
  <c r="AY18" i="9" s="1"/>
  <c r="AW19" i="9"/>
  <c r="AY19" i="9" s="1"/>
  <c r="AW20" i="9"/>
  <c r="AW21" i="9"/>
  <c r="AY21" i="9" s="1"/>
  <c r="AW22" i="9"/>
  <c r="AY22" i="9" s="1"/>
  <c r="AY23" i="9"/>
  <c r="AW24" i="9"/>
  <c r="AY24" i="9" s="1"/>
  <c r="AW25" i="9"/>
  <c r="AY25" i="9" s="1"/>
  <c r="AY26" i="9"/>
  <c r="AW27" i="9"/>
  <c r="AY27" i="9" s="1"/>
  <c r="AW28" i="9"/>
  <c r="AY28" i="9" s="1"/>
  <c r="AW29" i="9"/>
  <c r="AY29" i="9" s="1"/>
  <c r="AW30" i="9"/>
  <c r="AY30" i="9" s="1"/>
  <c r="AW31" i="9"/>
  <c r="AY31" i="9" s="1"/>
  <c r="AW32" i="9"/>
  <c r="AY32" i="9" s="1"/>
  <c r="AW34" i="9"/>
  <c r="AY34" i="9" s="1"/>
  <c r="AW35" i="9"/>
  <c r="AY35" i="9" s="1"/>
  <c r="AW36" i="9"/>
  <c r="AY36" i="9" s="1"/>
  <c r="AW37" i="9"/>
  <c r="AY37" i="9" s="1"/>
  <c r="AW38" i="9"/>
  <c r="AY38" i="9" s="1"/>
  <c r="AW39" i="9"/>
  <c r="AY39" i="9" s="1"/>
  <c r="AW40" i="9"/>
  <c r="AY40" i="9" s="1"/>
  <c r="AW41" i="9"/>
  <c r="AY41" i="9" s="1"/>
  <c r="AW42" i="9"/>
  <c r="AY42" i="9" s="1"/>
  <c r="AY43" i="9"/>
  <c r="AW44" i="9"/>
  <c r="AY44" i="9" s="1"/>
  <c r="AW45" i="9"/>
  <c r="AY45" i="9" s="1"/>
  <c r="AW46" i="9"/>
  <c r="AY46" i="9" s="1"/>
  <c r="AW47" i="9"/>
  <c r="AY47" i="9" s="1"/>
  <c r="AW48" i="9"/>
  <c r="AY48" i="9" s="1"/>
  <c r="AW49" i="9"/>
  <c r="AY49" i="9" s="1"/>
  <c r="AW50" i="9"/>
  <c r="AY50" i="9" s="1"/>
  <c r="AW51" i="9"/>
  <c r="AY51" i="9" s="1"/>
  <c r="AW52" i="9"/>
  <c r="AY52" i="9" s="1"/>
  <c r="AW53" i="9"/>
  <c r="AY53" i="9" s="1"/>
  <c r="AW54" i="9"/>
  <c r="AY54" i="9" s="1"/>
  <c r="AW55" i="9"/>
  <c r="AY55" i="9" s="1"/>
  <c r="AW56" i="9"/>
  <c r="AY56" i="9" s="1"/>
  <c r="AW57" i="9"/>
  <c r="AY57" i="9" s="1"/>
  <c r="AY58" i="9"/>
  <c r="AW59" i="9"/>
  <c r="AY59" i="9" s="1"/>
  <c r="AW60" i="9"/>
  <c r="AY60" i="9" s="1"/>
  <c r="AW61" i="9"/>
  <c r="AY61" i="9" s="1"/>
  <c r="AW62" i="9"/>
  <c r="AY62" i="9" s="1"/>
  <c r="AW64" i="9"/>
  <c r="AY64" i="9" s="1"/>
  <c r="AW65" i="9"/>
  <c r="AY65" i="9" s="1"/>
  <c r="AW66" i="9"/>
  <c r="AY66" i="9" s="1"/>
  <c r="AW67" i="9"/>
  <c r="AY67" i="9" s="1"/>
  <c r="AW68" i="9"/>
  <c r="AW69" i="9"/>
  <c r="AY69" i="9" s="1"/>
  <c r="AW70" i="9"/>
  <c r="AY70" i="9" s="1"/>
  <c r="AW72" i="9"/>
  <c r="AY72" i="9" s="1"/>
  <c r="AW73" i="9"/>
  <c r="AY73" i="9" s="1"/>
  <c r="AW74" i="9"/>
  <c r="AY74" i="9" s="1"/>
  <c r="AW75" i="9"/>
  <c r="AY75" i="9" s="1"/>
  <c r="AW76" i="9"/>
  <c r="AY76" i="9" s="1"/>
  <c r="AW77" i="9"/>
  <c r="AY77" i="9" s="1"/>
  <c r="AW78" i="9"/>
  <c r="AY78" i="9" s="1"/>
  <c r="AW79" i="9"/>
  <c r="AY79" i="9" s="1"/>
  <c r="AW80" i="9"/>
  <c r="AY80" i="9" s="1"/>
  <c r="AW81" i="9"/>
  <c r="AY81" i="9" s="1"/>
  <c r="AY82" i="9"/>
  <c r="AW83" i="9"/>
  <c r="AY83" i="9" s="1"/>
  <c r="AW84" i="9"/>
  <c r="AY84" i="9" s="1"/>
  <c r="AW85" i="9"/>
  <c r="AY85" i="9" s="1"/>
  <c r="AW86" i="9"/>
  <c r="AY86" i="9" s="1"/>
  <c r="AW87" i="9"/>
  <c r="AY87" i="9" s="1"/>
  <c r="AW88" i="9"/>
  <c r="AY88" i="9" s="1"/>
  <c r="AW89" i="9"/>
  <c r="AY89" i="9" s="1"/>
  <c r="AW90" i="9"/>
  <c r="AY90" i="9" s="1"/>
  <c r="AW91" i="9"/>
  <c r="AY91" i="9" s="1"/>
  <c r="AW92" i="9"/>
  <c r="AY92" i="9" s="1"/>
  <c r="AW94" i="9"/>
  <c r="AY94" i="9" s="1"/>
  <c r="AW96" i="9"/>
  <c r="AY96" i="9" s="1"/>
  <c r="AW97" i="9"/>
  <c r="AY97" i="9" s="1"/>
  <c r="AW98" i="9"/>
  <c r="AY98" i="9" s="1"/>
  <c r="AW99" i="9"/>
  <c r="AY99" i="9" s="1"/>
  <c r="AW100" i="9"/>
  <c r="AY100" i="9" s="1"/>
  <c r="AW101" i="9"/>
  <c r="AY101" i="9" s="1"/>
  <c r="AW2" i="9"/>
  <c r="AY2" i="9" s="1"/>
  <c r="AQ3" i="9"/>
  <c r="AS3" i="9" s="1"/>
  <c r="AQ4" i="9"/>
  <c r="AS4" i="9" s="1"/>
  <c r="AQ5" i="9"/>
  <c r="AS5" i="9" s="1"/>
  <c r="AQ6" i="9"/>
  <c r="AS6" i="9" s="1"/>
  <c r="AQ7" i="9"/>
  <c r="AS7" i="9" s="1"/>
  <c r="AQ8" i="9"/>
  <c r="AS8" i="9" s="1"/>
  <c r="AQ9" i="9"/>
  <c r="AS9" i="9" s="1"/>
  <c r="AQ10" i="9"/>
  <c r="AS10" i="9" s="1"/>
  <c r="AQ11" i="9"/>
  <c r="AS11" i="9" s="1"/>
  <c r="AQ12" i="9"/>
  <c r="AS12" i="9" s="1"/>
  <c r="AQ13" i="9"/>
  <c r="AS13" i="9" s="1"/>
  <c r="AQ14" i="9"/>
  <c r="AS14" i="9" s="1"/>
  <c r="AQ15" i="9"/>
  <c r="AS15" i="9" s="1"/>
  <c r="AQ16" i="9"/>
  <c r="AS16" i="9" s="1"/>
  <c r="AQ17" i="9"/>
  <c r="AS17" i="9" s="1"/>
  <c r="AQ18" i="9"/>
  <c r="AS18" i="9" s="1"/>
  <c r="AQ19" i="9"/>
  <c r="AS19" i="9" s="1"/>
  <c r="AQ20" i="9"/>
  <c r="AQ21" i="9"/>
  <c r="AS21" i="9" s="1"/>
  <c r="AQ22" i="9"/>
  <c r="AS22" i="9" s="1"/>
  <c r="AQ23" i="9"/>
  <c r="AS23" i="9" s="1"/>
  <c r="AQ24" i="9"/>
  <c r="AS24" i="9" s="1"/>
  <c r="AQ25" i="9"/>
  <c r="AS25" i="9" s="1"/>
  <c r="AS26" i="9"/>
  <c r="AQ27" i="9"/>
  <c r="AS27" i="9" s="1"/>
  <c r="AQ28" i="9"/>
  <c r="AS28" i="9" s="1"/>
  <c r="AQ29" i="9"/>
  <c r="AS29" i="9" s="1"/>
  <c r="AQ30" i="9"/>
  <c r="AS30" i="9" s="1"/>
  <c r="AQ31" i="9"/>
  <c r="AS31" i="9" s="1"/>
  <c r="AQ32" i="9"/>
  <c r="AS32" i="9" s="1"/>
  <c r="AQ34" i="9"/>
  <c r="AS34" i="9" s="1"/>
  <c r="AQ35" i="9"/>
  <c r="AS35" i="9" s="1"/>
  <c r="AQ36" i="9"/>
  <c r="AS36" i="9" s="1"/>
  <c r="AQ37" i="9"/>
  <c r="AS37" i="9" s="1"/>
  <c r="AQ38" i="9"/>
  <c r="AS38" i="9" s="1"/>
  <c r="AQ39" i="9"/>
  <c r="AS39" i="9" s="1"/>
  <c r="AQ40" i="9"/>
  <c r="AS40" i="9" s="1"/>
  <c r="AQ41" i="9"/>
  <c r="AS41" i="9" s="1"/>
  <c r="AQ42" i="9"/>
  <c r="AS42" i="9" s="1"/>
  <c r="AS43" i="9"/>
  <c r="AQ44" i="9"/>
  <c r="AS44" i="9" s="1"/>
  <c r="AQ45" i="9"/>
  <c r="AS45" i="9" s="1"/>
  <c r="AQ46" i="9"/>
  <c r="AS46" i="9" s="1"/>
  <c r="AQ47" i="9"/>
  <c r="AS47" i="9" s="1"/>
  <c r="AQ48" i="9"/>
  <c r="AS48" i="9" s="1"/>
  <c r="AQ49" i="9"/>
  <c r="AS49" i="9" s="1"/>
  <c r="AQ50" i="9"/>
  <c r="AS50" i="9" s="1"/>
  <c r="AQ51" i="9"/>
  <c r="AS51" i="9" s="1"/>
  <c r="AQ52" i="9"/>
  <c r="AS52" i="9" s="1"/>
  <c r="AQ53" i="9"/>
  <c r="AS53" i="9" s="1"/>
  <c r="AQ55" i="9"/>
  <c r="AS55" i="9" s="1"/>
  <c r="AQ56" i="9"/>
  <c r="AS56" i="9" s="1"/>
  <c r="AQ57" i="9"/>
  <c r="AS57" i="9" s="1"/>
  <c r="AS58" i="9"/>
  <c r="AQ59" i="9"/>
  <c r="AQ61" i="9"/>
  <c r="AS61" i="9" s="1"/>
  <c r="AQ64" i="9"/>
  <c r="AS64" i="9" s="1"/>
  <c r="AQ65" i="9"/>
  <c r="AS65" i="9" s="1"/>
  <c r="AQ66" i="9"/>
  <c r="AS66" i="9" s="1"/>
  <c r="AQ67" i="9"/>
  <c r="AS67" i="9" s="1"/>
  <c r="AQ68" i="9"/>
  <c r="AQ69" i="9"/>
  <c r="AS69" i="9" s="1"/>
  <c r="AQ70" i="9"/>
  <c r="AS70" i="9" s="1"/>
  <c r="AQ72" i="9"/>
  <c r="AS72" i="9" s="1"/>
  <c r="AQ73" i="9"/>
  <c r="AS73" i="9" s="1"/>
  <c r="AQ74" i="9"/>
  <c r="AS74" i="9" s="1"/>
  <c r="AQ75" i="9"/>
  <c r="AQ76" i="9"/>
  <c r="AS76" i="9" s="1"/>
  <c r="AQ77" i="9"/>
  <c r="AS77" i="9" s="1"/>
  <c r="AQ78" i="9"/>
  <c r="AS78" i="9" s="1"/>
  <c r="AQ79" i="9"/>
  <c r="AS79" i="9" s="1"/>
  <c r="AQ80" i="9"/>
  <c r="AS80" i="9" s="1"/>
  <c r="AQ81" i="9"/>
  <c r="AS81" i="9" s="1"/>
  <c r="AS82" i="9"/>
  <c r="AQ84" i="9"/>
  <c r="AS84" i="9" s="1"/>
  <c r="AQ85" i="9"/>
  <c r="AS85" i="9" s="1"/>
  <c r="AQ86" i="9"/>
  <c r="AS86" i="9" s="1"/>
  <c r="AQ87" i="9"/>
  <c r="AS87" i="9" s="1"/>
  <c r="AQ88" i="9"/>
  <c r="AS88" i="9" s="1"/>
  <c r="AQ89" i="9"/>
  <c r="AS89" i="9" s="1"/>
  <c r="AQ90" i="9"/>
  <c r="AS90" i="9" s="1"/>
  <c r="AQ91" i="9"/>
  <c r="AS91" i="9" s="1"/>
  <c r="AQ92" i="9"/>
  <c r="AS92" i="9" s="1"/>
  <c r="AQ94" i="9"/>
  <c r="AS94" i="9" s="1"/>
  <c r="AQ96" i="9"/>
  <c r="AQ97" i="9"/>
  <c r="AS97" i="9" s="1"/>
  <c r="AQ98" i="9"/>
  <c r="AS98" i="9" s="1"/>
  <c r="AQ99" i="9"/>
  <c r="AS99" i="9" s="1"/>
  <c r="AQ100" i="9"/>
  <c r="AS100" i="9" s="1"/>
  <c r="AQ101" i="9"/>
  <c r="AS101" i="9" s="1"/>
  <c r="AK3" i="9"/>
  <c r="AM3" i="9" s="1"/>
  <c r="AK4" i="9"/>
  <c r="AM4" i="9" s="1"/>
  <c r="AK5" i="9"/>
  <c r="AM5" i="9" s="1"/>
  <c r="AK6" i="9"/>
  <c r="AM6" i="9" s="1"/>
  <c r="AK7" i="9"/>
  <c r="AM7" i="9" s="1"/>
  <c r="AK8" i="9"/>
  <c r="AM8" i="9" s="1"/>
  <c r="AK9" i="9"/>
  <c r="AM9" i="9" s="1"/>
  <c r="AK10" i="9"/>
  <c r="AM10" i="9" s="1"/>
  <c r="AK11" i="9"/>
  <c r="AM11" i="9" s="1"/>
  <c r="AK12" i="9"/>
  <c r="AM12" i="9" s="1"/>
  <c r="AK13" i="9"/>
  <c r="AM13" i="9" s="1"/>
  <c r="AK14" i="9"/>
  <c r="AM14" i="9" s="1"/>
  <c r="AK15" i="9"/>
  <c r="AM15" i="9" s="1"/>
  <c r="AK16" i="9"/>
  <c r="AM16" i="9" s="1"/>
  <c r="AK17" i="9"/>
  <c r="AM17" i="9" s="1"/>
  <c r="AK18" i="9"/>
  <c r="AM18" i="9" s="1"/>
  <c r="AK19" i="9"/>
  <c r="AM19" i="9" s="1"/>
  <c r="AK20" i="9"/>
  <c r="AK21" i="9"/>
  <c r="AM21" i="9" s="1"/>
  <c r="AK22" i="9"/>
  <c r="AM22" i="9" s="1"/>
  <c r="AK23" i="9"/>
  <c r="AM23" i="9" s="1"/>
  <c r="AK24" i="9"/>
  <c r="AM24" i="9" s="1"/>
  <c r="AK25" i="9"/>
  <c r="AM25" i="9" s="1"/>
  <c r="AM26" i="9"/>
  <c r="AK27" i="9"/>
  <c r="AM27" i="9" s="1"/>
  <c r="AK28" i="9"/>
  <c r="AM28" i="9" s="1"/>
  <c r="AK29" i="9"/>
  <c r="AM29" i="9" s="1"/>
  <c r="AK30" i="9"/>
  <c r="AM30" i="9" s="1"/>
  <c r="AK31" i="9"/>
  <c r="AM31" i="9" s="1"/>
  <c r="AK32" i="9"/>
  <c r="AM32" i="9" s="1"/>
  <c r="AK34" i="9"/>
  <c r="AM34" i="9" s="1"/>
  <c r="AK35" i="9"/>
  <c r="AM35" i="9" s="1"/>
  <c r="AM36" i="9"/>
  <c r="AK37" i="9"/>
  <c r="AM37" i="9" s="1"/>
  <c r="AK38" i="9"/>
  <c r="AM38" i="9" s="1"/>
  <c r="AK39" i="9"/>
  <c r="AM39" i="9" s="1"/>
  <c r="AK40" i="9"/>
  <c r="AM40" i="9" s="1"/>
  <c r="AK41" i="9"/>
  <c r="AM41" i="9" s="1"/>
  <c r="AK43" i="9"/>
  <c r="AM43" i="9" s="1"/>
  <c r="AK44" i="9"/>
  <c r="AM44" i="9" s="1"/>
  <c r="AK45" i="9"/>
  <c r="AM45" i="9" s="1"/>
  <c r="AK46" i="9"/>
  <c r="AM46" i="9" s="1"/>
  <c r="AK47" i="9"/>
  <c r="AM47" i="9" s="1"/>
  <c r="AK48" i="9"/>
  <c r="AM48" i="9" s="1"/>
  <c r="AK49" i="9"/>
  <c r="AM49" i="9" s="1"/>
  <c r="AK50" i="9"/>
  <c r="AM50" i="9" s="1"/>
  <c r="AK51" i="9"/>
  <c r="AM51" i="9" s="1"/>
  <c r="AK52" i="9"/>
  <c r="AM52" i="9" s="1"/>
  <c r="AK53" i="9"/>
  <c r="AM53" i="9" s="1"/>
  <c r="AK55" i="9"/>
  <c r="AM55" i="9" s="1"/>
  <c r="AK56" i="9"/>
  <c r="AM56" i="9" s="1"/>
  <c r="AK57" i="9"/>
  <c r="AM57" i="9" s="1"/>
  <c r="AM58" i="9"/>
  <c r="AK59" i="9"/>
  <c r="AK60" i="9"/>
  <c r="AM60" i="9" s="1"/>
  <c r="AK61" i="9"/>
  <c r="AM61" i="9" s="1"/>
  <c r="AK64" i="9"/>
  <c r="AM64" i="9" s="1"/>
  <c r="AK65" i="9"/>
  <c r="AM65" i="9" s="1"/>
  <c r="AK66" i="9"/>
  <c r="AM66" i="9" s="1"/>
  <c r="AK67" i="9"/>
  <c r="AM67" i="9" s="1"/>
  <c r="AK68" i="9"/>
  <c r="AK69" i="9"/>
  <c r="AM69" i="9" s="1"/>
  <c r="AK70" i="9"/>
  <c r="AM70" i="9" s="1"/>
  <c r="AK72" i="9"/>
  <c r="AM72" i="9" s="1"/>
  <c r="AK73" i="9"/>
  <c r="AM73" i="9" s="1"/>
  <c r="AK74" i="9"/>
  <c r="AM74" i="9" s="1"/>
  <c r="AK75" i="9"/>
  <c r="AM75" i="9" s="1"/>
  <c r="AK76" i="9"/>
  <c r="AM76" i="9" s="1"/>
  <c r="AK77" i="9"/>
  <c r="AM77" i="9" s="1"/>
  <c r="AK78" i="9"/>
  <c r="AM78" i="9" s="1"/>
  <c r="AK79" i="9"/>
  <c r="AM79" i="9" s="1"/>
  <c r="AK80" i="9"/>
  <c r="AM80" i="9" s="1"/>
  <c r="AK81" i="9"/>
  <c r="AM81" i="9" s="1"/>
  <c r="AM82" i="9"/>
  <c r="AK84" i="9"/>
  <c r="AM84" i="9" s="1"/>
  <c r="AK85" i="9"/>
  <c r="AM85" i="9" s="1"/>
  <c r="AK86" i="9"/>
  <c r="AM86" i="9" s="1"/>
  <c r="AK87" i="9"/>
  <c r="AM87" i="9" s="1"/>
  <c r="AK88" i="9"/>
  <c r="AM88" i="9" s="1"/>
  <c r="AK89" i="9"/>
  <c r="AM89" i="9" s="1"/>
  <c r="AK90" i="9"/>
  <c r="AM90" i="9" s="1"/>
  <c r="AK91" i="9"/>
  <c r="AM91" i="9" s="1"/>
  <c r="AK92" i="9"/>
  <c r="AM92" i="9" s="1"/>
  <c r="AK94" i="9"/>
  <c r="AM94" i="9" s="1"/>
  <c r="AK96" i="9"/>
  <c r="AM96" i="9" s="1"/>
  <c r="AK97" i="9"/>
  <c r="AM97" i="9" s="1"/>
  <c r="AK98" i="9"/>
  <c r="AM98" i="9" s="1"/>
  <c r="AK99" i="9"/>
  <c r="AM99" i="9" s="1"/>
  <c r="AK100" i="9"/>
  <c r="AM100" i="9" s="1"/>
  <c r="AK101" i="9"/>
  <c r="AM101" i="9" s="1"/>
  <c r="AE3" i="9"/>
  <c r="AE4" i="9"/>
  <c r="AE5" i="9"/>
  <c r="AE6" i="9"/>
  <c r="AE7" i="9"/>
  <c r="AE8" i="9"/>
  <c r="AE9" i="9"/>
  <c r="AE10" i="9"/>
  <c r="AE11" i="9"/>
  <c r="AE12" i="9"/>
  <c r="AE13" i="9"/>
  <c r="AE14" i="9"/>
  <c r="AE15" i="9"/>
  <c r="AE16" i="9"/>
  <c r="AE17" i="9"/>
  <c r="AE18" i="9"/>
  <c r="AE19" i="9"/>
  <c r="AE20" i="9"/>
  <c r="AE21" i="9"/>
  <c r="AE22" i="9"/>
  <c r="AE23" i="9"/>
  <c r="AE24" i="9"/>
  <c r="AE25" i="9"/>
  <c r="AG26" i="9"/>
  <c r="AE27" i="9"/>
  <c r="AE28" i="9"/>
  <c r="AE29" i="9"/>
  <c r="AE30" i="9"/>
  <c r="AE31" i="9"/>
  <c r="AE32" i="9"/>
  <c r="AE34" i="9"/>
  <c r="AE35" i="9"/>
  <c r="AE37" i="9"/>
  <c r="AE38" i="9"/>
  <c r="AE39" i="9"/>
  <c r="AE40" i="9"/>
  <c r="AE41" i="9"/>
  <c r="AE43" i="9"/>
  <c r="AE44" i="9"/>
  <c r="AE45" i="9"/>
  <c r="AE46" i="9"/>
  <c r="AE47" i="9"/>
  <c r="AE48" i="9"/>
  <c r="AE49" i="9"/>
  <c r="AE50" i="9"/>
  <c r="AE51" i="9"/>
  <c r="AE52" i="9"/>
  <c r="AE53" i="9"/>
  <c r="AE54" i="9"/>
  <c r="AE55" i="9"/>
  <c r="AE56" i="9"/>
  <c r="AE57" i="9"/>
  <c r="AG58" i="9"/>
  <c r="AE59" i="9"/>
  <c r="AE60" i="9"/>
  <c r="AE61" i="9"/>
  <c r="AE63" i="9"/>
  <c r="AE64" i="9"/>
  <c r="AE65" i="9"/>
  <c r="AE66" i="9"/>
  <c r="AE67" i="9"/>
  <c r="AE68" i="9"/>
  <c r="AE69" i="9"/>
  <c r="AE70" i="9"/>
  <c r="AE72" i="9"/>
  <c r="AE73" i="9"/>
  <c r="AE74" i="9"/>
  <c r="AE75" i="9"/>
  <c r="AE76" i="9"/>
  <c r="AE77" i="9"/>
  <c r="AE78" i="9"/>
  <c r="AE79" i="9"/>
  <c r="AE80" i="9"/>
  <c r="AE81" i="9"/>
  <c r="AG82" i="9"/>
  <c r="AE84" i="9"/>
  <c r="AE85" i="9"/>
  <c r="AE86" i="9"/>
  <c r="AE87" i="9"/>
  <c r="AE88" i="9"/>
  <c r="AE89" i="9"/>
  <c r="AE90" i="9"/>
  <c r="AE91" i="9"/>
  <c r="AG92" i="9"/>
  <c r="AE94" i="9"/>
  <c r="AE97" i="9"/>
  <c r="AE99" i="9"/>
  <c r="AE100" i="9"/>
  <c r="AE101" i="9"/>
  <c r="Y4" i="9"/>
  <c r="Y5" i="9"/>
  <c r="Y6" i="9"/>
  <c r="Y7" i="9"/>
  <c r="Y8" i="9"/>
  <c r="Y9" i="9"/>
  <c r="Y10" i="9"/>
  <c r="Y11" i="9"/>
  <c r="Y12" i="9"/>
  <c r="Y13" i="9"/>
  <c r="Y14" i="9"/>
  <c r="Y15" i="9"/>
  <c r="Y16" i="9"/>
  <c r="Y17" i="9"/>
  <c r="Y18" i="9"/>
  <c r="Y19" i="9"/>
  <c r="Y20" i="9"/>
  <c r="Y21" i="9"/>
  <c r="Y22" i="9"/>
  <c r="Y23" i="9"/>
  <c r="Y24" i="9"/>
  <c r="Y25" i="9"/>
  <c r="Y26" i="9"/>
  <c r="Y27" i="9"/>
  <c r="Y28" i="9"/>
  <c r="Y29" i="9"/>
  <c r="Y30" i="9"/>
  <c r="Y31" i="9"/>
  <c r="Y32" i="9"/>
  <c r="Y34" i="9"/>
  <c r="Y35" i="9"/>
  <c r="Y36" i="9"/>
  <c r="Y37" i="9"/>
  <c r="Y38" i="9"/>
  <c r="Y39" i="9"/>
  <c r="Y40" i="9"/>
  <c r="Y41" i="9"/>
  <c r="Y43" i="9"/>
  <c r="Y44" i="9"/>
  <c r="Y45" i="9"/>
  <c r="Y46" i="9"/>
  <c r="Y47" i="9"/>
  <c r="Y48" i="9"/>
  <c r="Y49" i="9"/>
  <c r="Y50" i="9"/>
  <c r="Y51" i="9"/>
  <c r="Y52" i="9"/>
  <c r="Y53" i="9"/>
  <c r="Y54" i="9"/>
  <c r="Y55" i="9"/>
  <c r="Y56" i="9"/>
  <c r="Y57" i="9"/>
  <c r="Y58" i="9"/>
  <c r="Y59" i="9"/>
  <c r="Y60" i="9"/>
  <c r="Y61" i="9"/>
  <c r="Y62" i="9"/>
  <c r="Y63" i="9"/>
  <c r="Y64" i="9"/>
  <c r="Y65" i="9"/>
  <c r="Y66" i="9"/>
  <c r="Y67" i="9"/>
  <c r="Y68" i="9"/>
  <c r="Y69" i="9"/>
  <c r="Y70" i="9"/>
  <c r="Y72" i="9"/>
  <c r="Y73" i="9"/>
  <c r="Y74" i="9"/>
  <c r="Y75" i="9"/>
  <c r="Y76" i="9"/>
  <c r="Y77" i="9"/>
  <c r="Y78" i="9"/>
  <c r="Y80" i="9"/>
  <c r="Y81" i="9"/>
  <c r="Y82" i="9"/>
  <c r="Y84" i="9"/>
  <c r="Y85" i="9"/>
  <c r="Y86" i="9"/>
  <c r="Y87" i="9"/>
  <c r="Y88" i="9"/>
  <c r="Y89" i="9"/>
  <c r="Y90" i="9"/>
  <c r="Y91" i="9"/>
  <c r="Y92" i="9"/>
  <c r="Y94" i="9"/>
  <c r="Y95" i="9"/>
  <c r="Y96" i="9"/>
  <c r="Y97" i="9"/>
  <c r="Y98" i="9"/>
  <c r="Y99" i="9"/>
  <c r="Y100" i="9"/>
  <c r="Y101" i="9"/>
  <c r="A11" i="15" l="1"/>
  <c r="A10" i="18"/>
  <c r="A10" i="19"/>
  <c r="H3" i="9"/>
  <c r="F2" i="9"/>
  <c r="G2" i="9"/>
  <c r="T2" i="9"/>
  <c r="AG48" i="9"/>
  <c r="AG99" i="9"/>
  <c r="AG91" i="9"/>
  <c r="AG87" i="9"/>
  <c r="AG78" i="9"/>
  <c r="AG69" i="9"/>
  <c r="AG60" i="9"/>
  <c r="AG39" i="9"/>
  <c r="AG29" i="9"/>
  <c r="AG21" i="9"/>
  <c r="AG13" i="9"/>
  <c r="AG5" i="9"/>
  <c r="AG101" i="9"/>
  <c r="AG89" i="9"/>
  <c r="AG80" i="9"/>
  <c r="AG72" i="9"/>
  <c r="AG50" i="9"/>
  <c r="AG41" i="9"/>
  <c r="AG31" i="9"/>
  <c r="AG23" i="9"/>
  <c r="AG15" i="9"/>
  <c r="AG7" i="9"/>
  <c r="AG74" i="9"/>
  <c r="AG65" i="9"/>
  <c r="AG56" i="9"/>
  <c r="AG52" i="9"/>
  <c r="AG44" i="9"/>
  <c r="AG34" i="9"/>
  <c r="AG25" i="9"/>
  <c r="AG17" i="9"/>
  <c r="AG9" i="9"/>
  <c r="AG97" i="9"/>
  <c r="AG90" i="9"/>
  <c r="AG86" i="9"/>
  <c r="AG81" i="9"/>
  <c r="AG77" i="9"/>
  <c r="AG73" i="9"/>
  <c r="AG64" i="9"/>
  <c r="AG59" i="9"/>
  <c r="AG55" i="9"/>
  <c r="AG51" i="9"/>
  <c r="AG47" i="9"/>
  <c r="AG43" i="9"/>
  <c r="AG38" i="9"/>
  <c r="AG32" i="9"/>
  <c r="AG28" i="9"/>
  <c r="AG24" i="9"/>
  <c r="AG16" i="9"/>
  <c r="AG12" i="9"/>
  <c r="AG8" i="9"/>
  <c r="AG4" i="9"/>
  <c r="AG94" i="9"/>
  <c r="AG85" i="9"/>
  <c r="AG76" i="9"/>
  <c r="AG67" i="9"/>
  <c r="AG54" i="9"/>
  <c r="AG46" i="9"/>
  <c r="AG37" i="9"/>
  <c r="AG27" i="9"/>
  <c r="AG19" i="9"/>
  <c r="AG11" i="9"/>
  <c r="AG3" i="9"/>
  <c r="T3" i="9" s="1"/>
  <c r="AG100" i="9"/>
  <c r="AG88" i="9"/>
  <c r="AG84" i="9"/>
  <c r="AG79" i="9"/>
  <c r="AG70" i="9"/>
  <c r="AG66" i="9"/>
  <c r="AG61" i="9"/>
  <c r="AG57" i="9"/>
  <c r="AG53" i="9"/>
  <c r="AG49" i="9"/>
  <c r="AG45" i="9"/>
  <c r="AG40" i="9"/>
  <c r="AG35" i="9"/>
  <c r="AG30" i="9"/>
  <c r="AG22" i="9"/>
  <c r="AG18" i="9"/>
  <c r="AG14" i="9"/>
  <c r="AG10" i="9"/>
  <c r="AG6" i="9"/>
  <c r="AA95" i="9"/>
  <c r="AA86" i="9"/>
  <c r="AA76" i="9"/>
  <c r="AA67" i="9"/>
  <c r="AA59" i="9"/>
  <c r="AA43" i="9"/>
  <c r="AA34" i="9"/>
  <c r="AA25" i="9"/>
  <c r="AA13" i="9"/>
  <c r="AA98" i="9"/>
  <c r="AA94" i="9"/>
  <c r="AA89" i="9"/>
  <c r="AA85" i="9"/>
  <c r="AA80" i="9"/>
  <c r="AA75" i="9"/>
  <c r="AA70" i="9"/>
  <c r="AA66" i="9"/>
  <c r="AA62" i="9"/>
  <c r="AA58" i="9"/>
  <c r="AA54" i="9"/>
  <c r="AA50" i="9"/>
  <c r="AA46" i="9"/>
  <c r="AA41" i="9"/>
  <c r="AA37" i="9"/>
  <c r="AA32" i="9"/>
  <c r="AA28" i="9"/>
  <c r="AA24" i="9"/>
  <c r="AA20" i="9"/>
  <c r="AA16" i="9"/>
  <c r="AA12" i="9"/>
  <c r="AA8" i="9"/>
  <c r="AA4" i="9"/>
  <c r="AA100" i="9"/>
  <c r="AA96" i="9"/>
  <c r="AA91" i="9"/>
  <c r="AA87" i="9"/>
  <c r="AA82" i="9"/>
  <c r="AA77" i="9"/>
  <c r="AA73" i="9"/>
  <c r="AA68" i="9"/>
  <c r="AA64" i="9"/>
  <c r="AA60" i="9"/>
  <c r="AA56" i="9"/>
  <c r="AA52" i="9"/>
  <c r="AA48" i="9"/>
  <c r="AA44" i="9"/>
  <c r="AA39" i="9"/>
  <c r="AA35" i="9"/>
  <c r="AA30" i="9"/>
  <c r="AA26" i="9"/>
  <c r="AA22" i="9"/>
  <c r="AA18" i="9"/>
  <c r="AA14" i="9"/>
  <c r="AA10" i="9"/>
  <c r="AA6" i="9"/>
  <c r="AA99" i="9"/>
  <c r="AA90" i="9"/>
  <c r="AA81" i="9"/>
  <c r="AA72" i="9"/>
  <c r="AA63" i="9"/>
  <c r="AA55" i="9"/>
  <c r="AA51" i="9"/>
  <c r="AA47" i="9"/>
  <c r="AA38" i="9"/>
  <c r="AA29" i="9"/>
  <c r="AA21" i="9"/>
  <c r="AA17" i="9"/>
  <c r="AA9" i="9"/>
  <c r="AA5" i="9"/>
  <c r="AA101" i="9"/>
  <c r="AA97" i="9"/>
  <c r="AA92" i="9"/>
  <c r="AA88" i="9"/>
  <c r="AA84" i="9"/>
  <c r="AA78" i="9"/>
  <c r="AA74" i="9"/>
  <c r="AA69" i="9"/>
  <c r="AA65" i="9"/>
  <c r="AA61" i="9"/>
  <c r="AA57" i="9"/>
  <c r="AA53" i="9"/>
  <c r="AA49" i="9"/>
  <c r="AA45" i="9"/>
  <c r="AA40" i="9"/>
  <c r="AA36" i="9"/>
  <c r="AA31" i="9"/>
  <c r="AA27" i="9"/>
  <c r="AA23" i="9"/>
  <c r="AA19" i="9"/>
  <c r="AA15" i="9"/>
  <c r="AA11" i="9"/>
  <c r="AA7" i="9"/>
  <c r="AI93" i="9"/>
  <c r="AK93" i="9" s="1"/>
  <c r="AM93" i="9" s="1"/>
  <c r="AJ83" i="9"/>
  <c r="AK83" i="9" s="1"/>
  <c r="AM83" i="9" s="1"/>
  <c r="AH54" i="9"/>
  <c r="AK54" i="9" s="1"/>
  <c r="AM54" i="9" s="1"/>
  <c r="AH62" i="9"/>
  <c r="AK62" i="9" s="1"/>
  <c r="AM62" i="9" s="1"/>
  <c r="AH63" i="9"/>
  <c r="A12" i="15" l="1"/>
  <c r="A11" i="18"/>
  <c r="A11" i="19"/>
  <c r="H2" i="9"/>
  <c r="G72" i="9"/>
  <c r="F72" i="9"/>
  <c r="H72" i="9" s="1"/>
  <c r="G7" i="9"/>
  <c r="F7" i="9"/>
  <c r="G40" i="9"/>
  <c r="F40" i="9"/>
  <c r="F74" i="9"/>
  <c r="G74" i="9"/>
  <c r="G63" i="9"/>
  <c r="F63" i="9"/>
  <c r="H63" i="9" s="1"/>
  <c r="G52" i="9"/>
  <c r="F52" i="9"/>
  <c r="G87" i="9"/>
  <c r="F87" i="9"/>
  <c r="H87" i="9" s="1"/>
  <c r="G20" i="9"/>
  <c r="F20" i="9"/>
  <c r="G54" i="9"/>
  <c r="F54" i="9"/>
  <c r="H54" i="9" s="1"/>
  <c r="F67" i="9"/>
  <c r="G67" i="9"/>
  <c r="F17" i="9"/>
  <c r="G17" i="9"/>
  <c r="G56" i="9"/>
  <c r="F56" i="9"/>
  <c r="F24" i="9"/>
  <c r="G24" i="9"/>
  <c r="G94" i="9"/>
  <c r="F94" i="9"/>
  <c r="G76" i="9"/>
  <c r="F76" i="9"/>
  <c r="F60" i="9"/>
  <c r="G60" i="9"/>
  <c r="F96" i="9"/>
  <c r="G96" i="9"/>
  <c r="F28" i="9"/>
  <c r="G28" i="9"/>
  <c r="G62" i="9"/>
  <c r="F62" i="9"/>
  <c r="F98" i="9"/>
  <c r="H98" i="9" s="1"/>
  <c r="G98" i="9"/>
  <c r="G86" i="9"/>
  <c r="F86" i="9"/>
  <c r="H86" i="9" s="1"/>
  <c r="F19" i="9"/>
  <c r="G19" i="9"/>
  <c r="G53" i="9"/>
  <c r="F53" i="9"/>
  <c r="G88" i="9"/>
  <c r="F88" i="9"/>
  <c r="G29" i="9"/>
  <c r="F29" i="9"/>
  <c r="H29" i="9" s="1"/>
  <c r="F90" i="9"/>
  <c r="G90" i="9"/>
  <c r="G64" i="9"/>
  <c r="F64" i="9"/>
  <c r="G100" i="9"/>
  <c r="F100" i="9"/>
  <c r="F66" i="9"/>
  <c r="G66" i="9"/>
  <c r="G95" i="9"/>
  <c r="F95" i="9"/>
  <c r="F11" i="9"/>
  <c r="G11" i="9"/>
  <c r="F81" i="9"/>
  <c r="H81" i="9" s="1"/>
  <c r="G81" i="9"/>
  <c r="F57" i="9"/>
  <c r="G57" i="9"/>
  <c r="G38" i="9"/>
  <c r="F38" i="9"/>
  <c r="F99" i="9"/>
  <c r="G99" i="9"/>
  <c r="F35" i="9"/>
  <c r="H35" i="9" s="1"/>
  <c r="G35" i="9"/>
  <c r="F68" i="9"/>
  <c r="G68" i="9"/>
  <c r="F4" i="9"/>
  <c r="G4" i="9"/>
  <c r="G37" i="9"/>
  <c r="F37" i="9"/>
  <c r="G15" i="9"/>
  <c r="F15" i="9"/>
  <c r="F27" i="9"/>
  <c r="G27" i="9"/>
  <c r="G61" i="9"/>
  <c r="F61" i="9"/>
  <c r="F97" i="9"/>
  <c r="G97" i="9"/>
  <c r="G6" i="9"/>
  <c r="F6" i="9"/>
  <c r="F39" i="9"/>
  <c r="G39" i="9"/>
  <c r="F73" i="9"/>
  <c r="G73" i="9"/>
  <c r="G8" i="9"/>
  <c r="F8" i="9"/>
  <c r="F75" i="9"/>
  <c r="H75" i="9" s="1"/>
  <c r="G75" i="9"/>
  <c r="G45" i="9"/>
  <c r="F45" i="9"/>
  <c r="G21" i="9"/>
  <c r="F21" i="9"/>
  <c r="G31" i="9"/>
  <c r="F31" i="9"/>
  <c r="F65" i="9"/>
  <c r="H65" i="9" s="1"/>
  <c r="G65" i="9"/>
  <c r="G101" i="9"/>
  <c r="F101" i="9"/>
  <c r="F51" i="9"/>
  <c r="G51" i="9"/>
  <c r="F10" i="9"/>
  <c r="G10" i="9"/>
  <c r="G77" i="9"/>
  <c r="F77" i="9"/>
  <c r="G46" i="9"/>
  <c r="F46" i="9"/>
  <c r="F80" i="9"/>
  <c r="G80" i="9"/>
  <c r="G78" i="9"/>
  <c r="F78" i="9"/>
  <c r="F49" i="9"/>
  <c r="H49" i="9" s="1"/>
  <c r="G49" i="9"/>
  <c r="G69" i="9"/>
  <c r="F69" i="9"/>
  <c r="G5" i="9"/>
  <c r="F5" i="9"/>
  <c r="G55" i="9"/>
  <c r="F55" i="9"/>
  <c r="G14" i="9"/>
  <c r="F14" i="9"/>
  <c r="F48" i="9"/>
  <c r="G48" i="9"/>
  <c r="F82" i="9"/>
  <c r="G82" i="9"/>
  <c r="G16" i="9"/>
  <c r="F16" i="9"/>
  <c r="F50" i="9"/>
  <c r="H50" i="9" s="1"/>
  <c r="G50" i="9"/>
  <c r="G85" i="9"/>
  <c r="F85" i="9"/>
  <c r="H85" i="9" s="1"/>
  <c r="F59" i="9"/>
  <c r="G59" i="9"/>
  <c r="T38" i="9"/>
  <c r="T25" i="9"/>
  <c r="T27" i="9"/>
  <c r="T61" i="9"/>
  <c r="T97" i="9"/>
  <c r="T41" i="9"/>
  <c r="T69" i="9"/>
  <c r="T5" i="9"/>
  <c r="T14" i="9"/>
  <c r="T48" i="9"/>
  <c r="T82" i="9"/>
  <c r="T50" i="9"/>
  <c r="T85" i="9"/>
  <c r="T59" i="9"/>
  <c r="T23" i="9"/>
  <c r="T99" i="9"/>
  <c r="T4" i="9"/>
  <c r="T7" i="9"/>
  <c r="T74" i="9"/>
  <c r="T18" i="9"/>
  <c r="T89" i="9"/>
  <c r="T67" i="9"/>
  <c r="T11" i="9"/>
  <c r="T45" i="9"/>
  <c r="T78" i="9"/>
  <c r="T17" i="9"/>
  <c r="T22" i="9"/>
  <c r="T56" i="9"/>
  <c r="T91" i="9"/>
  <c r="T24" i="9"/>
  <c r="T58" i="9"/>
  <c r="T94" i="9"/>
  <c r="T76" i="9"/>
  <c r="T57" i="9"/>
  <c r="T35" i="9"/>
  <c r="T37" i="9"/>
  <c r="T9" i="9"/>
  <c r="T87" i="9"/>
  <c r="T26" i="9"/>
  <c r="T60" i="9"/>
  <c r="T28" i="9"/>
  <c r="T86" i="9"/>
  <c r="T92" i="9"/>
  <c r="T70" i="9"/>
  <c r="T40" i="9"/>
  <c r="T52" i="9"/>
  <c r="T15" i="9"/>
  <c r="T84" i="9"/>
  <c r="T21" i="9"/>
  <c r="T81" i="9"/>
  <c r="T19" i="9"/>
  <c r="T53" i="9"/>
  <c r="T29" i="9"/>
  <c r="T90" i="9"/>
  <c r="T30" i="9"/>
  <c r="T64" i="9"/>
  <c r="T100" i="9"/>
  <c r="T32" i="9"/>
  <c r="T13" i="9"/>
  <c r="T47" i="9"/>
  <c r="T6" i="9"/>
  <c r="T39" i="9"/>
  <c r="T73" i="9"/>
  <c r="T8" i="9"/>
  <c r="T34" i="9"/>
  <c r="T31" i="9"/>
  <c r="T101" i="9"/>
  <c r="T51" i="9"/>
  <c r="T44" i="9"/>
  <c r="T77" i="9"/>
  <c r="T12" i="9"/>
  <c r="T46" i="9"/>
  <c r="T80" i="9"/>
  <c r="T65" i="9"/>
  <c r="T10" i="9"/>
  <c r="T55" i="9"/>
  <c r="T16" i="9"/>
  <c r="T54" i="9"/>
  <c r="T72" i="9"/>
  <c r="T49" i="9"/>
  <c r="T88" i="9"/>
  <c r="T43" i="9"/>
  <c r="T66" i="9"/>
  <c r="AL59" i="9"/>
  <c r="AM59" i="9" s="1"/>
  <c r="AR59" i="9"/>
  <c r="AS59" i="9" s="1"/>
  <c r="H60" i="9" l="1"/>
  <c r="H74" i="9"/>
  <c r="H40" i="9"/>
  <c r="A13" i="15"/>
  <c r="A12" i="18"/>
  <c r="A12" i="19"/>
  <c r="H69" i="9"/>
  <c r="H46" i="9"/>
  <c r="H101" i="9"/>
  <c r="H45" i="9"/>
  <c r="H52" i="9"/>
  <c r="H7" i="9"/>
  <c r="H10" i="9"/>
  <c r="H99" i="9"/>
  <c r="H5" i="9"/>
  <c r="H21" i="9"/>
  <c r="H61" i="9"/>
  <c r="H38" i="9"/>
  <c r="H95" i="9"/>
  <c r="H94" i="9"/>
  <c r="H97" i="9"/>
  <c r="H11" i="9"/>
  <c r="H14" i="9"/>
  <c r="H77" i="9"/>
  <c r="H6" i="9"/>
  <c r="H15" i="9"/>
  <c r="H100" i="9"/>
  <c r="H88" i="9"/>
  <c r="H56" i="9"/>
  <c r="H20" i="9"/>
  <c r="H16" i="9"/>
  <c r="H55" i="9"/>
  <c r="H78" i="9"/>
  <c r="H31" i="9"/>
  <c r="H8" i="9"/>
  <c r="K2" i="10" s="1"/>
  <c r="H37" i="9"/>
  <c r="H64" i="9"/>
  <c r="H53" i="9"/>
  <c r="H62" i="9"/>
  <c r="H76" i="9"/>
  <c r="H17" i="9"/>
  <c r="H59" i="9"/>
  <c r="H82" i="9"/>
  <c r="H80" i="9"/>
  <c r="H51" i="9"/>
  <c r="H73" i="9"/>
  <c r="H4" i="9"/>
  <c r="H90" i="9"/>
  <c r="H19" i="9"/>
  <c r="H28" i="9"/>
  <c r="H67" i="9"/>
  <c r="H48" i="9"/>
  <c r="H39" i="9"/>
  <c r="K9" i="10" s="1"/>
  <c r="H27" i="9"/>
  <c r="H68" i="9"/>
  <c r="H57" i="9"/>
  <c r="H66" i="9"/>
  <c r="H96" i="9"/>
  <c r="H24" i="9"/>
  <c r="J9" i="10"/>
  <c r="AJ42" i="9"/>
  <c r="AK42" i="9" s="1"/>
  <c r="AM42" i="9" s="1"/>
  <c r="AD42" i="9"/>
  <c r="AE42" i="9" s="1"/>
  <c r="X42" i="9"/>
  <c r="Y42" i="9" s="1"/>
  <c r="A14" i="15" l="1"/>
  <c r="A13" i="18"/>
  <c r="A13" i="19"/>
  <c r="L9" i="10"/>
  <c r="K10" i="10"/>
  <c r="J10" i="10"/>
  <c r="J6" i="10"/>
  <c r="K6" i="10"/>
  <c r="K3" i="10"/>
  <c r="J3" i="10"/>
  <c r="J2" i="10"/>
  <c r="L2" i="10" s="1"/>
  <c r="J7" i="10"/>
  <c r="K7" i="10"/>
  <c r="AG42" i="9"/>
  <c r="AA42" i="9"/>
  <c r="AC36" i="9"/>
  <c r="AB36" i="9"/>
  <c r="AF33" i="9"/>
  <c r="A15" i="15" l="1"/>
  <c r="A14" i="19"/>
  <c r="A14" i="18"/>
  <c r="L3" i="10"/>
  <c r="L6" i="10"/>
  <c r="L10" i="10"/>
  <c r="L7" i="10"/>
  <c r="F42" i="9"/>
  <c r="H42" i="9" s="1"/>
  <c r="G42" i="9"/>
  <c r="T42" i="9"/>
  <c r="Q5" i="10"/>
  <c r="AE36" i="9"/>
  <c r="AX20" i="9"/>
  <c r="AY20" i="9" s="1"/>
  <c r="AR20" i="9"/>
  <c r="AS20" i="9" s="1"/>
  <c r="AL20" i="9"/>
  <c r="AM20" i="9" s="1"/>
  <c r="AF20" i="9"/>
  <c r="AG20" i="9" s="1"/>
  <c r="T20" i="9" s="1"/>
  <c r="A16" i="15" l="1"/>
  <c r="A15" i="18"/>
  <c r="A15" i="19"/>
  <c r="K12" i="10"/>
  <c r="J12" i="10"/>
  <c r="AG36" i="9"/>
  <c r="T36" i="9" s="1"/>
  <c r="A17" i="15" l="1"/>
  <c r="A16" i="19"/>
  <c r="A16" i="18"/>
  <c r="L12" i="10"/>
  <c r="AC98" i="9"/>
  <c r="AB98" i="9"/>
  <c r="AV95" i="9"/>
  <c r="AW95" i="9" s="1"/>
  <c r="AY95" i="9" s="1"/>
  <c r="AP95" i="9"/>
  <c r="AQ95" i="9" s="1"/>
  <c r="AS95" i="9" s="1"/>
  <c r="AJ95" i="9"/>
  <c r="AK95" i="9" s="1"/>
  <c r="AM95" i="9" s="1"/>
  <c r="AD95" i="9"/>
  <c r="AE95" i="9" s="1"/>
  <c r="AU93" i="9"/>
  <c r="AW93" i="9" s="1"/>
  <c r="AY93" i="9" s="1"/>
  <c r="AO93" i="9"/>
  <c r="AQ93" i="9" s="1"/>
  <c r="AS93" i="9" s="1"/>
  <c r="AC93" i="9"/>
  <c r="W93" i="9"/>
  <c r="Y93" i="9" s="1"/>
  <c r="AR96" i="9"/>
  <c r="AS96" i="9" s="1"/>
  <c r="AD96" i="9"/>
  <c r="AE96" i="9" s="1"/>
  <c r="AP83" i="9"/>
  <c r="AQ83" i="9" s="1"/>
  <c r="AS83" i="9" s="1"/>
  <c r="AD83" i="9"/>
  <c r="AE83" i="9" s="1"/>
  <c r="X83" i="9"/>
  <c r="Y83" i="9" s="1"/>
  <c r="Z79" i="9"/>
  <c r="B4" i="10" s="1"/>
  <c r="W79" i="9"/>
  <c r="V79" i="9"/>
  <c r="AR75" i="9"/>
  <c r="AS75" i="9" s="1"/>
  <c r="AF75" i="9"/>
  <c r="AG75" i="9" s="1"/>
  <c r="T75" i="9" s="1"/>
  <c r="AX68" i="9"/>
  <c r="AY68" i="9" s="1"/>
  <c r="AR68" i="9"/>
  <c r="AS68" i="9" s="1"/>
  <c r="AL68" i="9"/>
  <c r="AM68" i="9" s="1"/>
  <c r="AF68" i="9"/>
  <c r="AG68" i="9" s="1"/>
  <c r="T68" i="9" s="1"/>
  <c r="AU63" i="9"/>
  <c r="AT63" i="9"/>
  <c r="AR63" i="9"/>
  <c r="AO63" i="9"/>
  <c r="AN63" i="9"/>
  <c r="AI63" i="9"/>
  <c r="AK63" i="9" s="1"/>
  <c r="AM63" i="9" s="1"/>
  <c r="AF63" i="9"/>
  <c r="AG63" i="9" s="1"/>
  <c r="T63" i="9" s="1"/>
  <c r="AN62" i="9"/>
  <c r="AQ62" i="9" s="1"/>
  <c r="AS62" i="9" s="1"/>
  <c r="AB62" i="9"/>
  <c r="AO60" i="9"/>
  <c r="AQ60" i="9" s="1"/>
  <c r="AS60" i="9" s="1"/>
  <c r="AN54" i="9"/>
  <c r="AQ54" i="9" s="1"/>
  <c r="AS54" i="9" s="1"/>
  <c r="A18" i="15" l="1"/>
  <c r="A17" i="18"/>
  <c r="A17" i="19"/>
  <c r="C4" i="10"/>
  <c r="B13" i="10"/>
  <c r="AQ63" i="9"/>
  <c r="AS63" i="9" s="1"/>
  <c r="AG83" i="9"/>
  <c r="AG95" i="9"/>
  <c r="T95" i="9" s="1"/>
  <c r="AG96" i="9"/>
  <c r="T96" i="9" s="1"/>
  <c r="AA93" i="9"/>
  <c r="AA83" i="9"/>
  <c r="AE93" i="9"/>
  <c r="AE98" i="9"/>
  <c r="AE62" i="9"/>
  <c r="AW63" i="9"/>
  <c r="AY63" i="9" s="1"/>
  <c r="Y79" i="9"/>
  <c r="A19" i="15" l="1"/>
  <c r="A18" i="19"/>
  <c r="A18" i="18"/>
  <c r="G93" i="9"/>
  <c r="F93" i="9"/>
  <c r="H93" i="9" s="1"/>
  <c r="F83" i="9"/>
  <c r="G83" i="9"/>
  <c r="T83" i="9"/>
  <c r="Q4" i="10"/>
  <c r="C13" i="10"/>
  <c r="AG98" i="9"/>
  <c r="T98" i="9" s="1"/>
  <c r="AG62" i="9"/>
  <c r="T62" i="9" s="1"/>
  <c r="AG93" i="9"/>
  <c r="T93" i="9" s="1"/>
  <c r="AA79" i="9"/>
  <c r="A20" i="15" l="1"/>
  <c r="A19" i="18"/>
  <c r="A19" i="19"/>
  <c r="H83" i="9"/>
  <c r="K11" i="10"/>
  <c r="J11" i="10"/>
  <c r="G79" i="9"/>
  <c r="F79" i="9"/>
  <c r="T79" i="9"/>
  <c r="AW33" i="9"/>
  <c r="AY33" i="9" s="1"/>
  <c r="A21" i="15" l="1"/>
  <c r="A20" i="18"/>
  <c r="A20" i="19"/>
  <c r="H79" i="9"/>
  <c r="L11" i="10"/>
  <c r="K8" i="10"/>
  <c r="J8" i="10"/>
  <c r="AQ33" i="9"/>
  <c r="AS33" i="9" s="1"/>
  <c r="AE33" i="9"/>
  <c r="A22" i="15" l="1"/>
  <c r="A21" i="18"/>
  <c r="A21" i="19"/>
  <c r="L8" i="10"/>
  <c r="K4" i="10"/>
  <c r="J4" i="10"/>
  <c r="AG33" i="9"/>
  <c r="Y33" i="9"/>
  <c r="A23" i="15" l="1"/>
  <c r="A22" i="19"/>
  <c r="A22" i="18"/>
  <c r="L4" i="10"/>
  <c r="AA33" i="9"/>
  <c r="AK33" i="9"/>
  <c r="AM33" i="9" s="1"/>
  <c r="A24" i="15" l="1"/>
  <c r="A23" i="18"/>
  <c r="A23" i="19"/>
  <c r="F33" i="9"/>
  <c r="H33" i="9" s="1"/>
  <c r="G33" i="9"/>
  <c r="T33" i="9"/>
  <c r="A25" i="15" l="1"/>
  <c r="A24" i="19"/>
  <c r="A24" i="18"/>
  <c r="J5" i="10"/>
  <c r="K5" i="10"/>
  <c r="K13" i="10" s="1"/>
  <c r="A26" i="15" l="1"/>
  <c r="A25" i="18"/>
  <c r="A25" i="19"/>
  <c r="J13" i="10"/>
  <c r="L13" i="10" s="1"/>
  <c r="L5" i="10"/>
  <c r="A27" i="15" l="1"/>
  <c r="A26" i="19"/>
  <c r="A26" i="18"/>
  <c r="A28" i="15" l="1"/>
  <c r="A27" i="19"/>
  <c r="A27" i="18"/>
  <c r="A29" i="15" l="1"/>
  <c r="A28" i="18"/>
  <c r="A28" i="19"/>
  <c r="A30" i="15" l="1"/>
  <c r="A29" i="19"/>
  <c r="A29" i="18"/>
  <c r="A31" i="15" l="1"/>
  <c r="A30" i="18"/>
  <c r="A30" i="19"/>
  <c r="A32" i="15" l="1"/>
  <c r="A31" i="18"/>
  <c r="A31" i="19"/>
  <c r="A33" i="15" l="1"/>
  <c r="A32" i="19"/>
  <c r="A32" i="18"/>
  <c r="A34" i="15" l="1"/>
  <c r="A33" i="19"/>
  <c r="A33" i="18"/>
  <c r="A35" i="15" l="1"/>
  <c r="A34" i="19"/>
  <c r="A34" i="18"/>
  <c r="A36" i="15" l="1"/>
  <c r="A35" i="19"/>
  <c r="A35" i="18"/>
  <c r="A37" i="15" l="1"/>
  <c r="A36" i="18"/>
  <c r="A36" i="19"/>
  <c r="A38" i="15" l="1"/>
  <c r="A37" i="18"/>
  <c r="A37" i="19"/>
  <c r="A39" i="15" l="1"/>
  <c r="A38" i="18"/>
  <c r="A38" i="19"/>
  <c r="A40" i="15" l="1"/>
  <c r="A39" i="18"/>
  <c r="A39" i="19"/>
  <c r="A41" i="15" l="1"/>
  <c r="A40" i="19"/>
  <c r="A40" i="18"/>
  <c r="A42" i="15" l="1"/>
  <c r="A41" i="19"/>
  <c r="A41" i="18"/>
  <c r="A43" i="15" l="1"/>
  <c r="A42" i="18"/>
  <c r="A42" i="19"/>
  <c r="A44" i="15" l="1"/>
  <c r="A43" i="19"/>
  <c r="A43" i="18"/>
  <c r="A45" i="15" l="1"/>
  <c r="A44" i="18"/>
  <c r="A44" i="19"/>
  <c r="A46" i="15" l="1"/>
  <c r="A45" i="18"/>
  <c r="A45" i="19"/>
  <c r="A47" i="15" l="1"/>
  <c r="A46" i="19"/>
  <c r="A46" i="18"/>
  <c r="A48" i="15" l="1"/>
  <c r="A47" i="18"/>
  <c r="A47" i="19"/>
  <c r="A49" i="15" l="1"/>
  <c r="A48" i="19"/>
  <c r="A48" i="18"/>
  <c r="A50" i="15" l="1"/>
  <c r="A49" i="19"/>
  <c r="A49" i="18"/>
  <c r="A51" i="15" l="1"/>
  <c r="A50" i="18"/>
  <c r="A50" i="19"/>
  <c r="A52" i="15" l="1"/>
  <c r="A51" i="18"/>
  <c r="A51" i="19"/>
  <c r="A53" i="15" l="1"/>
  <c r="A52" i="18"/>
  <c r="A52" i="19"/>
  <c r="A54" i="15" l="1"/>
  <c r="A53" i="18"/>
  <c r="A53" i="19"/>
  <c r="A55" i="15" l="1"/>
  <c r="A54" i="19"/>
  <c r="A54" i="18"/>
  <c r="A56" i="15" l="1"/>
  <c r="A55" i="18"/>
  <c r="A55" i="19"/>
  <c r="A57" i="15" l="1"/>
  <c r="A56" i="19"/>
  <c r="A56" i="18"/>
  <c r="A58" i="15" l="1"/>
  <c r="A57" i="19"/>
  <c r="A57" i="18"/>
  <c r="A59" i="15" l="1"/>
  <c r="A58" i="18"/>
  <c r="A58" i="19"/>
  <c r="A60" i="15" l="1"/>
  <c r="A59" i="18"/>
  <c r="A59" i="19"/>
  <c r="A61" i="15" l="1"/>
  <c r="A60" i="18"/>
  <c r="A60" i="19"/>
  <c r="A62" i="15" l="1"/>
  <c r="A61" i="18"/>
  <c r="A61" i="19"/>
  <c r="A63" i="15" l="1"/>
  <c r="A62" i="19"/>
  <c r="A62" i="18"/>
  <c r="A64" i="15" l="1"/>
  <c r="A63" i="18"/>
  <c r="A63" i="19"/>
  <c r="A65" i="15" l="1"/>
  <c r="A64" i="19"/>
  <c r="A64" i="18"/>
  <c r="A66" i="15" l="1"/>
  <c r="A65" i="18"/>
  <c r="A65" i="19"/>
  <c r="A67" i="15" l="1"/>
  <c r="A66" i="18"/>
  <c r="A66" i="19"/>
  <c r="A68" i="15" l="1"/>
  <c r="A67" i="18"/>
  <c r="A67" i="19"/>
  <c r="A69" i="15" l="1"/>
  <c r="A68" i="18"/>
  <c r="A68" i="19"/>
  <c r="A70" i="15" l="1"/>
  <c r="A69" i="18"/>
  <c r="A69" i="19"/>
  <c r="A71" i="15" l="1"/>
  <c r="A70" i="19"/>
  <c r="A70" i="18"/>
  <c r="A72" i="15" l="1"/>
  <c r="A71" i="19"/>
  <c r="A71" i="18"/>
  <c r="A73" i="15" l="1"/>
  <c r="A72" i="19"/>
  <c r="A72" i="18"/>
  <c r="A74" i="15" l="1"/>
  <c r="A73" i="19"/>
  <c r="A73" i="18"/>
  <c r="A75" i="15" l="1"/>
  <c r="A74" i="19"/>
  <c r="A74" i="18"/>
  <c r="A76" i="15" l="1"/>
  <c r="A75" i="19"/>
  <c r="A75" i="18"/>
  <c r="A77" i="15" l="1"/>
  <c r="A76" i="19"/>
  <c r="A76" i="18"/>
  <c r="A78" i="15" l="1"/>
  <c r="A77" i="18"/>
  <c r="A77" i="19"/>
  <c r="A79" i="15" l="1"/>
  <c r="A78" i="19"/>
  <c r="A78" i="18"/>
  <c r="A80" i="15" l="1"/>
  <c r="A79" i="18"/>
  <c r="A79" i="19"/>
  <c r="A81" i="15" l="1"/>
  <c r="A80" i="19"/>
  <c r="A80" i="18"/>
  <c r="A82" i="15" l="1"/>
  <c r="A81" i="19"/>
  <c r="A81" i="18"/>
  <c r="A83" i="15" l="1"/>
  <c r="A82" i="19"/>
  <c r="A82" i="18"/>
  <c r="A84" i="15" l="1"/>
  <c r="A83" i="19"/>
  <c r="A83" i="18"/>
  <c r="A85" i="15" l="1"/>
  <c r="A84" i="18"/>
  <c r="A84" i="19"/>
  <c r="A86" i="15" l="1"/>
  <c r="A85" i="18"/>
  <c r="A85" i="19"/>
  <c r="A87" i="15" l="1"/>
  <c r="A86" i="19"/>
  <c r="A86" i="18"/>
  <c r="A88" i="15" l="1"/>
  <c r="A87" i="18"/>
  <c r="A87" i="19"/>
  <c r="A89" i="15" l="1"/>
  <c r="A88" i="19"/>
  <c r="A88" i="18"/>
  <c r="A90" i="15" l="1"/>
  <c r="A89" i="19"/>
  <c r="A89" i="18"/>
  <c r="A91" i="15" l="1"/>
  <c r="A90" i="19"/>
  <c r="A90" i="18"/>
  <c r="A92" i="15" l="1"/>
  <c r="A91" i="19"/>
  <c r="A91" i="18"/>
  <c r="A93" i="15" l="1"/>
  <c r="A92" i="19"/>
  <c r="A92" i="18"/>
  <c r="A94" i="15" l="1"/>
  <c r="A93" i="18"/>
  <c r="A93" i="19"/>
  <c r="A95" i="15" l="1"/>
  <c r="A94" i="19"/>
  <c r="A94" i="18"/>
  <c r="A96" i="15" l="1"/>
  <c r="A95" i="18"/>
  <c r="A95" i="19"/>
  <c r="A97" i="15" l="1"/>
  <c r="A96" i="19"/>
  <c r="A96" i="18"/>
  <c r="A98" i="15" l="1"/>
  <c r="A97" i="19"/>
  <c r="A97" i="18"/>
  <c r="A99" i="15" l="1"/>
  <c r="A98" i="19"/>
  <c r="A98" i="18"/>
  <c r="A100" i="15" l="1"/>
  <c r="A99" i="19"/>
  <c r="A99" i="18"/>
  <c r="A101" i="15" l="1"/>
  <c r="A100" i="18"/>
  <c r="A100" i="19"/>
  <c r="A101" i="18" l="1"/>
  <c r="A101" i="19"/>
  <c r="AG24" i="19"/>
  <c r="AH24" i="19" s="1"/>
  <c r="AP24" i="19"/>
  <c r="AQ24" i="19" s="1"/>
  <c r="AN24" i="19"/>
  <c r="AO24" i="19"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DA8B6B9-32AE-4FAF-8DF9-F04137436969}"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CB8CD19A-E839-4DCD-B718-9C955DA5508C}" name="WorksheetConnection_Company Tracker _ Meng Sustainability Project.xlsx!Table1" type="102" refreshedVersion="6" minRefreshableVersion="5">
    <extLst>
      <ext xmlns:x15="http://schemas.microsoft.com/office/spreadsheetml/2010/11/main" uri="{DE250136-89BD-433C-8126-D09CA5730AF9}">
        <x15:connection id="Table1">
          <x15:rangePr sourceName="_xlcn.WorksheetConnection_CompanyTracker_MengSustainabilityProject.xlsxTable11"/>
        </x15:connection>
      </ext>
    </extLst>
  </connection>
</connections>
</file>

<file path=xl/sharedStrings.xml><?xml version="1.0" encoding="utf-8"?>
<sst xmlns="http://schemas.openxmlformats.org/spreadsheetml/2006/main" count="8109" uniqueCount="1409">
  <si>
    <t>N</t>
  </si>
  <si>
    <t>Y</t>
  </si>
  <si>
    <t>Communication Services</t>
  </si>
  <si>
    <t>Consumer Discretionary</t>
  </si>
  <si>
    <t>Consumer Staples</t>
  </si>
  <si>
    <t>Energy</t>
  </si>
  <si>
    <t>Financial Services</t>
  </si>
  <si>
    <t>Healthcare</t>
  </si>
  <si>
    <t>Industrials</t>
  </si>
  <si>
    <t>Materials</t>
  </si>
  <si>
    <t>Real Estate</t>
  </si>
  <si>
    <t>Technology</t>
  </si>
  <si>
    <t>Utilities</t>
  </si>
  <si>
    <t>2019 Net Scope 1 + 2 Emissions</t>
  </si>
  <si>
    <t>2018 Net Scope 1 + 2 Emissions</t>
  </si>
  <si>
    <t>2017 Net Scope 1 + 2 Emissions</t>
  </si>
  <si>
    <t>2016 Net Scope 1 + 2 Emissions</t>
  </si>
  <si>
    <t>Company Name</t>
  </si>
  <si>
    <t>Sector</t>
  </si>
  <si>
    <t>Industry</t>
  </si>
  <si>
    <t>Size (2019 Revenue)</t>
  </si>
  <si>
    <t>Net Earnings/Income (2019)</t>
  </si>
  <si>
    <t>IPO Year</t>
  </si>
  <si>
    <t>S&amp;P 100? (Y/N)</t>
  </si>
  <si>
    <t>Carbon Neutral Goal? (Y/N)</t>
  </si>
  <si>
    <t>Science-Based Target? (Y/N)</t>
  </si>
  <si>
    <t>Carbon Neutral by.... (year)</t>
  </si>
  <si>
    <t>Carbon Neutral Announcement (year)</t>
  </si>
  <si>
    <t>Carbon Goal (if non-zero)</t>
  </si>
  <si>
    <t>Reliance on Offsets? (Y/N)</t>
  </si>
  <si>
    <t>RE100 Commitment? (Y/N)</t>
  </si>
  <si>
    <t>100% Renewable Energy by... (year)</t>
  </si>
  <si>
    <t>2019 Scope 1 (MeT Co2)</t>
  </si>
  <si>
    <t xml:space="preserve">2019 Scope 2 </t>
  </si>
  <si>
    <t>2019 Offsets Purchased</t>
  </si>
  <si>
    <t xml:space="preserve">2019 Scope 3 </t>
  </si>
  <si>
    <t>2019 Total Scope 1, 2 + 3</t>
  </si>
  <si>
    <t>2018 Scope 1</t>
  </si>
  <si>
    <t>2018 Scope 2</t>
  </si>
  <si>
    <t>2018 Offsets Purchased</t>
  </si>
  <si>
    <t>2018 Scope 3</t>
  </si>
  <si>
    <t>2018 Total Scope 1, 2 + Scope 3</t>
  </si>
  <si>
    <t>2017 Scope 1</t>
  </si>
  <si>
    <t>2017 Scope 2</t>
  </si>
  <si>
    <t>2017 Offsets Purchased</t>
  </si>
  <si>
    <t>2017 Scope 3</t>
  </si>
  <si>
    <t>2017 Total Scope 1, 2 + 3</t>
  </si>
  <si>
    <t>2016 Scope 1</t>
  </si>
  <si>
    <t>2016 Scope 2</t>
  </si>
  <si>
    <t>2016 Offsets Purchased</t>
  </si>
  <si>
    <t>2016 Scope 3</t>
  </si>
  <si>
    <t>2016 Total Scope 1, 2 + 3</t>
  </si>
  <si>
    <t>2015 Scope 1</t>
  </si>
  <si>
    <t>2015 Scope 2</t>
  </si>
  <si>
    <t>2015 Offsets Purchased</t>
  </si>
  <si>
    <t>2015 Net Scope 1 + 2 Emissions</t>
  </si>
  <si>
    <t>2015 Scope 3</t>
  </si>
  <si>
    <t>2015 Total Scope 1, 2 + 3</t>
  </si>
  <si>
    <t>Policy Arm?</t>
  </si>
  <si>
    <t>Initiatives for Carbon Neutrality</t>
  </si>
  <si>
    <t>Notes</t>
  </si>
  <si>
    <t>Sources</t>
  </si>
  <si>
    <t>3M</t>
  </si>
  <si>
    <t>Specialty Industrials</t>
  </si>
  <si>
    <t>-Policy engagement through lobbying and employee PAC specific to climate change and energy conservation</t>
  </si>
  <si>
    <t>Abbott Laboratories</t>
  </si>
  <si>
    <t>Medical Devices</t>
  </si>
  <si>
    <t>- 40% reduction from base year (2010- 1237)</t>
  </si>
  <si>
    <t>AbbVie Inc.</t>
  </si>
  <si>
    <t>Drug Manufacturers</t>
  </si>
  <si>
    <t>- 50% RE in 2025
'- 50% GHG reduction by 2035 from 2015 baseline</t>
  </si>
  <si>
    <t>Accenture</t>
  </si>
  <si>
    <t>Information Technology Services</t>
  </si>
  <si>
    <t>Adobe Inc.</t>
  </si>
  <si>
    <t>Software</t>
  </si>
  <si>
    <t>Allstate Corp</t>
  </si>
  <si>
    <t>Insurance</t>
  </si>
  <si>
    <t>-location based scope 2 only
-In 2010, Allstate set a goal to achieve a 20% absolute
energy-use reduction within our owned portfolio (approximately
39% of all locations at the time) against our 2007 baseline by
2020. Thanks to efforts across the enterprise, we surpassed that
2020 goal in 2014.</t>
  </si>
  <si>
    <t>Alphabet Inc. / Google</t>
  </si>
  <si>
    <t>Internet Content</t>
  </si>
  <si>
    <t>- All GHG emissions neutralized by carbon offset projects (40 carbon offset projects since 2007)
- In 2018, matched 100% of the electricity consumption of global operations with renewable energy for the second consecutive year (Since 2011, reduced cumulative Scope 1 and 2 GHG emissions by 52% by procuring renewable energy)
- Since 2011, carbon intensity per unit of revenue has decreased by 86%</t>
  </si>
  <si>
    <t>Altria Group Inc</t>
  </si>
  <si>
    <t>Tobacco</t>
  </si>
  <si>
    <t>Reduce absolute Scope 1 &amp;2 greenhouse gas emissions by 55% by 2030 vs. 2017
Reduce absolute Scope 3 greenhouse gas emissions by 18% by 2030 vs. 2017 
Achieve 100% renewable electricity by 2030 (currently at 2.3%)
Reduce waste sent to landfill by 25% by 2030 vs. 2017
 Achieve 100% water neutrality annually</t>
  </si>
  <si>
    <t>Amazon.com Inc.</t>
  </si>
  <si>
    <t>Retail</t>
  </si>
  <si>
    <t>- $2 Billion Climate Pledge Fund to Invest in Companies Building Products, Services, and Technologies to Decarbonize the Economy and Protect the Planet
- $100 million Right Now Climate Fund that is investing in nature-based solutions and reforestation projects around the world, including a reforestation project in the Appalachians in the U.S. and an urban greening initiative in Berlin, Germany
- To date, Amazon has 91 renewable energy projects, including 31 utility-scale wind and solar projects and 60 solar rooftops on fulfillment centers and sort centers around the globe. Together, these projects totaling over 2,900 MW of capacity will deliver more than 7.6 million MWh of renewable energy annually, enough to power 680,000 U.S. homes
- Since 2015, has lowered the weight of outbound packaging by 33% and eliminated more than 880,000 tons of packaging material, the equivalent of 1.5 billion shipping boxes
- Making all Amazon shipments net zero carbon through Shipment Zero, with 50% of all shipments net zero carbon by 2030
- Deploying 100,000 electric delivery vehicles starting in 2021</t>
  </si>
  <si>
    <t>- https://news.theceomagazine.com/environment/amazon-pollution/
- https://press.aboutamazon.com/news-releases/news-release-details/amazon-announces-2-billion-climate-pledge-fund-invest-companies
- https://sustainability.aboutamazon.com/
- https://sustainability.aboutamazon.com/environment/sustainable-operations/carbon-footprint
- https://d39w7f4ix9f5s9.cloudfront.net/26/7f/e1693ffc45db88d839a4734b46e7/amazon-2018-carbon-footprint.pdf</t>
  </si>
  <si>
    <t>American Express</t>
  </si>
  <si>
    <t>Credit Services</t>
  </si>
  <si>
    <t>- No initiatives worth mentioning- just nonspecific "investments" and "frameworks" for clients</t>
  </si>
  <si>
    <t>American Tower</t>
  </si>
  <si>
    <t>- Science based targets IN DEVELOPMENT
- Carbon neutral only for US, not global
- Investing over $100 million in energy-efficient technologies at the site level (e.g., transitioning to new lithium-ion batteries [LIBs] and LED lighting) and site-based green energy solutions (e.g., solar photovoltaic power generation)</t>
  </si>
  <si>
    <t>Amgen Inc.</t>
  </si>
  <si>
    <t>-10% reduction in scope 1 emissions from base year (2012) by 2020- 119968
-20% reduction in scope 2 emissions form base year - 286679</t>
  </si>
  <si>
    <t>Apple Inc.</t>
  </si>
  <si>
    <t>Electronics</t>
  </si>
  <si>
    <t>https://www.apple.com/environment/pdf/Apple_Environmental_Responsibility_Report_2019.pdf</t>
  </si>
  <si>
    <t>AT&amp;T Inc.</t>
  </si>
  <si>
    <t>Telecom Services</t>
  </si>
  <si>
    <t>-Reducing absolute Scope 1 and Scope 2 greenhouse gas (GHG) emissions 26% by 2030, from a 2015 base year
- Virtualization of many network functions
- Transitioning to a low-emissions fleet
- Accelerating energy efficiency and network optimization efforts
- Expanding sustainable feature film and TV production
- Supporting the renewable energy marketplace through PPAs with renewable energy providers
- Investing in carbon offsets</t>
  </si>
  <si>
    <t>- https://about.att.com/csr/home/reporting/issue-brief/greenhouse-gas-emissions.html
-https://about.att.com/story/2020/att_carbon_neutral.html#:~:text=AT%26T%20has%20committed%20to%20be,30%20years%20into%20the%20future.</t>
  </si>
  <si>
    <t>Bank of America</t>
  </si>
  <si>
    <t>Banks</t>
  </si>
  <si>
    <t>- Reduced market-based emissions by 89% from 2010 to 2020, primarily by consolidating space, implementing energy-efficient projects, and puchasing renewable energy
- Purchased 1.8 million mWh of renewable electricity in 2018, which amounts to 91% of global energy use
- Installed on-site solar on offices, financial centers, and ATMs
- Reduced energy use by 40% from 2010 to 2020
- Reduced location-based emissions by 52% from 2010 to 2020, primarily as a result of the energy reductions achieved
- Maintain LEED certification for 25% of buildings globally</t>
  </si>
  <si>
    <t>- https://about.bankofamerica.com/en-us/global-impact/env-operations-detail.html#fbid=4M45J4eZdUh
- https://newsroom.bankofamerica.com/press-releases/environment/bank-america-achieves-carbon-neutrality
- https://about.bankofamerica.com/assets/pdf/Bank-of-America-2018-ESG-Performance-Data-Summary.pdf
- https://www.environmentalleader.com/2020/01/bank-of-america-announces-carbon-neutrality-one-year-ahead-of-schedule/</t>
  </si>
  <si>
    <t>Berkshire Hathaway Inc.</t>
  </si>
  <si>
    <t>Biogen Inc.</t>
  </si>
  <si>
    <t>BlackRock Inc.</t>
  </si>
  <si>
    <t>Asset Management</t>
  </si>
  <si>
    <t>Target to reduce emissions per employee by 45% by 2020, reduced 33% as of 2018</t>
  </si>
  <si>
    <t>Boeing</t>
  </si>
  <si>
    <t>Aerospace </t>
  </si>
  <si>
    <t>Booking Holdings Inc.</t>
  </si>
  <si>
    <t>Hospitality</t>
  </si>
  <si>
    <t>Bristol Myers Squibb</t>
  </si>
  <si>
    <t>-5% (absolute) or greater reduction of water and
greenhouse gas (GHG) emissions from
2015 baseline.</t>
  </si>
  <si>
    <t>Capital One Financial</t>
  </si>
  <si>
    <t>- Green energy offsets, not emissions offsets</t>
  </si>
  <si>
    <t>https://ir-capitalone.gcs-web.com/news-releases/news-release-details/capital-one-reports-fourth-quarter-2019-net-income-12-billion-or</t>
  </si>
  <si>
    <t>Caterpillar Inc.</t>
  </si>
  <si>
    <t>Machinery</t>
  </si>
  <si>
    <t>-GHG emissions intensity reduction goal is based on our
combined Scope 1 (direct) and Scope 2 (indirect, marketbased) GHG emissions using a 2006 baseline year. Likewise,
total absolute GHG emissions are a sum of Scope 1 and
Scope 2 (market-based) emissions.
-Targets based on GHG/Energy intensity</t>
  </si>
  <si>
    <t>Charter Communications Inc.</t>
  </si>
  <si>
    <t>Entertainment</t>
  </si>
  <si>
    <t>Chevron</t>
  </si>
  <si>
    <t>Oil and Gas</t>
  </si>
  <si>
    <t>-Significant player in trade associations that influence policy</t>
  </si>
  <si>
    <t>Cisco Systems</t>
  </si>
  <si>
    <t>-Goal: Reduce total Cisco Scope 1 and 2 GHG
emissions worldwide by 60 percent absolute by
FY22 (FY07 baseline)
- Use electricity from renewable sources for 85% of electricity by FY22 (KPI tracked not clear/available)
-Date announced 2017</t>
  </si>
  <si>
    <t>Citigroup Inc.</t>
  </si>
  <si>
    <t>-Use policy arm to champion climate-poistive acitivies more broadly</t>
  </si>
  <si>
    <t>Coca-Cola</t>
  </si>
  <si>
    <t>Food &amp; Beverage</t>
  </si>
  <si>
    <t>-And this goal has proven a worthy ambition as we
managed to cut our carbon footprint by 24%
toward our target of a 25% reduction by the
end of 2020, against a 2010 baseline.
-Targets include plastic recycling</t>
  </si>
  <si>
    <t>Colgate-Palmolive</t>
  </si>
  <si>
    <t>Household &amp; Personal Products</t>
  </si>
  <si>
    <t>-Purhcase of renewable energy certificates/ offsets
-Currently at 28% renewable energy</t>
  </si>
  <si>
    <t>Comcast</t>
  </si>
  <si>
    <t>ConocoPhillips</t>
  </si>
  <si>
    <t>-Work with Climate leadership council and API climate working group to develop and implement US carbon tax design
- report includes ESG ratings from Sustainalytics, DJSI, Bloomberg, MSCI, and CDP</t>
  </si>
  <si>
    <t>Costco</t>
  </si>
  <si>
    <t xml:space="preserve">-Vague </t>
  </si>
  <si>
    <t>CVS Health</t>
  </si>
  <si>
    <t>- Reduce aboslute scope 1 and 2 GHG by 36% from 2010 base by 2030</t>
  </si>
  <si>
    <t>Danaher</t>
  </si>
  <si>
    <t>Diagnostics</t>
  </si>
  <si>
    <t>Dow Inc.</t>
  </si>
  <si>
    <t>Chemicals</t>
  </si>
  <si>
    <t xml:space="preserve">-Incorporate carbon pricing into business planning and prioritizing capital projects
-Maintain scope 1 &amp;2 emissions below 2006 baseline (42.6 Million tonnes)
- Advocating for a circular economy
-Participate in world economic forum low carbon tech   </t>
  </si>
  <si>
    <t>Duke Energy</t>
  </si>
  <si>
    <t>- Enables participants of RE100 by providing RE sources
- 50% CO2 emissions by 2030
- Reports include methane and SF6 emissions in CO2 equivalents</t>
  </si>
  <si>
    <t>DuPont</t>
  </si>
  <si>
    <t>- The Grindsted, Denmark plant is 100% carbon neutral
- Reduce greenhouse gas (GHGs) emissions 30%,
including sourcing 60% of electricity from renewable energy
by 2030, and deliver carbon neutral operations by 2050
- Positions in various associations (i.e US chamber of commerce climate change task force, World business council for sustainable development, etc)</t>
  </si>
  <si>
    <t>Eli Lilly</t>
  </si>
  <si>
    <t>- goals are vague but progress is being measured and communicated</t>
  </si>
  <si>
    <t>Emerson Electric</t>
  </si>
  <si>
    <t>- Developed a universal integrated resouce efficiency metric based on thermodynamics to help policymakers measure efficiency raw materials/energy are used in production of product or service</t>
  </si>
  <si>
    <t>Exelon</t>
  </si>
  <si>
    <t>-Policy engagement through trade associations like American Gas association, Energy Storage Association</t>
  </si>
  <si>
    <t>Exxon Mobil</t>
  </si>
  <si>
    <t>-Targets around flaring, but not total GHG reduction targets
- Policy engagement through trade associations, lobbying, and employee political contributions (PAC)
- Large emphasis on development of algae biofuels and carbon capture technology but no measures on emissions offsets as a result of tech development</t>
  </si>
  <si>
    <t>Facebook, Inc.</t>
  </si>
  <si>
    <t>-Policy engagement through coalitions like "We are Still In" and "Greenpeace's Clicking clean Initiative"
-No offset or Scope 3 data available- data difficult to find</t>
  </si>
  <si>
    <t>FedEx</t>
  </si>
  <si>
    <t>Logistics</t>
  </si>
  <si>
    <t>-Target reductions focus on intensity, not overall emissions (30% reduction in aircraft emissions intenisity by 2020 from 2005 baseline)
- Participants in renewable energy buyers alliance, electrification coalition, and other alliances to engage in policy</t>
  </si>
  <si>
    <t>Ford Motor Company</t>
  </si>
  <si>
    <t>Automotive</t>
  </si>
  <si>
    <t xml:space="preserve">Y </t>
  </si>
  <si>
    <t>-- working with California on Clean Car standards starting in 2019</t>
  </si>
  <si>
    <t>General Dynamics</t>
  </si>
  <si>
    <t xml:space="preserve">- No clear informationon goals or emissions data available </t>
  </si>
  <si>
    <t>General Electric</t>
  </si>
  <si>
    <t>General Motors</t>
  </si>
  <si>
    <t>Gilead Sciences Inc.</t>
  </si>
  <si>
    <t>-Practicing green chemistry principles
- No policy arm specific to climate change/ carbon neutrality</t>
  </si>
  <si>
    <t>Goldman Sachs Group</t>
  </si>
  <si>
    <t>- founding member of Climate Leadership Council (CLC), advocating for a revenue-neutral carbon fee and dividend plan
- $2 billion in green operational investments to drive energy efficiency
- Aiming to reduce energy intensity by 20% by 2025 (from 2015 baseline)
- Certified 70 percent of offices to a green-building standard
- Committed all new construction to be LEED Gold-certified or equivalent
- Extend the green building certification of ISO 20121 standards to off-site events
-scope 3 just business travel</t>
  </si>
  <si>
    <t>- https://www.goldmansachs.com/what-we-do/sustainable-finance/documents/carbon-emissions-verification.pdf
- https://www.goldmansachs.com/what-we-do/sustainable-finance/documents/reports/2019-sustainability-report.pdf
- https://www.goldmansachs.com/citizenship/sustainability-reporting/esg-content/esg-report-2017.pdf
- https://www.goldmansachs.com/what-we-do/sustainable-finance/our-sustainability-journey/#:~:text=2009%3A%20Committing%20to%20Carbon%20Neutrality,neutral%20starting%20from%202015%20onwards.</t>
  </si>
  <si>
    <t>Home Depot</t>
  </si>
  <si>
    <t>From 2018 baseline, 40% reduction by 2030 and 50% reduction by 2035</t>
  </si>
  <si>
    <t>- Investing in on-site solar
- Previous projects in energy efficiency (lighting, air conditioning) and supply and demand balancing on the grid</t>
  </si>
  <si>
    <t>- https://corporate.homedepot.com/responsibility/protecting-the-climate
- https://live-home-depot-corporate.pantheonsite.io/sites/default/files/2019_Responsibility%20Report_FINAL_Master_Update.png_.pdf
- https://corporate.homedepot.com/sites/default/files/pdfs/2018_ResponsibilityReport_FINAL_LRS.PDF
- https://corporate.homedepot.com/sites/default/files/image_gallery/PDFs/THD_Responsibility%20Report%202017.pdf
- https://corporate.homedepot.com/sites/default/files/THD_0039_2015_Sustainability_Report_Online_Nov_10.pdf</t>
  </si>
  <si>
    <t>Honeywell Inc.</t>
  </si>
  <si>
    <t>Reduce emissions by an additional 10% per dollar of revenue from 2018 levels (no target date specified)</t>
  </si>
  <si>
    <t>- In 2019, Honeywell set a new five-year “10-10-10” target to reduce global greenhouse gas emissions by an additional 10% per dollar of revenue from 2018 levels, to deploy on at least 10 renewable energy opportunities, and to achieve certification to ISO’s 50001 Energy Management Standard at 10 facilities, all by 2024
- Systematically replacing lighting at our sites with LED technologies - over 800 LED lighting projects for an annualized savings of $7.5 million, 37,000 metric tons CO2e and 250 BBTU
- Over 400 projects to systematically address air leaks, optimize compressed air usage, and upgrade equipment, saving an annualized $9.2 million, 45,500 metric tons CO2e and 300 BBTU
- Energy awareness and kaizen events to engage employees in the identification of sustainability-related savings opportunities. For example, our Safety and Productivity Solutions business targeted its top 20 sites and generated over 200 energy savings ideas with 25% costing little or nothing to implement and potential annualized savings of $500,000
- Largest sites are required to identify their significant energy use in line with ISO 50001, obtain an energy audit on an established cycle, train personnel on energy management, and track identified projects via our standard database</t>
  </si>
  <si>
    <t>- https://www.honeywell.com/content/dam/honeywell/files/Corporate_Citizenship_Report.pdf
- https://www.honeywell.com/content/dam/honeywell/files/Honeywell%20Greenhouse%20Gas%20Reporting%20Data-apr19.pdf</t>
  </si>
  <si>
    <t>IBM Corp.</t>
  </si>
  <si>
    <t>Reduce emissions 40% from 2005 to 2025</t>
  </si>
  <si>
    <t>55% by 2025</t>
  </si>
  <si>
    <t>- Virtualized and decommissioned over 152,000 servers from 2015 to 2017, saving 245 gigawatthours of electricity and $32.1 million
- Optimizing the use of energy across our operations (implemented approximately 1,900 energy conservation projects at nearly 300 locations in 2018)
- Purchasing renewable electricity where it makes both business and environmental sense
- Designing energy-efficient products
- Providing services and solutions that support our clients’ efforts to improve their operational efficiency
and reduce their climate impacts</t>
  </si>
  <si>
    <t>- https://www.ibm.com/ibm/environment/annual/IBMEnvReport_2018.pdf
- https://www.ibm.com/ibm/environment/climate/ghg.shtml
- https://www.ibm.com/ibm/environment/annual/IBMEnvReport_2017.pdf
- https://www.ibm.com/ibm/environment/annual/IBMEnvReport_2016.pdf</t>
  </si>
  <si>
    <t>Intel Corp.</t>
  </si>
  <si>
    <t>~1,400,000 Scope 1 + 2 by 2040 (in line with IPCC Reduction Target)</t>
  </si>
  <si>
    <t>2030 goals:
• Achieve 100% renewable energy use across our global manufacturing operations
• Conserve an additional 4 billion kWh of energy
• Drive an additional 10% reduction in our absolute Scope 1 and 2 carbon
emissions as we grow, informed by climate science
• Increase product energy efficiency 10x for Intel client and server microprocessors
to reduce our Scope 3 emissions
- Invested more than $145 million in energy-conservation projects (saving an estimated 3.19 billion kWh of energy)
- Installed more than 40 on-site projects that use solar, wind, fuel cell, and other alternative energy sources worldwide
- Remained the largest voluntary purchaser of green power in the United States
- Sustainability metrics tied to executive and employee performance since 2008
- Working on creating a carbon neutral PC / carbon neutral computing
- Policy engagement-collaborated with technology industry and EPA to influence  energy consumption targets for notebooks and desktop PCs</t>
  </si>
  <si>
    <t>- https://csrreportbuilder.intel.com/pdfbuilder/pdfs/CSR-2019-20-Full-Report.pdf
- http://csrreportbuilder.intel.com/pdfbuilder/pdfs/CSR-2018-Full-Report.pdf
- https://csrreportbuilder.intel.com/PDFfiles/CSR-2017_Full-Report.pdf
- https://csrreportbuilder.intel.com/PDFfiles/CSR-2016_Full-Report.pdf
- http://csrreportbuilder.intel.com/PDFfiles/CSR-2015_Full-Report.pdf</t>
  </si>
  <si>
    <t>Johnson &amp; Johnson</t>
  </si>
  <si>
    <t>Reduce Scope 1 + 2 emissions by 80% by 2050, from 2010 baseline
2010 Scope 1: 358,000
Scope 2: 898,000</t>
  </si>
  <si>
    <t>- Investing in energy efficiency programs through our CO2 Capital Relief Program
- Reduced Scope 1 and Scope 2 GHG emissions by 32% since 2010 (in 2019), exceeding 2020 target
- 13% of all built space is LEED certified
- Became founding members of the Renewable Energy Buyers Alliance (REBA) to advance a zero-carbon energy and secured four new PPAs totaling over 370,000 megawatt-hours (MWh) per year, and installed a 3.4 MW capacity windmill at Belgium chemical plant
- Aiming for 35% renewable energy by 2020</t>
  </si>
  <si>
    <t>- https://healthforhumanityreport.jnj.com/environmental-health/climate-resilience
- https://www.jnj.com/_document/2017-health-for-humanity-report-johnson-johnson?id=0000016c-4ece-dd15-a37d-6feeda030000
- https://healthforhumanityreport.jnj.com/_document/health-for-humanity-2020-goals-scorecard?id=00000172-5b7e-d027-a1fa-fb7e9b460000</t>
  </si>
  <si>
    <t>JPMorgan Chase &amp; Co.</t>
  </si>
  <si>
    <t>- 100% renewable energy by 2020 through on-site renewable energy, PPAs, and RECs
- Created a dedicated risk team focused on climate
- Integrated climate-related risks into the processes the firm uses to identify, assess and review the most material risks to our business
- Evaluating stress testing approaches to deepen understanding of the relationship between climate change and financial impact to the firm
- Offset 100% of employee air and rail travel emissions in 2019
-joined Climate Leadership Council, which promotes a bipartisan roadmap for a revenue neutral carbon tax-and-dividend in the US
- Scope 3: + (just employee air travel)</t>
  </si>
  <si>
    <t>- https://institute.jpmorganchase.com/content/dam/jpmc/jpmorgan-chase-and-co/documents/jpmc-cr-climate-report-2019.pdf
- https://www.jpmorganchase.com/corporate/news/pr/jpmorgan-chase-expands-commitment-to-low-carbon-economy-and-clean-energy.htm
- https://impact.jpmorganchase.com/content/dam/jpmc/jpmorgan-chase-and-co/documents/jpmc-cr-esg-report-2016.pdf
- https://about.jpmorganchase.com/content/dam/jpmc/jpmorgan-chase-and-co/documents/jpmc-cr-esg-report-2019.pdf</t>
  </si>
  <si>
    <t>Kinder Morgan Inc.</t>
  </si>
  <si>
    <t>- ONE Future: Working with the EPA to identify the most effective means of implementing methane emission reductions at natural gas transmission and storage operations. Through ONE Future, we committed to achieving a methane emission intensity target of 0.31% across our natural gas transmission and storage operations by 2025</t>
  </si>
  <si>
    <t>Planning to start measuring Scope 1 and 2 emissions starting in 2021</t>
  </si>
  <si>
    <t>- https://www.kindermorgan.com/WWWKM/media/Documents/2018_ESG_Report_1.pdf</t>
  </si>
  <si>
    <t>Kraft Heinz Co</t>
  </si>
  <si>
    <t>- 15% reduction in GHG emissions by 2020 from 2015 baseline
- Energy reduction initiatives
- Investing in renewable energy technology for our manufacturing plants
- Conducting a mapping of our direct supply chain of palm oil and soy to assess deforestation risks and develop action plans
- Having Kraft Heinz agronomists directly engage growers and farmers of key raw materials to enact best practices for environmental efficiencies, such as increased yields, optimization of fertilizer application, water conservation and an overall increase in crop resilience
- Joining the Science Based Targets Initiative to set science-based greenhouse gas emissions reduction goals in its supply chain
- Aiming to make 100 percent of our packaging globally recyclable, reusable or compostable by 2025</t>
  </si>
  <si>
    <t>- https://www.cdp.net/en/formatted_responses/responses?campaign_id=62255737&amp;discloser_id=729753&amp;locale=en&amp;organization_name=The+Kraft+Heinz+Company&amp;organization_number=58857&amp;program=Investor&amp;project_year=2018&amp;redirect=https%3A%2F%2Fcdp.credit360.com%2Fsurveys%2Fft9rgfbw%2F29892&amp;survey_id=58150509
- https://www.cdp.net/en/formatted_responses/pages?locale=en&amp;organization_name=The+Kraft+Heinz+Company&amp;organization_number=58857&amp;program=Investor&amp;project_year=2017&amp;redirect=https%3A%2F%2Fwww.cdp.net%2Fsites%2F2017%2F57%2F58857%2FClimate+Change+2017%2FPages%2FDisclosureView.aspx</t>
  </si>
  <si>
    <t>Lockheed Martin Corp.</t>
  </si>
  <si>
    <t>~1995</t>
  </si>
  <si>
    <t>35% Scope 1 + 2 reduction from 2010 to 2020 (2010 Scope 1 + 2 emissions: 1,271,358)
70% reduction in emissions per $ gross profit from 2015 to 2030</t>
  </si>
  <si>
    <t>- Energy efficiency programs (25% reduction from 2010 to 2020), lighting upgrades, and other emissions reduction strategies
- Developing a state-of-the-art Geostationary Carbon Observatory, or GeoCarb, with the University of Oklahoma and NASA’s Jet Propulsion Laboratory. GeoCarb aims to advance our collective understanding of the global carbon cycle by mapping key carbon gases from geostationary orbit. Over time, this technology can contribute much-needed data to support climate adaptation and resiliency efforts</t>
  </si>
  <si>
    <t>Goals are mostly qualitative without many hard targets set
Goals were difficult to find</t>
  </si>
  <si>
    <t>- https://sustainability.lockheedmartin.com/sustainability/downloads/Lockheed_Martin_Sustainability_Report_Full_2019.pdf
- https://www.lockheedmartin.com/content/dam/lockheed-martin/eo/photo/sustainability/CDP%20CC%202019.pdf
- https://www.lockheedmartin.com/content/dam/lockheed-martin/eo/documents/sustainability/2018%20Lockheed%20Martin%20Sustainability%20Report%20and%20GHG%20Verification%20Assurance_Final_4.18.19.pdf
- https://www.lockheedmartin.com/content/dam/lockheed-martin/eo/documents/sustainability/Lockheed_Martin_Sustainability_Report_Full_2018.pdf
- https://www.lockheedmartin.com/content/dam/lockheed-martin/eo/documents/sustainability/Lockheed_Martin_Sustainability_Report_Full_2017.pdf
- https://www.lockheedmartin.com/content/dam/lockheed-martin/eo/documents/sustainability/sustainability-report-2016-web.pdf
- https://lockheedmartin.com/content/dam/lockheed-martin/eo/documents/sustainability/verification-2019.pdf
- Letters of assurance
- https://app.one-report.com/report/qgri_index.html?categoryid=1475&amp;qid=3861&amp;rid=ODQwMDMyNjU3&amp;arid=NDc0ODgwMTAx&amp;companyid=924&amp;year=2020
- https://www.lockheedmartin.com/content/dam/lockheed-martin/eo/photo/sustainability/CDP%20CC%202019.pdf</t>
  </si>
  <si>
    <t>Lowe's Companies, Inc.</t>
  </si>
  <si>
    <t>40% reduction in Scope 1 + 2 from 2016 to 2030</t>
  </si>
  <si>
    <t>- Offered $34 million in discounts to customers who purchased energy efficient products
- Aim for 100% of our strategic suppliers to have sustainability goals by 2025
- By 2030, increase share of energy that is renewable
- Use a building management system (BMS) to maximize the efficiency of assets, such as lighting, HVAC and generators; leverage internal and third-party resources to calculate the performance of assets, inform retrofitting projects and improve energy use (99% of stores have BMS installed)
- LED lighting retrofit program
- Collaboration between vendors, stores and DCs via our Intermodal, Reverse Logistics and Backhaul programs to reduce empty truck miles, emissions and environmental impact. In the U.S., we monitor and audit provider fleets and use a transportation management system to optimize routes, combining loads to make deliveries more efficient</t>
  </si>
  <si>
    <t>- https://corporate.lowes.com/sites/lowes-corp/files/2020-07/Lowes_2019_FINAL_optimized.pdf
- https://corporate.lowes.com/sites/lowes-corp/files/CSR-reports/lowes-2018cr-report.pdf
- https://corporate.lowes.com/sites/lowes-corp/files/CSR-reports/Lowes_2017CRReport_FramingOurFuture.pdf</t>
  </si>
  <si>
    <t>MasterCard Inc.</t>
  </si>
  <si>
    <t>20% reduction in Scope 1, 2 + 3 from 2016 to 2025</t>
  </si>
  <si>
    <t>- 100% renewable energy (currently 2% on-site solar, 11% directly procured renewable energy, and 87% RECs - working on installing on-site renewable energy to reduce reliance on RECs)
- 79% green-certified buildings
- Working directly with suppliers on climate initiatives to reduce Scope 3 emissions
- Launched the Priceless Planet Coalition, which encourage corporates to invest in energy-efficient workplaces and operations, source renewable energy and maintain sustainable supply chains to reduce carbon footprints</t>
  </si>
  <si>
    <t>First payments company to set an approved Science Based Target</t>
  </si>
  <si>
    <t>- https://www.mastercard.us/content/dam/mccom/global/aboutus/Sustainability/mastercard-sustainability-report-2018.pdf
- https://www.smart-energy.com/industry-sectors/policy-regulation/mastercard-unveils-priceless-planet-coalition-to-combat-climate-change/</t>
  </si>
  <si>
    <t>McDonald's Corp.</t>
  </si>
  <si>
    <t>36% reduction from 2015 to 2030</t>
  </si>
  <si>
    <t>- Work across its supply chain, offices and restaurants to be more innovative and efficient through improvements such as investing in renewable energy, LED lighting, energy efficient kitchen equipment, sustainable packaging, restaurant recycling, and by elevating and supporting sustainable agriculture practices
- In collaboration with thousands of franchisees, suppliers and producers, McDonald’s will prioritize action on the largest segments of its carbon footprint: beef production, restaurant energy usage and sourcing, packaging and waste
- Goal of 31% reduction in emissions intensity (per metric ton of food and packaging) across our supply chain by 2030 from 2015 levels
- Working with farmers, ranchers, beef suppliers, and industry leaders to identify, magnify and share best practices on farming, grazing, and conservation, in ways that empower more producers to adopt sustainability practices
- Innovations and programs to promote energy efficiency and renewable energy. This includes equipment and building design innovation, energy monitoring, and crew training programs</t>
  </si>
  <si>
    <t>Beef, energy, and packaging are biggest drivers of environmental footprint</t>
  </si>
  <si>
    <t>- https://corporate.mcdonalds.com/corpmcd/scale-for-good/esg-reporting/progress-and-performance.html#3
- https://corporate.mcdonalds.com/corpmcd/scale-for-good/climate-action.html
- https://corporate.mcdonalds.com/content/dam/gwscorp/nfl/scale-for-good/McDonalds_CDP_Climate_Change_2018.pdf
- https://corporate.mcdonalds.com/content/dam/gwscorp/nfl/scale-for-good/CDP%20Climate%20Change_2017_McDonald%27s.pdf</t>
  </si>
  <si>
    <t>Medtronic</t>
  </si>
  <si>
    <t>15% reduction in Scope 1 + 2 emissions from 2013 to 2020</t>
  </si>
  <si>
    <t>- Manufacturing facilities account for most of our energy consumption, water use, and waste generation. At those siteswe use management systems, based on the ISO 14001 and OHSAS 18001 standards, to track EHS performance
- Program to convert all Medtronic lighting to LED bulbs
- Optimization initiative focused on global building automation, HVAC, and compressed air systems
- Sourcing renewable grid electricity has been part of our energy strategy since 2007. In FY19, we sourced 22,000 MWh of renewable energy</t>
  </si>
  <si>
    <t>- https://www.medtronic.com/content/dam/medtronic-com/global/Corporate/citizenship/documents/2019-integrated-performance-report.pdf
- https://www.medtronic.com/content/dam/medtronic-com/global/Corporate/Documents/2018-integrated-performance-report.pdf
- https://www.medtronic.com/content/dam/medtronic-com/global/Corporate/Documents/integrated-performance-report.pdf
- https://www.medtronic.com/content/dam/medtronic-com/us-en/corporate/documents/17267.MED.Sustainability.Report_4_FINAL%20NOV%208.pdf</t>
  </si>
  <si>
    <t>Merck &amp; Co.</t>
  </si>
  <si>
    <t>40% Scope 1 + 2 reduction from 2015 to 2025</t>
  </si>
  <si>
    <t>2040 (not a RE100 signatory)</t>
  </si>
  <si>
    <t>- By 2025, we will reduce global Scope 1 and market-based Scope 2 GHG emissions by at least 40% from 2015 levels
- By 2025, at least 50% of our purchased electricity will come from renewable sources. By 2040, 100% of our purchased electricity will come from renewable sources
- Established an Energy Capital Fund of up to $12 million per year in order to transition to more energy-efficient technology
- Converted US Sales fleet vehicles to more fuel-efficient versions to increase average mpg from 22 to 28 from 2008 to 2018
- All new buildings are designed to be LEED Silver or higher
- Long-standing partnership with the U.S. EPA's ENERGY STAR® program, which provides a broad energy-management strategy</t>
  </si>
  <si>
    <t>- https://www.msdresponsibility.com/environmental-sustainability/
- https://www.msdresponsibility.com/environmental-sustainability/climate-change-energy-use/</t>
  </si>
  <si>
    <t>MetLife Inc.</t>
  </si>
  <si>
    <t>- Required all 103 suppliers to disclose their GHG emissions and emissions reduction activities publicly in 2019
- Supports third-party certified carbon reduction projects in markets where we operate around the world (reforestation in Mississippi, replacement of coal-fired stoves in China, conservation of Colombia rainforest)
- Capital improvement projects and facility upgrades for building efficiency, including lighting retrofits, chiller and boiler replacements, LED lighting systems, demand metering, and occupancy-sensor installations
- 25% of buildings are LEED certified
- Invested $18.3 billion in green investments such as renewable energy projectsa and RECs in 2019
-Policy- membership in environmental associations but not talking about active policy lobbying
- Scope 3 is business air travel only</t>
  </si>
  <si>
    <t>- first U.S. insurer to achieve carbon neutrality (2016)</t>
  </si>
  <si>
    <t>- https://www.metlife.com/sustainability/MetLife-sustainability/climate/energy-emissions/
- https://sustainabilityreport.metlife.com/content/dam/metlifecom/us/sustainability/pdf/report/2019/2019-sustainability-report.pdf</t>
  </si>
  <si>
    <t>Microsoft Corp.</t>
  </si>
  <si>
    <t>- Implemented an internal carbon fee in 2012 to charge direct emissions and those of suppliers -- helps fund carbon emission reductions ($15/metric ton for Scope 3)
- Launching an initiative to use Microsoft technology to help our suppliers and customers around the world reduce their own carbon footprints
- Created a new $1 billion climate innovation fund to accelerate the global development of carbon reduction, capture, and removal technologies (portfolio of negative emission technologies (NET) potentially including afforestation and reforestation, soil carbon sequestration, bioenergy with carbon capture and storage (BECCs), and direct air capture (DAC))
- Will now make carbon reduction an explicit aspect of our procurement processes for supply chain
- Uses voice and advocacy supporting public policy that will accelerate carbon reduction and removal opportunities
- By 2050 Microsoft will remove from the environment all the carbon the company has emitted either directly or by electrical consumption since it was founded in 1975
-support policy for accelerating carbon reduction and removal</t>
  </si>
  <si>
    <t>- https://blogs.microsoft.com/blog/2020/01/16/microsoft-will-be-carbon-negative-by-2030/
- file:///C:/Users/pfedm/Downloads/Microsoft_2017_Environmental_Data_Factsheet.pdf
- https://query.prod.cms.rt.microsoft.com/cms/api/am/binary/RE3455q</t>
  </si>
  <si>
    <t>Mondelez International</t>
  </si>
  <si>
    <t>Reduce Scope 1, 2 + 3 emissions by 10% from 2018 to 2025</t>
  </si>
  <si>
    <t>- Reduced energy consumption by improving energy management systems and investing in energy efficient technologies in our factories
- Using low-carbon renewable energy sources
- In late 2015, our chocolate factory in Upplands Väsby, Sweden converted heavy oil burners to use waste vegetable oil instead, significantly reducing CO2 emissions while saving operating costs</t>
  </si>
  <si>
    <t>Poor reporting -- only links to CDP Disclosures</t>
  </si>
  <si>
    <t>- https://www.mondelezinternational.com/-/media/Mondelez/Snacking-Made-Right/Impact-Reporting/Measuring-Our-Progress/Additional-Resources-2/CDP-ClimateChange2019_Final.pdf
- https://www.mondelezinternational.com/-/media/Mondelez/PDFs/Mdlz-CDP-C_2018submission.pdf
- https://www.mondelezinternational.com/-/media/Mondelez/Snacking-Made-Right/Impact-Reporting/Measuring-Our-Progress/Additional-Resources-2/cdpclimate20162125.pdf
- https://www.mondelezinternational.com/~/media/MondelezCorporate/uploads/downloads/cdpClimate2017.pdf</t>
  </si>
  <si>
    <t>Morgan Stanley</t>
  </si>
  <si>
    <t>- Appointed a Chief Sustainability Officer for the first time in 2017</t>
  </si>
  <si>
    <t>- https://www.morganstanley.com/pub/content/dam/msdotcom/about-us/giving-back/sustainability-at-morgan-stanley/Morgan_Stanley_2018_CDP_Climate_Change_Response.pdf
- https://www.morganstanley.com/pub/content/dam/msdotcom/about-us/giving-back/sustainability-at-morgan-stanley/Morgan_Stanley_2019_CDP_Climate_Change_Response.pdf</t>
  </si>
  <si>
    <t>Netflix Inc.</t>
  </si>
  <si>
    <t>~50,000 MT CO2e is best guess for annual emissions. No reporting except to say that emissions were 300g / customer in 2014 and they have182.8 million subscribers today
Claim to use 100% renewable energy through the end of RECs</t>
  </si>
  <si>
    <t>- https://netflixtechblog.com/netflix-streaming-more-energy-efficient-than-breathing-57658d47b9fd
- https://b8f65cb373b1b7b15feb-c70d8ead6ced550b4d987d7c03fcdd1d.ssl.cf3.rackcdn.com/cms/reports/documents/000/002/891/original/CDP-US-Report-2017.pdf?1512668320</t>
  </si>
  <si>
    <t>Nextera Energy Inc.</t>
  </si>
  <si>
    <t>-NextEra Energy conducts business under regulatory regimes that require CO2 rather than CO2e reporting. The SASB metric reported here is CO2e which includes emissions from power generation as well as auxiliary equipment, while other areas of our sustainability reporting convey CO2 from power generation only</t>
  </si>
  <si>
    <t>Nike Inc.</t>
  </si>
  <si>
    <t>Clothing</t>
  </si>
  <si>
    <t>25% Scope 1 + 2 reduction from 2015 to 2020 in key operations</t>
  </si>
  <si>
    <t>Yes - member of Oregon Business Alliance for Climate, which supports climate policy and a carbon price while investing in Oregon’s clean economy</t>
  </si>
  <si>
    <t>- Innovating and sourcing innovative, lower-impact materials
- Driving more energy efficiency in our operations and within our supply chain
- Increasing renewable energy use throughout our operations and encouraging broader adoption throughout our supply chain
- Collaborating with other organizations (corporate peers, government and NGOs) to scale impact and create better market conditions for clean energy
- Decrease energy use and CO2e emissions 25% per unit in key operations (inbound and outbound logistics, distribution centers, headquarter locations, finished goods manufacturing, and NIKE-owned retail) from FY15 to FY20</t>
  </si>
  <si>
    <t>- https://news.nike.com/news/nike-inc-reports-fiscal-2019-fourth-quarter-and-full-year-results
- https://s3-us-west-2.amazonaws.com/purpose-cms-production01/wp-content/uploads/2019/05/15172335/FY18-Nike-Impact-Report_Final.pdf
- https://purpose.nike.com/carbon-energy
- https://s3-us-west-2.amazonaws.com/purpose-cms-preprod01/wp-content/uploads/2020/04/10225416/FY19-Nike-Inc.-Impact-Report.pdf</t>
  </si>
  <si>
    <t>Nvidia</t>
  </si>
  <si>
    <t>A 15 percent greenhouse gas reduction—normalized per employee—by FY20 from baseline year FY14</t>
  </si>
  <si>
    <t>65% by end of FY 2025</t>
  </si>
  <si>
    <t>- Planning to implement an energy management system, certified to ISO 50001, in FY21
- LEED Gold certification for our new Silicon Valley headquarters building
- Focus on siting expansions strategically, managing our operations efficiently, and sourcing low-carbon and renewable forms of energy
- Deployed state-of-the-art cooling technology designed for NVIDIA server products
- Data centers have also been deployed with white surfaces to optimize reflective lighting
- Controllable, high-efficiency LED lighting is installed where artificial lighting is needed</t>
  </si>
  <si>
    <t>- https://www.nvidia.com/content/dam/en-zz/Solutions/documents/FY2020-NVIDIA-CSR-Social-Responsibility.pdf
- https://images.nvidia.com/content/crr/2017/sustainability/pdf/2017-NVIDIA-Sustainability-Report-Final.pdf</t>
  </si>
  <si>
    <t>Occidental Petroleum</t>
  </si>
  <si>
    <t>Planning to set 2030 GHG intensity targets later in 2020</t>
  </si>
  <si>
    <t>Y - through their own carbon capture</t>
  </si>
  <si>
    <t>- Pursuing projects to obtain CO2 through direct air capture and by capturing emissions from third-party sources. In the near-term, the focus will be safe sequestration of CO2 while growing our EOR business. In the longerterm, we expect to expand the commercial use cases for CO2 within our portfolio
- A sensitivity analysis using a carbon price of $50 per metric ton is done for all projects above $5 million (increased from $40 per metric ton in 2018)
- Added an executive compensation metric related to the advancement of CCUS
- Aiming to end routine gas flaring by 2030</t>
  </si>
  <si>
    <t>- https://www.oxy.com/SocialResponsibility/overview/SiteAssets/Pages/Social-Responsibility-at-Oxy/Assets/Occidental-Climate-Report-2019.pdf
- https://www.oxy.com/SocialResponsibility/overview/SiteAssets/Pages/Social-Responsibility-at-Oxy/Assets/Oxy%202018%20CDP%20survey%20response.pdf
- https://www.oxy.com/SocialResponsibility/overview/SiteAssets/Pages/Social-Responsibility-at-Oxy/Assets/Occidental-CDP_Climate_Change_Questionnaire_2019.pdf
- https://www.oxy.com/SocialResponsibility/overview/SiteAssets/Pages/Social-Responsibility-at-Oxy/HTML/performance%20-%20Copy.html#climateChange1
- https://www.oxy.com/SocialResponsibility/overview/SiteAssets/Pages/Social-Responsibility-at-Oxy/Assets/CDP%202017%20Climate%20Programme%20Report-Occidental.pdf
- https://www.oxy.com/SocialResponsibility/overview/Pages/Performance.aspx#climateChange1</t>
  </si>
  <si>
    <t>Oracle</t>
  </si>
  <si>
    <t>26% reduction in Scope 1 + 2 from 2015 to 2025 (from 370,414 to 340,041 MTCO2e)
65% reduction by 2050</t>
  </si>
  <si>
    <t>- Increased renewable energy use and improved energy effciency
- Goal of 55% reduction in emissions per unit of energy consumed by 2025
- Investments in offering a 'Clean Cloud' for customers through energy efficiency and renewable energy</t>
  </si>
  <si>
    <t>- http://www.oracle.com/us/corporate/citizenship/cdp-climate-change-response-5181041.pdf
- https://www.oracle.com/corporate/citizenship/sustainability/operations.html
- http://www.oracle.com/us/corporate/citizenship/cdp-investor-survey-response-2017-3809919.pdf
- https://www.oracle.com/us/assets/oracle-corp-citizenship-report-3941904.pdf
- https://www.oracle.com/a/ocom/docs/sustainability-at-oracle.pdf</t>
  </si>
  <si>
    <t>PayPal</t>
  </si>
  <si>
    <t>Sort of -  joined the Renewable Energy Buyers Alliance (REBA) as a founding member to share best practices, build relationships, and gather insights into the latest corporate renewable energy procurement trends</t>
  </si>
  <si>
    <t>- Cross-functional environmental working group is identifying potential cost-effective emissions reductions activities and building an indirect emissions management strategy for our global supply chain
- Continue to transition to LED lighting around the globe, which has reduced energy use and operational costs across many of our offices worldwide
- Joined the United for the Paris Agreement coalition to reinforce our support for meeting the goals set forth in the global Agreement
- Made substantial progress advancing our environmental management system in alignment with global standards, including ISO 14001. We enhanced our data management systems, refined reporting processes, and empowered teams to better manage performance</t>
  </si>
  <si>
    <t>No reporting for 2016 and earlier
2017 and 2018 GHG emissions figures were revied in the 2019 report so the 2019 figures were used</t>
  </si>
  <si>
    <t>- https://www.paypalobjects.com/marketing/web/us/globalimpact/PayPal_2019_Global_Impact_Report_FINAL.pdf</t>
  </si>
  <si>
    <t>PepsiCo Inc.</t>
  </si>
  <si>
    <t>Scope 1 &amp; 2: Reduce absolute GHG emissions by at least 20% by 2030 from 2015 baseline</t>
  </si>
  <si>
    <t>- Scope 1 &amp; 2: Reduce absolute greenhouse gas (GHG) emissions by at least 20% by 2030 from 2015 baseline
- Scope 3: Reduce absolute greenhouse gas (GHG) emissions by at least 20% by 2030 from 2015 baseline
- Sustainable from the Start program helps our product development teams project and consider the environmental impact, carbon and water footprint, and packaging recyclability of a product</t>
  </si>
  <si>
    <t>- https://www.pepsico.com/docs/album/esg-topics-policies/cdp_climate_change_2017_information_request_pepsico_final_submission-2.pdf?sfvrsn=d0608346_6
- https://www.pepsico.com/docs/album/esg-topics-policies/2019-cdp-climate-response.pdf?sfvrsn=feb57a1a_4
- https://www.pepsico.com/docs/album/esg-topics-policies/2018-cdp-climate-response.pdf?sfvrsn=3d7c9d36_6
- https://www.pepsico.com/docs/album/sustainability-report/2019-csr/2019_sustainability_report_summary.pdf</t>
  </si>
  <si>
    <t>Pfizer Inc.</t>
  </si>
  <si>
    <t>20% GHG reduction from 2012 to 2020; 60-80% (75%) reduction from 2000 to 2050
2012 Scope 1 + 2: 2,131,885
2000 Scope 1 + 2: 3,597,487</t>
  </si>
  <si>
    <t>- Reduce greenhouse gas (GHG) emissions by 20% by 2020 compared to a 2012 baseline, which keeps us on the trajectory to reduce our GHG footprint by 60%-80% by 2050 from a 2000 base year</t>
  </si>
  <si>
    <t>- https://pfe-pfizercom-prod.s3.amazonaws.com/responsibility/protecting_environment/Pfizer_2019_Climate_Change.pdf
- https://www.pfizer.com/sites/default/files/investors/financial_reports/annual_reports/2019/our-performance/key-performance-indicators/index.html
- https://www.pfizer.com/sites/default/files/investors/financial_reports/annual_reports/2019/assets/pfizer-2019-annual-review.pdf
- https://pfe-pfizercom-d8-prod.s3.amazonaws.com/2018_Pfizer_KPI_Dashboard.pdf
- https://www.cdp.net/en/formatted_responses/responses?campaign_id=66216852&amp;discloser_id=825472&amp;locale=en&amp;organization_name=Pfizer+Inc.&amp;organization_number=14683&amp;program=Investor&amp;project_year=2019&amp;redirect=https%3A%2F%2Fcdp.credit360.com%2Fsurveys%2F9hz110bc%2F50007&amp;survey_id=65670419</t>
  </si>
  <si>
    <t>Philip Morris International</t>
  </si>
  <si>
    <t>From 2010 baseline, 30% reduction by 2020, 40% reduction by 2030, and 60% reduction by 2040
2010: Scope 1 - 443,186; Scope 2 - 470,864; Scope 3 - 7,435,000
Carbon neutral by 2030 for Scope 1 + 2 and by 2050 for Scopes 1, 2 + 3</t>
  </si>
  <si>
    <t>- Projects focused on energy-efficient buildings, fuel control in manufacturing, and LED lighting
- Internal carbon price of USD 17 per ton of CO2e in order to allocate capital for the best return in terms of carbon reduction and cost-effectiveness
- Vehicle maintenance, ongoing switch to hybrid and more fuel-effi cient vehicles, and eco-driving behavior
- Work with tobacco farmers to help them reduce their emissions through (1) Supporting the implementation by our suppliers to plant trees in farmers’ communities, and commercial wood lots which are managed sustainably; (2) Improving the fuel effi ciency of flue-curing barns; and (3) Switching from high-carbon or unsustainable fuels, such as coal, to sustainable wood sources and a range of biomass products (wood pellets, agro-pellets, or other agricultural waste products.) 
- Investments in more efficient curing and curing fuel</t>
  </si>
  <si>
    <t>- https://www.pmi.com/resources/docs/default-source/pmi-sustainability/pmi-sustainability-report-2018-low-res.pdf?sfvrsn=cada91b5_4
- https://www.pmi.com/docs/default-source/pmi-sustainability/pmi-sustainability-report-2017.pdf
- https://www.pmi.com/resources/docs/default-source/sustainability-reports-and-publications/pmi-sustainability-report-2018-highlights.pdf?sfvrsn=d4ef95b5_4</t>
  </si>
  <si>
    <t>Procter &amp; Gamble</t>
  </si>
  <si>
    <t>30% Scope 1 + 2 reduction from 2010 to 2020
50% Scope 1 + 2 reduction from 2010 to 2030
2010 Scope 1 + 2: 5422275</t>
  </si>
  <si>
    <t>Yes -  joined the Climate Leadership Council (CLC), which advocates for a Carbon Dividends Program in the US</t>
  </si>
  <si>
    <t>- Reducing the intensity of greenhouse gas emissions (GHG) from our own operations through:
Driving energy efficiency measures throughout our facilities
Transitioning energy sources toward lower/zero carbon alternatives
Driving more energy-efficient modes of transporting finished products
- We will help consumers to reduce their own GHG emissions through the use of our products via:
Product and packaging innovations that enable more efficient consumer product use and energy consumption
Consumer education to reduce GHG emissions such as the benefits of using cold water for machine washing
- Work with partners across our value chain to ensure responsible sourcing of agricultural commodities that are known to be associated with deforestation risks (e.g. palm oil, wood pulp).
- Work with our suppliers to identify meaningful opportunities to reduce our Scope 3 emissions
- Internal Climate Council and Sustainability Leadership Council that meet quarterly to review sustainability initiatives
- Aim to reduce energy by 20% per unit of production by 2020</t>
  </si>
  <si>
    <t>- https://us.pg.com/policies-and-practices/environmental-policies-and-practices/
- https://assets.ctfassets.net/oggad6svuzkv/6mGPEJVwbe0cIe8ywg2IcA/986dee6a8445a56cfdd30f40f99afd02/Climate_change_perspective.pdf
- https://assets.ctfassets.net/oggad6svuzkv/4v6eZmhIcES0Ei4YKI0yWy/3f80032b9b6e9307752fa4b217d85e22/FY_17-18_P_G_Assurance_Statement-ASR_authorized.pdf
- https://downloads.ctfassets.net/oggad6svuzkv/5AXke1Str22EYkYkIyO8QE/c876f5bb05e568aa71e7c1819059c37c/citizenship_report_2019.pdf
- https://downloads.ctfassets.net/oggad6svuzkv/5AXke1Str22EYkYkIyO8QE/c876f5bb05e568aa71e7c1819059c37c/citizenship_report_2019.pdf
- https://downloads.ctfassets.net/oggad6svuzkv/325tJmPxGEWQOgc6eGskKy/b69cb86ada52cfe97e468daadf20b741/2017_Full_Citizenship_Report.pdf
- https://downloads.ctfassets.net/oggad6svuzkv/325tJmPxGEWQOgc6eGskKy/b69cb86ada52cfe97e468daadf20b741/2017_Full_Citizenship_Report.pdf
- https://www.cdp.net/en/formatted_responses/responses?campaign_id=66216852&amp;discloser_id=831392&amp;locale=en&amp;organization_name=Procter+%26+Gamble+Company&amp;organization_number=15132&amp;program=Investor&amp;project_year=2019&amp;redirect=https%3A%2F%2Fcdp.credit360.com%2Fsurveys%2F9hz110bc%2F50695&amp;survey_id=65670419</t>
  </si>
  <si>
    <t>QUALCOMM Inc.</t>
  </si>
  <si>
    <t>30% reduction in Scope 1 + 2 from 2014 to 2025
2014 Scope 1 + 2: 230637</t>
  </si>
  <si>
    <t>- To date, we've reduced our GHG emissions by 17.9 percent, of which 5.8 percent is attributed to the purchase of renewable energy certificates (AP81RECs) and carbon offsets (do offsets and RECs through Natural Capital Partners)
- Own and operate several on-site solar generating systems in San Diego and Bangalore
- Promote the use of electric vehicles (EVs) by installing dozens of new EV charging stations at our campuses in San
Diego and Santa Clara, and give employees discounted electric rates at our owned Level 2 EV charging stations and free charging at Level 1 outlets in our garages
- Combined heat and power plants enable us to self-generate electricity to meet our site needs, while efficiently utilizing the waste heat to provide cooling to our headquarters’ buildings
-Scope 3: employee business air travel, business car rental and employee commuting)</t>
  </si>
  <si>
    <t>- https://www.qualcomm.com/media/documents/files/2019-qualcomm-sustainability-report.pdf
- https://www.qualcomm.com/media/documents/files/2017-qualcomm-sustainability-report.pdf
- https://www.cdp.net/en/formatted_responses/responses?campaign_id=66216852&amp;discloser_id=832614&amp;locale=en&amp;organization_name=QUALCOMM+Inc.&amp;organization_number=15419&amp;program=Investor&amp;project_year=2019&amp;redirect=https%3A%2F%2Fcdp.credit360.com%2Fsurveys%2F9hz110bc%2F49086&amp;survey_id=65670419</t>
  </si>
  <si>
    <t>Raytheon Technologies</t>
  </si>
  <si>
    <t>None beyond 2020 goal of reducing Scope 1 + 2 emissions by 12% from 2015 baseline</t>
  </si>
  <si>
    <t>- Upgraded/optimized HVAC systems, installed energy-effi cient measures in our data centers and server rooms, and installed LED lighting while making other changes to building infrastructure and equipment
- We also monitor and track developments in alternative energy technologies, low-carbon energy solutions and other techniques for reducing greenhouse gas emissions</t>
  </si>
  <si>
    <t>Poor reporting, no carbon emissions reduction goals, and minimal initiatives beyond some basic energy efficiency projects</t>
  </si>
  <si>
    <t>- https://investors.rtx.com/static-files/f8a4c491-7745-4e82-be4e-807d6b0e995f
- https://www.raytheon.com/sites/default/files/2019-05/raytheon-crr-2018.pdf
- https://sdd-pdf.s3.amazonaws.com/report-pdfs/2017/60b417e473a9ae1f103146ff1b3954a9.pdf?AWSAccessKeyId=AKIAJZQ4KYD2D35QKCDA&amp;Expires=1594924661&amp;Signature=SguKZk1%2FdQ3x1HRRJy0UTofONhs%3D</t>
  </si>
  <si>
    <t>Salesforce</t>
  </si>
  <si>
    <t>Reduce absolute Scope 1 and Scope 2 emissions by 50% from 2018 to 2030, and reduce Scope 3 emissions from fuel and energy related activities by 50% from 2018 to 2030</t>
  </si>
  <si>
    <t>- https://www.salesforce.com/content/dam/web/en_us/www/documents/white-papers/sustainability-FY20-stakeholder-impact-report.pdf
- https://www.salesforce.com/content/dam/web/en_us/www/documents/reports/sustainability-FY19-stakeholder-impact-report.pdf
- https://www.salesforce.com/content/dam/web/en_us/www/documents/reports/sustainability-FY18-stakeholder-impact-report.pdf
- https://www.salesforce.com/content/dam/web/en_us/www/documents/datasheets/sfdc-fy17-stakeholder-impact.pdf</t>
  </si>
  <si>
    <t>Schlumberger Ltd.</t>
  </si>
  <si>
    <t>- Sells CCUS services to clients</t>
  </si>
  <si>
    <t>- https://investorcenter.slb.com/news-releases/news-release-details/schlumberger-announces-full-year-and-fourth-quarter-2019-results#:~:text=Schlumberger%20CEO%20Olivier%20Le%20Peuch,achievement%20under%20these%20market%20conditions.
- https://www.slb.com/globalstewardship/pdf/Schlumberger_GlobalStewardship_2018.pdf
- https://www.slb.com/globalstewardship/pdf/Schlumberger_GlobalStewardship_2016.pdf
- https://www.slb.com/newsroom/press-release/2019/pr-2019-1219-slb-gs-sbti</t>
  </si>
  <si>
    <t>Simon Property Group Inc.</t>
  </si>
  <si>
    <t>None stated</t>
  </si>
  <si>
    <t>-  Proprietary sustainability benchmarking tool for enclosed centers that allow us to better compare properties to improve the shopping center’s overall energy use
- Upgraded conventional lighting such as fluorescent and metal halide to energy-efficient LED lighting at over 200 properties over the last few years
- Investing in intelligent energy pilots of sensor-enabled LEDs in partnership with industry-leading companies such as GE and Acuity. Simon will further explore opportunities to install smart networks and sensors to optimize LED lighting both indoors and out
- Continuously assesses our portfolio to upgrade to more efficient equipment, such as Central Plant, Energy Management Systems, and HVAC replacements. Energy audits and retrocommissioning are the foundation of our energy efficiency programs
- Installing 3MW solar photovoltaic arrays at three regional malls and three Premium Outlets; completed roof-top solar and battery storage installations
- Expanding electric vehicle charging stations</t>
  </si>
  <si>
    <t>- https://simon-malls.cld.bz/Simon-Sustainability-Report-2019
- https://simon-malls.cld.bz/Simon-Sustainability-Report-2018
- https://simon-malls.cld.bz/Simon-Sustainability-Report-2016
- https://investors.simon.com/news-releases/news-release-details/simon-launches-bold-new-vision-sustainability</t>
  </si>
  <si>
    <t>Southern Company</t>
  </si>
  <si>
    <t>50% emissions reduction from 2007 to 2030 (intermediary goal on path to net zero in 2050)
2007 Scopes 1 + 2: 156650362.8</t>
  </si>
  <si>
    <t>- Growing our investment in renewable energy, modernizing the grid to optimize technology advancements, increasing the use of natural gas, building new nuclear generating units, continuing our industry-leading, robust research and development (R&amp;D) efforts, and investing in energy efficiency for savings on both sides of the meter
- Invests in the research, development and deployment of new technologies, such as carbon capture, utilization and storage
- Policy engagement but focus on environmental policy unclear</t>
  </si>
  <si>
    <t>Starbucks Corp.</t>
  </si>
  <si>
    <t>50% reduction in Scope 1, 2 + 3 from 2020 to 2030</t>
  </si>
  <si>
    <t>No target date</t>
  </si>
  <si>
    <t>- At the farm level, we have worked with Conservation International to include climate-smart agricultural practices as part of Coffee and Farmer Equity (C.A.F.E.) practices, our ethical Coffee buying guidelines
- Through the purchase of Renewable Energy Credits (RECs) we are able to offset 62% of our store emissions globally
- Expanding plant-based and environmentally friendly menu options (shifting consumers away from dairy to alternative milks)
- Shifting from single-use to reusable packaging
- Investing in innovative agricultural, water conservation and reforestation practices
- Looking for ways to better manage waste (including food waste) in stores and in communities
- Developing more eco-friendly operations, from stores to supply chain to manufacturing</t>
  </si>
  <si>
    <t>- https://www.starbucks.com/responsibility/environment/climate-change
- https://stories.starbucks.com/uploads/2020/01/Starbucks-Environmental-Baseline-Report.pdf
- https://stories.starbucks.com/stories/2020/5-things-to-know-about-starbucks-new-environmental-sustainability-commitment/
- https://fortune.com/2020/01/21/starbucks-carbon-footprint-dairy/</t>
  </si>
  <si>
    <t>Target Corp.</t>
  </si>
  <si>
    <t>30% reduction in Scope 1, 2 + 3 emissions from 2017 to 2030</t>
  </si>
  <si>
    <t>2030
60% by 2025</t>
  </si>
  <si>
    <t>- Committing 80 percent of our suppliers by spend to set science-based reduction targets on their Scope 1 and 2 emissions by 2023
- Partnership with the Apparel Impact Institute’s Clean by Design program, which is reducing the environmental impact of textile mills
- Plan to leverage the Vietnam Improvement Program in partnership with the International Finance Corporation as it increases factories’ energy and water efficiency
- Launching an electric vehicle programs
- Converting to LED lights
- Adopting renewable energy onsite and through PPAs</t>
  </si>
  <si>
    <t>- https://corporate.target.com/annual-reports/2019
- https://corporate.target.com/_media/TargetCorp/csr/pdf/2019_corporate_responsibility_report.pdf
- https://corporate.target.com/_media/targetcorp/csr/pdf/2016-corporate-social-responsibility-report.pdf
- https://corporate.target.com/_media/TargetCorp/csr/pdf/2018_corporate_responsibility_report.pdf
- https://corporate.target.com/_media/TargetCorp/csr/pdf/2015-Corporate-Social-Responsibility-Report.pdf</t>
  </si>
  <si>
    <t>Texas Instruments</t>
  </si>
  <si>
    <t>None beyond 15% Scope 1 + 2 reduction from 2015 to 2020</t>
  </si>
  <si>
    <t>- Reducing energy use through improved building energy efficiency
- Reducing PFCs by using alternative gases and reusing chemicals
- Encouraging employees to use alternative forms of transportation to commute to work
- - but to PACs that support their "competitiveness," not environmental causes</t>
  </si>
  <si>
    <t>- https://www.ti.com/lit/ml/sszo049/sszo049.pdf?ts=1594900881760&amp;ref_url=https%253A%252F%252Fwww.google.com%252F
- https://www.ti.com/lit/ml/sszo011/sszo011.pdf?ts=1594900884309&amp;ref_url=https%253A%252F%252Fwww.google.com%252F</t>
  </si>
  <si>
    <t>The Bank of New York Mellon</t>
  </si>
  <si>
    <t>-Reduce GHG emissions by 20% by 2025 from a 2018 base year
- maintain carbon neutrality commitment through 2025
-Offsets purchased for Scope 3 emissions
-Purchase of Renewable energy certifcates to offset non-renewable energy use</t>
  </si>
  <si>
    <t>The Walt Disney Company</t>
  </si>
  <si>
    <t>By 2020, reduce net emissions by 50% compared to a 2012 baseline
2012 Scope 1 + 2: 1742927</t>
  </si>
  <si>
    <t>- In 2019, we brought online a new 270-acre, 50 megawatt solar facility at Walt Disney World, built in collaboration with the Reedy Creek Improvement District and Origis Energy USA. This facility is anticipated to generate enough power from the sun to operate two of our four theme parks in Orlando annually
- Operate our bus fleet at Walt Disney World using 50% renewable diesel fuel, while our film and TV productions are piloting electric generators on set
- Commuter assistance program for employees
- The Grand Central Creative Campus expansion in Glendale, CA received a Leadership in Energy and Environmental Design (LEED) Platinum certification. The 460-kilowatt solar photovoltaic installation on the parking garage provides 12% of the energy use for the new building</t>
  </si>
  <si>
    <t>- https://thewaltdisneycompany.com/environmental-sustainability/
- https://www.cdp.net/en/responses?page=2&amp;per_page=5&amp;queries%5Bname%5D=disney&amp;sort_by=project_year&amp;sort_dir=desc&amp;utf8=%E2%9C%93
- https://www.cdp.net/en/formatted_responses/responses?campaign_id=66216852&amp;discloser_id=827642&amp;locale=en&amp;organization_name=Walt+Disney+Company&amp;organization_number=20384&amp;program=Investor&amp;project_year=2019&amp;redirect=https%3A%2F%2Fcdp.credit360.com%2Fsurveys%2F9hz110bc%2F55701&amp;survey_id=65670419</t>
  </si>
  <si>
    <t>Thermo Fisher Scientific</t>
  </si>
  <si>
    <t>- Some investments in renewable energy projects like solar
- Some investments to make products that can be reused to reduce single use plastics</t>
  </si>
  <si>
    <t>- https://www.thermofisher.com/content/dam/LifeTech/global/CSR/2018%20CSR%20Report.pdf
- https://www.thermofisher.com/us/en/home/about-us/corporate-social-responsibility/environment/performance.html
- https://www.thermofisher.com/content/dam/LifeTech/Documents/PDFs/2018_Thermo_Fisher_Scientific_CDP_Report_2017reportingperiod.pdf</t>
  </si>
  <si>
    <t>Union Pacific Corp</t>
  </si>
  <si>
    <t>N - partnered with environmnetal NGOs who lobby but not actively engaged in policy work</t>
  </si>
  <si>
    <t>- Committed to investing in technology that helps us identify fuel saving opportunities and increase locomotive productivity. For example, new software helps us predict potential locomotive failures
- Building longer trains, meaning fewer locomotives haul the same amount of freight, thus reducing emissions
- Purchased nearly 14,000 square yards of carbon neutral flooring, resulting in the retirement of 120 metric tons of carbon dioxide
- Scope 3 business travel</t>
  </si>
  <si>
    <t>- https://www.up.com/cs/groups/public/@uprr/@corprel/documents/up_pdf_nativedocs/pdf_up_2019_building_america_r.pdf
- https://www.up.com/cs/groups/public/@uprr/documents/up_pdf_nativedocs/pdf_up_build_america_rep_2017.pdf</t>
  </si>
  <si>
    <t>United Health Group</t>
  </si>
  <si>
    <t>Healthcare Plans</t>
  </si>
  <si>
    <t>From 2017 baseline, 3% Scope 1 + 2 reduction by 2023</t>
  </si>
  <si>
    <t xml:space="preserve">- Goal is to decrease our environmental impact through energy conservation and renewable energy; incorporate energy efficiency and high-performance design during construction practices; and invest annually in energy efficiency projects to reduce carbon emissions
- Completed 20 funded sustainability projects including interior and exterior lighting upgrades and water reduction projects
- Maintained business operations in LEED-certified facilities (Leadership in Energy &amp; Environmental Design) totaling 2.1 million square feet
</t>
  </si>
  <si>
    <t>- https://www.unitedhealthgroup.com/viewer.html?file=%2Fcontent%2Fdam%2FUHG%2FPDF%2FAbout%2FUNH-Environmental-Impact-Statement.pdf
- https://www.unitedhealthgroup.com/what-we-do/performance-tables.html</t>
  </si>
  <si>
    <t>United Parcel Service</t>
  </si>
  <si>
    <t>From 2015 baseline, 12% reduction in Scope 1 + 2 by 2025</t>
  </si>
  <si>
    <t>Y - participate in public policy forums, where we advocate for prudent innovation and investment
in new technologies and infrastructure development</t>
  </si>
  <si>
    <t>- Utilizing operational improvements through technology to create overall network and delivery efficiencies beyond reducing miles/fuel, (e.g., higher trailer utilization, decreased sortation time, increased safety, reduced errors/duplication of work, higher asset utilization/less waste, etc.) that reduce GHG footprint;
- Expanding our fleet of alternative fuel and advanced technology vehicles, known as our rolling laboratory, in order to reduce the proportion of conventional fuels we use;
- Reducing conventional energy use and increasing the use of renewable energy in our facilities and alternative fuel in our fleet;
- Providing customers with services that help them reduce their environmental impact; and
- Helping increase supplier awareness about GHG emissions and how to reduce them</t>
  </si>
  <si>
    <t>- https://sustainability.ups.com/media/2018-gri-index.pdf
- https://sustainability.ups.com/media/GRI-Index-2017.pdf</t>
  </si>
  <si>
    <t>US Bancorp</t>
  </si>
  <si>
    <t>1968?</t>
  </si>
  <si>
    <t>From 2014 baseline, 40% reduction by 2029 and 60% reduction by 2044
2014 Scope 1 + 2: 415211</t>
  </si>
  <si>
    <t>- In 2019 alone, U.S. Bank committed more than $1.2 billion to finance over 2.2 gigawatts of renewable energy projects throughout the U.S.
- To date, we have 26 LEED certified branches and are continuing to follow sustainable principles in the design of our new facilities with plans to maintain this focus in the future
- Partnerships with CERES, GRID Alternatives, and Earthwatch Ignite Program -- environmental NGOs -- to better understand environmental issues and identify solutions
- We will continue to evaluate opportunities to invest in products and practices that reduce our dependence on energy in areas such as facilities, equipment, operations and business travel</t>
  </si>
  <si>
    <t>- https://www.usbank.com/about-us-bank/community/sustainability.html
- https://www.usbank.com/about-us-bank/community/sustainability/environment-initiatives.html
- https://www.usbank.com/dam/documents/pdf/about-us-bank/community/sustainability/USBank-2019-CDP.pdf
- https://www.usbank.com/dam/documents/pdf/about-us-bank/community/sustainability/USBank-2017-CDP-Report_v2.pdf
- https://www.usbank.com/dam/documents/pdf/about-us-bank/community/sustainability/Environmental-Responsibility-Policy-2019.pdf
- https://www.cdp.net/en/formatted_responses/responses?campaign_id=66216852&amp;discloser_id=824883&amp;locale=en&amp;organization_name=U.S.+Bancorp&amp;organization_number=19593&amp;program=Investor&amp;project_year=2019&amp;redirect=https%3A%2F%2Fcdp.credit360.com%2Fsurveys%2F9hz110bc%2F54190&amp;survey_id=65670419</t>
  </si>
  <si>
    <t>Verizon Communications</t>
  </si>
  <si>
    <t>50% by 2025</t>
  </si>
  <si>
    <t>- A 28% Carbon Intensity reduction since 2016 with the goal set for a 50% carbon intensity reduction by 2025
- A green energy initiative which has offset 20,000 metric tons of CO2
- A 2025 commitment to source renewable energy equivalent to 50% of Verizon's total electricity usage
- Carbon abatement will enable customers to also reduce their carbon footprint
- 278 ENERGY STAR-certified buildings and 22 onsite renewable energy installations
- 28,000 Green Team employees in 44 countries
- Two million trees planted by 2030 with more than 700,000 planted already</t>
  </si>
  <si>
    <t>Scope 1 and 2 emissions</t>
  </si>
  <si>
    <t>- https://www.verizon.com/about/news/verizon-goes-carbon-neutral-2035
- https://www.verizon.com/about/sites/default/files/corporate-responsibility-report/2018/environment/emissions.html
- https://www.verizon.com/about/sites/default/files/esg-report/2019/environmental/our-emissions-by-scope.html</t>
  </si>
  <si>
    <t>Visa Inc.</t>
  </si>
  <si>
    <t>- Green building design (64% LEED certified)
- Energy efficiency (lighting upgrades and motion sensors)
- Efficient electronics policy that mandates at least 90 percent of new electronics in our largest corporate campus offices meet either ENERGY STAR or EPACT certification standards
- Progress towards our commitment to purchase 100 percent renewable electricity
- Use mechanical cooling
- Reduce refrigerant use
- Decomission underutilized servers
- Commuter benefits and other incentives to encourage sustainable employee behavior</t>
  </si>
  <si>
    <t>Included purchased goods and services and employee commuting for first time in 2018 Scope 3 reporting</t>
  </si>
  <si>
    <t>- https://s1.q4cdn.com/050606653/files/doc_financials/2019/q4/Visa-Inc.-Q4-2019-Financial-Results.pdf
- https://usa.visa.com/dam/VCOM/download/corporate-responsibility/visa-2018-corporate-responsibility-report.pdf
- https://usa.visa.com/dam/VCOM/download/corporate-responsibility/visa-2017-corporate-responsibility-report.pdf</t>
  </si>
  <si>
    <t>Walgreens Boots Alliance</t>
  </si>
  <si>
    <t xml:space="preserve"> </t>
  </si>
  <si>
    <t>- Invest in energy efficient lighting, heating, ventilation and air conditioning (HVAC) units and refrigerators, engage and educate employees around energy consumption, Invest in photovoltaic systems, source electricity from low-carbon generation sources, use alternative energy management programs, contract to purchase electricity generated from renewable origins in the UK and the Republic of Ireland and interact with utilities toward programmed demand-response curtailment of energy use</t>
  </si>
  <si>
    <t>- https://www.walgreensbootsalliance.com/corporate-social-responsibility/resource-library
- https://www.walgreensbootsalliance.com/corporate-social-responsibility/csr-report-archive</t>
  </si>
  <si>
    <t>Walmart</t>
  </si>
  <si>
    <t>18% reduction from 2015 to 2025</t>
  </si>
  <si>
    <t>Membership and participation but seemingly little advocacy - Renewable Energy Buyers Alliance, Paris and Bonn Negotiations, We Are Still In</t>
  </si>
  <si>
    <t>- Under Project GigatonTM, aim to work with suppliers to avoid 1 billion metric tons of greenhouse gases from the global value chain by 2030 (Scope 3) (1,000 suppliers had signed on by 2019) - engages suppliers in setting targets and pursuing initiatives to avoid emissions in any of six areas where there are opportunities to do so: energy use, sustainable agriculture, waste, deforestation, packaging and product use
- 50% renewable energy by 2025
- In FY2017, Walmart and the Walmart Foundation pledged $25 million in cash and in-kind donations to support disaster preparedness and relief through 2020
- Improving the performance of our refrigeration systems
- Maximizing the sustainability of our fleet</t>
  </si>
  <si>
    <t>First retailer to announce a science-based target to reduce greenhouse gases in alignment with the Paris Agreement
Has not reported emissions for 2018 or 2019</t>
  </si>
  <si>
    <t>- https://corporate.walmart.com/media-library/document/2019-environmental-social-governance-report/_proxyDocument?id=0000016c-20b5-d46a-afff-f5bdafd30000
- https://ilsr.org/wp-content/uploads/2012/04/topten-walmartsustainability.pdf</t>
  </si>
  <si>
    <t>Wells Fargo</t>
  </si>
  <si>
    <t>45% + reduction from 2008 Scope 1, 2 + business air travel emissions (2008 total: 1,953,466)</t>
  </si>
  <si>
    <t>N - renewable energy RECs though</t>
  </si>
  <si>
    <t>- Continue to purchase renewable electricity to meet 100% of our global operations needs (purchased RECs)
- Transition to long-term agreements that fund new sources of green power by 2020
- Sustain or increase our 45% reduction in greenhouse gas emissions from 2008 levels
- Reduce energy consumption 40% (2008 to 2020)
- Achieve LEED® status for 35% of buildings (by square footage in leased and owned buildings)
- Provide $200 billion in financing to sustainable businesses and projects (2018-2030) with more than 50 percent focused on clean technology and renewable energy transactions that directly support the transition to a low-carbon economy</t>
  </si>
  <si>
    <t>- https://www08.wellsfargomedia.com/assets/pdf/about/corporate-responsibility/gri-environmental-indicators.pdf
- https://www08.wellsfargomedia.com/assets/pdf/about/corporate-responsibility/verification-statement.pdf
- https://www08.wellsfargomedia.com/assets/pdf/about/corporate-responsibility/climate-change-issue-brief.pdf
- https://www08.wellsfargomedia.com/assets/pdf/about/corporate-responsibility/climate-change-information-request.pdf
- https://www08.wellsfargomedia.com/assets/pdf/about/corporate-responsibility/2015-social-responsibility-report.pdf</t>
  </si>
  <si>
    <t>AIG</t>
  </si>
  <si>
    <t>CVS</t>
  </si>
  <si>
    <t>GE</t>
  </si>
  <si>
    <t>GM</t>
  </si>
  <si>
    <t>UPS</t>
  </si>
  <si>
    <t>Berkshire Hathaway</t>
  </si>
  <si>
    <t>BlackRock</t>
  </si>
  <si>
    <t>Charter Communications</t>
  </si>
  <si>
    <t>Gilead Sciences</t>
  </si>
  <si>
    <t>Kinder Morgan</t>
  </si>
  <si>
    <t>Nike</t>
  </si>
  <si>
    <t>NR</t>
  </si>
  <si>
    <t>Apple</t>
  </si>
  <si>
    <t>Facebook</t>
  </si>
  <si>
    <t>AT&amp;T</t>
  </si>
  <si>
    <t>PepsiCo</t>
  </si>
  <si>
    <t>Starbucks</t>
  </si>
  <si>
    <t>Cisco</t>
  </si>
  <si>
    <t>Amazon</t>
  </si>
  <si>
    <t>- Carbon neutral targets not company wide, only for wind, solar division operations. Now targeting carbon neutrality for all operations
- Engaged in policy, but vague on how or through what channels</t>
  </si>
  <si>
    <t>- Scope 2 emissions are location-based for 2017 and 2016 because market-based data was not provided</t>
  </si>
  <si>
    <t>- All Scope 2 figures are location-based because market-based data was not provided</t>
  </si>
  <si>
    <t>- Scope 3 only includes business travel for 2016 and 2015</t>
  </si>
  <si>
    <t>-reduce scope 1 and 2 emissions 65% by 2025 from our 2016 baseline (20% of total emissions 1257636). To date, we have cut these emissions by more than 19%.
- Currently at 26% RE</t>
  </si>
  <si>
    <t>American International Group (AIG)</t>
  </si>
  <si>
    <t>- Scope 1 is omitted for 2015-2018 because the figures were reported for UK operations only</t>
  </si>
  <si>
    <t>Per third source, BofA does not calculate the Scope 3 emissions of its investments, which is a notable omission of their culpability in bankrolling the fossil fuel industry
"Carbon neutral" refers to their Scope 1 and 2 emissions</t>
  </si>
  <si>
    <t>Scope 3 includes business travel only</t>
  </si>
  <si>
    <t>-Boeing is working to achieve its environmental goals by 2025, which include reducing greenhouse gas emissions by 25%
- data available for relative decline in emissions, but not actual GHG emissions '
- partnership with suppliers for sustainable manufacture, but no concrete targets for what that means
- Reduce carbon emissions by 50% from 2017 by 2050</t>
  </si>
  <si>
    <t>Scope 3 emissions are non-exhaustive</t>
  </si>
  <si>
    <t>Majority of Scope 3 emissions come from 'use of sold products'</t>
  </si>
  <si>
    <t>Calculates Scope 3 emissions from investments in select years</t>
  </si>
  <si>
    <t>-Vague infomration about sustainability targets around renewables use and fleet emissions. No scope 1/2/3 information available or SBT</t>
  </si>
  <si>
    <t>- Net Zero includes Scopes 1 and 2</t>
  </si>
  <si>
    <t>- Country specific targets, not global effort for carbon neutrality
- Reports GHG emissions for Scope 1 and 2 but normalized by sales figures. Does not report absolute emissions</t>
  </si>
  <si>
    <t>- Scope 2 emissions are location-based</t>
  </si>
  <si>
    <t>- Scope 3 emissions are non-exhaustive</t>
  </si>
  <si>
    <t>Scope 3 is non-exhaustive</t>
  </si>
  <si>
    <t>Scope 3 is non-exhaustive
Scope 2 is location-based</t>
  </si>
  <si>
    <t>Seems like somewhat of a laggard in terms of carbon reduction (not very ambitious goals or initiatives) but CDP has them on their A list (maybe that's just for their diclosure)
Scope 2 is location-based</t>
  </si>
  <si>
    <t>Scope 3 non-exhaustive</t>
  </si>
  <si>
    <t>2018 Scope 1 + 2 were not measured so 2019 data was used as a proxy</t>
  </si>
  <si>
    <t>- http://www.nexteraenergy.com/sustainability/overview/about-this-report/by-the-numbers.html</t>
  </si>
  <si>
    <t>Used CO2e multipliers to convert CO2 and NO2 metrics into total CO2e</t>
  </si>
  <si>
    <t>Net zero as of FY18 through carbon offsets (including Scope 3)
Scope 3 only includes business travel and employee commuting</t>
  </si>
  <si>
    <t>- Avoid emissions by siting facilities on clean energy grids.
- Reduce ongoing projects throughout our operations with investments in green office spaces and improvements to data center efficiency.
- Mitigate and offset electricity consumption for years to come by signing virtual power purchase agreements.
- Commits that suppliers representing 60% of its scope 3 emissions, covering all upstream emission categories, will set science-based targets by 2024</t>
  </si>
  <si>
    <t>- https://s2.q4cdn.com/471677839/files/doc_financials/2019/annual/SO_2019_AR_Final.pdf
- https://www.southerncompany.com/content/dam/southern-company/pdf/corpresponsibility/The-Southern-Company-2018-CDP-Climate-Change-response.pdf
- https://www.southerncompany.com/content/dam/southern-company/pdf/corpresponsibility/CDP-Climate-Disclosure-2019.pdf
- https://www.southerncompany.com/corporate-responsibility/environment/air-and-climate.html
- https://www.southerncompany.com/content/dam/southern-company/pdf/corpresponsibility/2017_Corporate_Responsibility_Report.pdf
- https://www.southerncompany.com/content/dam/southern-company/pdf/reports/CarbonDisclosureReport2016.pdf
- https://www.cdp.net/en/formatted_responses/responses?campaign_id=66216852&amp;discloser_id=831071&amp;locale=en&amp;organization_name=The+Southern+Company&amp;organization_number=18951&amp;program=Investor&amp;project_year=2019&amp;redirect=https%3A%2F%2Fcdp.credit360.com%2Fsurveys%2F9hz110bc%2F54074&amp;survey_id=65670419
- https://www.southerncompany.com/content/dam/southern-company/pdf/corpresponsibility/CDP-Climate-Disclosure-2020.pdf</t>
  </si>
  <si>
    <t>Shorthand Company Name</t>
  </si>
  <si>
    <t>Netflix</t>
  </si>
  <si>
    <t>Nextera Energy</t>
  </si>
  <si>
    <t>Dow</t>
  </si>
  <si>
    <t>Union Pacific</t>
  </si>
  <si>
    <t>Verizon</t>
  </si>
  <si>
    <t>Intel</t>
  </si>
  <si>
    <t>Target</t>
  </si>
  <si>
    <t>Schlumberger</t>
  </si>
  <si>
    <t>Honeywell</t>
  </si>
  <si>
    <t>Caterpillar</t>
  </si>
  <si>
    <t>Mondelez</t>
  </si>
  <si>
    <t>Raytheon</t>
  </si>
  <si>
    <t>Kraft Heinz</t>
  </si>
  <si>
    <t>Pfizer</t>
  </si>
  <si>
    <t>Thermo Fisher</t>
  </si>
  <si>
    <t>Citigroup</t>
  </si>
  <si>
    <t>AbbVie</t>
  </si>
  <si>
    <t>Philip Morris</t>
  </si>
  <si>
    <t>Amgen</t>
  </si>
  <si>
    <t>Simon Property Group</t>
  </si>
  <si>
    <t>QUALCOMM</t>
  </si>
  <si>
    <t>Allstate</t>
  </si>
  <si>
    <t>Biogen</t>
  </si>
  <si>
    <t>Booking Holdings</t>
  </si>
  <si>
    <t>Visa</t>
  </si>
  <si>
    <t>Adobe</t>
  </si>
  <si>
    <t>Goldman Sachs</t>
  </si>
  <si>
    <t>MetLife</t>
  </si>
  <si>
    <t>Capital One</t>
  </si>
  <si>
    <t>MasterCard</t>
  </si>
  <si>
    <t xml:space="preserve">Microsoft </t>
  </si>
  <si>
    <t xml:space="preserve">Merck </t>
  </si>
  <si>
    <t xml:space="preserve">IBM </t>
  </si>
  <si>
    <t xml:space="preserve">Lockheed Martin </t>
  </si>
  <si>
    <t xml:space="preserve">JPMorgan Chase </t>
  </si>
  <si>
    <t xml:space="preserve">McDonald's </t>
  </si>
  <si>
    <t>Altria</t>
  </si>
  <si>
    <t>Ford</t>
  </si>
  <si>
    <t>Lowe's</t>
  </si>
  <si>
    <t>Coca Cola</t>
  </si>
  <si>
    <t>P&amp;G</t>
  </si>
  <si>
    <t>Walgreens</t>
  </si>
  <si>
    <t>Disney</t>
  </si>
  <si>
    <t>J&amp;J</t>
  </si>
  <si>
    <t>Alphabet / Google</t>
  </si>
  <si>
    <t>Bank of New York Mellon</t>
  </si>
  <si>
    <t>Modifications</t>
  </si>
  <si>
    <t>No Net 0 goal found</t>
  </si>
  <si>
    <t>no_science_based</t>
  </si>
  <si>
    <t>science_based</t>
  </si>
  <si>
    <t>total</t>
  </si>
  <si>
    <t>net_0</t>
  </si>
  <si>
    <t>no_net_0</t>
  </si>
  <si>
    <t>re100</t>
  </si>
  <si>
    <t>no_re100</t>
  </si>
  <si>
    <t>No RE100 commitent</t>
  </si>
  <si>
    <t>Ctrl1</t>
  </si>
  <si>
    <t>Ctrl2</t>
  </si>
  <si>
    <t>no_scope3</t>
  </si>
  <si>
    <t>scope_3</t>
  </si>
  <si>
    <t>Added Adbobe scope 3 - 574034 in 2018</t>
  </si>
  <si>
    <t>Updated scope3 in 2018</t>
  </si>
  <si>
    <t>Ctrl3</t>
  </si>
  <si>
    <t>TOTAL</t>
  </si>
  <si>
    <t>Column1</t>
  </si>
  <si>
    <t>Evolution vs. LY</t>
  </si>
  <si>
    <t>Net earnings post carbon price @85/t</t>
  </si>
  <si>
    <t>Carbon costs in % revenue</t>
  </si>
  <si>
    <t>Carbon costs ($/t)</t>
  </si>
  <si>
    <t>Threshold for performance (in % revenue)</t>
  </si>
  <si>
    <t>under_perf</t>
  </si>
  <si>
    <t>over_perf</t>
  </si>
  <si>
    <t>Under_Performance</t>
  </si>
  <si>
    <t>%under_perf</t>
  </si>
  <si>
    <t>ISIN</t>
  </si>
  <si>
    <t>US00724F1012</t>
  </si>
  <si>
    <t>US09062X1037</t>
  </si>
  <si>
    <t>US17275R1023</t>
  </si>
  <si>
    <t>US1941621039</t>
  </si>
  <si>
    <t>US1266501006</t>
  </si>
  <si>
    <t>US59156R1086</t>
  </si>
  <si>
    <t>US7134481081</t>
  </si>
  <si>
    <t>US7170811035</t>
  </si>
  <si>
    <t>US7181721090</t>
  </si>
  <si>
    <t>US7427181091</t>
  </si>
  <si>
    <t>US9311421039</t>
  </si>
  <si>
    <t>US6541061031</t>
  </si>
  <si>
    <t>US87612E1064</t>
  </si>
  <si>
    <t>US5801351017</t>
  </si>
  <si>
    <t>US02209S1033</t>
  </si>
  <si>
    <t>US57636Q1040</t>
  </si>
  <si>
    <t>US5007541064</t>
  </si>
  <si>
    <t>IE00B4BNMY34</t>
  </si>
  <si>
    <t>US70450Y1038</t>
  </si>
  <si>
    <t>US00206R1023</t>
  </si>
  <si>
    <t>US92343V1044</t>
  </si>
  <si>
    <t>US5949181045</t>
  </si>
  <si>
    <t>US1912161007</t>
  </si>
  <si>
    <t>US8552441094</t>
  </si>
  <si>
    <t>US00287Y1091</t>
  </si>
  <si>
    <t>US0028241000</t>
  </si>
  <si>
    <t>US0200021014</t>
  </si>
  <si>
    <t>US02079K3059</t>
  </si>
  <si>
    <t>US0231351067</t>
  </si>
  <si>
    <t>US0311621009</t>
  </si>
  <si>
    <t>US03027X1000</t>
  </si>
  <si>
    <t>US0268747849</t>
  </si>
  <si>
    <t>US0258161092</t>
  </si>
  <si>
    <t>US0378331005</t>
  </si>
  <si>
    <t>US0605051046</t>
  </si>
  <si>
    <t>US0846707026</t>
  </si>
  <si>
    <t>US09247X1019</t>
  </si>
  <si>
    <t>US0970231058</t>
  </si>
  <si>
    <t>US1667641005</t>
  </si>
  <si>
    <t>US09857L1089</t>
  </si>
  <si>
    <t>US1101221083</t>
  </si>
  <si>
    <t>US14040H1059</t>
  </si>
  <si>
    <t>US1491231015</t>
  </si>
  <si>
    <t>US16119P1084</t>
  </si>
  <si>
    <t>company_id</t>
  </si>
  <si>
    <t>Activities</t>
  </si>
  <si>
    <t>Sectors</t>
  </si>
  <si>
    <t>Industries</t>
  </si>
  <si>
    <t>Primary activity</t>
  </si>
  <si>
    <t>Primary sector</t>
  </si>
  <si>
    <t>Primary industry</t>
  </si>
  <si>
    <t>Tickers</t>
  </si>
  <si>
    <t>short_name</t>
  </si>
  <si>
    <t>company_name</t>
  </si>
  <si>
    <t>Sector1</t>
  </si>
  <si>
    <t>Country</t>
  </si>
  <si>
    <t>United States of America</t>
  </si>
  <si>
    <t xml:space="preserve"> Benchmark, CCGR1800, Continuity Climate Change, FTSE All-World, Global 500, MSCI ACWI, S&amp;P 500</t>
  </si>
  <si>
    <t xml:space="preserve"> Health care facilities, Health care services, Health care supplies, Medical equipment, Other food processing, Pharmaceuticals</t>
  </si>
  <si>
    <t xml:space="preserve"> Biotech &amp; pharma, Food &amp; beverage processing, Health care provision, Medical equipment &amp; supplies, Other services</t>
  </si>
  <si>
    <t>Medical equipment</t>
  </si>
  <si>
    <t>Medical equipment &amp; supplies</t>
  </si>
  <si>
    <t>Biotech, health care &amp; pharma</t>
  </si>
  <si>
    <t>ABT US</t>
  </si>
  <si>
    <t xml:space="preserve"> US0028241000</t>
  </si>
  <si>
    <t xml:space="preserve"> ABT US</t>
  </si>
  <si>
    <t xml:space="preserve"> Benchmark, CCGR1800, Continuity Climate Change, Environmental, FTSE All-World, Global 500, MSCI ACWI, S&amp;P 500</t>
  </si>
  <si>
    <t xml:space="preserve"> Electronic components, Fabricated metal components, Health care supplies, Paper products, Specialty chemicals</t>
  </si>
  <si>
    <t xml:space="preserve"> Chemicals, Electrical &amp; electronic equipment, Medical equipment &amp; supplies, Metal products manufacturing, Paper products &amp; packaging</t>
  </si>
  <si>
    <t xml:space="preserve"> Biotech, health care &amp; pharma, Manufacturing, Materials</t>
  </si>
  <si>
    <t>Specialty chemicals</t>
  </si>
  <si>
    <t>MMM US</t>
  </si>
  <si>
    <t>US88579Y1010</t>
  </si>
  <si>
    <t xml:space="preserve"> US88579Y1010</t>
  </si>
  <si>
    <t xml:space="preserve"> MMM US</t>
  </si>
  <si>
    <t xml:space="preserve"> Energy utility networks, Thermal power generation</t>
  </si>
  <si>
    <t>Infrastructure</t>
  </si>
  <si>
    <t xml:space="preserve"> Software</t>
  </si>
  <si>
    <t xml:space="preserve"> IT &amp; software development</t>
  </si>
  <si>
    <t>IT &amp; software development</t>
  </si>
  <si>
    <t>Services</t>
  </si>
  <si>
    <t>ADBE US</t>
  </si>
  <si>
    <t xml:space="preserve"> US00724F1012</t>
  </si>
  <si>
    <t xml:space="preserve"> ADBE US</t>
  </si>
  <si>
    <t xml:space="preserve"> Electronic components</t>
  </si>
  <si>
    <t xml:space="preserve"> Electrical &amp; electronic equipment</t>
  </si>
  <si>
    <t>Electronic components</t>
  </si>
  <si>
    <t>Electrical &amp; electronic equipment</t>
  </si>
  <si>
    <t>Manufacturing</t>
  </si>
  <si>
    <t xml:space="preserve"> Insurance</t>
  </si>
  <si>
    <t xml:space="preserve"> Financial services</t>
  </si>
  <si>
    <t>Financial services</t>
  </si>
  <si>
    <t xml:space="preserve"> Asset managers</t>
  </si>
  <si>
    <t>Asset managers</t>
  </si>
  <si>
    <t xml:space="preserve"> Pharmaceuticals</t>
  </si>
  <si>
    <t xml:space="preserve"> Biotech &amp; pharma</t>
  </si>
  <si>
    <t>Pharmaceuticals</t>
  </si>
  <si>
    <t>Biotech &amp; pharma</t>
  </si>
  <si>
    <t>ALL US</t>
  </si>
  <si>
    <t xml:space="preserve"> US0200021014</t>
  </si>
  <si>
    <t xml:space="preserve"> ALL US</t>
  </si>
  <si>
    <t>CCGT generation</t>
  </si>
  <si>
    <t>Thermal power generation</t>
  </si>
  <si>
    <t>Power generation</t>
  </si>
  <si>
    <t xml:space="preserve"> Alcoholic beverages, Tobacco products</t>
  </si>
  <si>
    <t xml:space="preserve"> Food &amp; beverage processing, Tobacco</t>
  </si>
  <si>
    <t>Tobacco products</t>
  </si>
  <si>
    <t>Food, beverage &amp; agriculture</t>
  </si>
  <si>
    <t>MO US</t>
  </si>
  <si>
    <t xml:space="preserve"> US02209S1033</t>
  </si>
  <si>
    <t xml:space="preserve"> MO US</t>
  </si>
  <si>
    <t>Transportation services</t>
  </si>
  <si>
    <t xml:space="preserve"> Banks, Other financial</t>
  </si>
  <si>
    <t xml:space="preserve"> Financial services, Specialized professional services</t>
  </si>
  <si>
    <t>AXP US</t>
  </si>
  <si>
    <t xml:space="preserve"> US0258161092</t>
  </si>
  <si>
    <t xml:space="preserve"> AXP US</t>
  </si>
  <si>
    <t>AIG US</t>
  </si>
  <si>
    <t xml:space="preserve"> US0268747849</t>
  </si>
  <si>
    <t xml:space="preserve"> AIG US</t>
  </si>
  <si>
    <t xml:space="preserve"> Benchmark, CCGR1800, Continuity Climate Change, Fixed Income, FTSE All-World, Global 500, MSCI ACWI, S&amp;P 500</t>
  </si>
  <si>
    <t xml:space="preserve"> Communications equipment, Utility line construction</t>
  </si>
  <si>
    <t xml:space="preserve"> Construction, Electrical &amp; electronic equipment</t>
  </si>
  <si>
    <t>Utility line construction</t>
  </si>
  <si>
    <t>Construction</t>
  </si>
  <si>
    <t>AMT US</t>
  </si>
  <si>
    <t xml:space="preserve"> US03027X1000</t>
  </si>
  <si>
    <t xml:space="preserve"> AMT US</t>
  </si>
  <si>
    <t xml:space="preserve"> Biotechnology</t>
  </si>
  <si>
    <t>Biotechnology</t>
  </si>
  <si>
    <t>AMGN US</t>
  </si>
  <si>
    <t xml:space="preserve"> US0311621009</t>
  </si>
  <si>
    <t xml:space="preserve"> AMGN US</t>
  </si>
  <si>
    <t xml:space="preserve"> Benchmark, CCGR1800, Continuity Climate Change, Environmental, Fixed Income, FTSE All-World, Global 500, MSCI ACWI, S&amp;P 500</t>
  </si>
  <si>
    <t xml:space="preserve"> Communications equipment, Computer hardware, Discretionary delivery retail, Electronic equipment</t>
  </si>
  <si>
    <t xml:space="preserve"> Discretionary retail, Electrical &amp; electronic equipment</t>
  </si>
  <si>
    <t>Communications equipment</t>
  </si>
  <si>
    <t>AAPL US</t>
  </si>
  <si>
    <t xml:space="preserve"> US0378331005</t>
  </si>
  <si>
    <t xml:space="preserve"> AAPL US</t>
  </si>
  <si>
    <t>Food &amp; beverage processing</t>
  </si>
  <si>
    <t xml:space="preserve"> Health care services, Insurance</t>
  </si>
  <si>
    <t xml:space="preserve"> Financial services, Other services</t>
  </si>
  <si>
    <t xml:space="preserve"> Communications equipment, Marketing, Media, Telecommunications services</t>
  </si>
  <si>
    <t xml:space="preserve"> Electrical &amp; electronic equipment, Media, telecommunications &amp; data center services, Web &amp; marketing services</t>
  </si>
  <si>
    <t>Telecommunications services</t>
  </si>
  <si>
    <t>Media, telecommunications &amp; data center services</t>
  </si>
  <si>
    <t>T US</t>
  </si>
  <si>
    <t xml:space="preserve"> US00206R1023</t>
  </si>
  <si>
    <t xml:space="preserve"> T US</t>
  </si>
  <si>
    <t>Other financial</t>
  </si>
  <si>
    <t>Specialized professional services</t>
  </si>
  <si>
    <t>REIT</t>
  </si>
  <si>
    <t xml:space="preserve"> Asset managers, Banks, Insurance</t>
  </si>
  <si>
    <t>BAC US</t>
  </si>
  <si>
    <t xml:space="preserve"> US0605051046</t>
  </si>
  <si>
    <t xml:space="preserve"> BAC US</t>
  </si>
  <si>
    <t xml:space="preserve"> Asset managers, Banks</t>
  </si>
  <si>
    <t>BK US</t>
  </si>
  <si>
    <t>US0640581007</t>
  </si>
  <si>
    <t xml:space="preserve"> US0640581007</t>
  </si>
  <si>
    <t xml:space="preserve"> BK US</t>
  </si>
  <si>
    <t xml:space="preserve"> Specialist retail</t>
  </si>
  <si>
    <t xml:space="preserve"> Discretionary retail</t>
  </si>
  <si>
    <t>Specialist retail</t>
  </si>
  <si>
    <t>Discretionary retail</t>
  </si>
  <si>
    <t>BIIB US</t>
  </si>
  <si>
    <t xml:space="preserve"> US09062X1037</t>
  </si>
  <si>
    <t xml:space="preserve"> BIIB US</t>
  </si>
  <si>
    <t>BLK US</t>
  </si>
  <si>
    <t xml:space="preserve"> US09247X1019</t>
  </si>
  <si>
    <t xml:space="preserve"> BLK US</t>
  </si>
  <si>
    <t xml:space="preserve"> Aerospace, Banks, Transportation support services</t>
  </si>
  <si>
    <t xml:space="preserve"> Financial services, Industrial support services, Transportation equipment</t>
  </si>
  <si>
    <t>Aerospace</t>
  </si>
  <si>
    <t>Transportation equipment</t>
  </si>
  <si>
    <t>BA US</t>
  </si>
  <si>
    <t xml:space="preserve"> US0970231058</t>
  </si>
  <si>
    <t xml:space="preserve"> BA US</t>
  </si>
  <si>
    <t>Engines &amp; motors</t>
  </si>
  <si>
    <t>Powered machinery</t>
  </si>
  <si>
    <t>BMY US</t>
  </si>
  <si>
    <t xml:space="preserve"> US1101221083</t>
  </si>
  <si>
    <t xml:space="preserve"> BMY US</t>
  </si>
  <si>
    <t xml:space="preserve"> Food &amp; beverage processing</t>
  </si>
  <si>
    <t>Intermodal transport &amp; logistics</t>
  </si>
  <si>
    <t>Other food processing</t>
  </si>
  <si>
    <t xml:space="preserve"> Banks</t>
  </si>
  <si>
    <t>COF US</t>
  </si>
  <si>
    <t xml:space="preserve"> US14040H1059</t>
  </si>
  <si>
    <t xml:space="preserve"> COF US</t>
  </si>
  <si>
    <t>Other services</t>
  </si>
  <si>
    <t>Media</t>
  </si>
  <si>
    <t>Personal care &amp; household products</t>
  </si>
  <si>
    <t xml:space="preserve"> Communications equipment, IT services, Other professional services, Software</t>
  </si>
  <si>
    <t xml:space="preserve"> Electrical &amp; electronic equipment, IT &amp; software development, Specialized professional services</t>
  </si>
  <si>
    <t>CSCO US</t>
  </si>
  <si>
    <t xml:space="preserve"> US17275R1023</t>
  </si>
  <si>
    <t xml:space="preserve"> CSCO US</t>
  </si>
  <si>
    <t>Health care services</t>
  </si>
  <si>
    <t>C US</t>
  </si>
  <si>
    <t>US1729674242</t>
  </si>
  <si>
    <t xml:space="preserve"> US1729674242</t>
  </si>
  <si>
    <t xml:space="preserve"> C US</t>
  </si>
  <si>
    <t xml:space="preserve"> Animal processing, Personal care &amp; household products</t>
  </si>
  <si>
    <t xml:space="preserve"> Chemicals, Food &amp; beverage processing</t>
  </si>
  <si>
    <t>CL US</t>
  </si>
  <si>
    <t xml:space="preserve"> US1941621039</t>
  </si>
  <si>
    <t xml:space="preserve"> CL US</t>
  </si>
  <si>
    <t xml:space="preserve"> Non-alcoholic beverages</t>
  </si>
  <si>
    <t>Non-alcoholic beverages</t>
  </si>
  <si>
    <t>KO US</t>
  </si>
  <si>
    <t xml:space="preserve"> US1912161007</t>
  </si>
  <si>
    <t xml:space="preserve"> KO US</t>
  </si>
  <si>
    <t xml:space="preserve"> Marketing, Media, Recreation &amp; entertainment facilities</t>
  </si>
  <si>
    <t xml:space="preserve"> Entertainment facilities, Media, telecommunications &amp; data center services, Web &amp; marketing services</t>
  </si>
  <si>
    <t>CMCSA US</t>
  </si>
  <si>
    <t>US20030N1019</t>
  </si>
  <si>
    <t xml:space="preserve"> US20030N1019</t>
  </si>
  <si>
    <t xml:space="preserve"> CMCSA US</t>
  </si>
  <si>
    <t xml:space="preserve"> Other food processing</t>
  </si>
  <si>
    <t xml:space="preserve"> Natural gas extraction, Oil &amp; gas extraction</t>
  </si>
  <si>
    <t xml:space="preserve"> Oil &amp; gas extraction &amp; production</t>
  </si>
  <si>
    <t>Oil &amp; gas extraction</t>
  </si>
  <si>
    <t>Oil &amp; gas extraction &amp; production</t>
  </si>
  <si>
    <t>Fossil Fuels</t>
  </si>
  <si>
    <t>COP US</t>
  </si>
  <si>
    <t>US20825C1045</t>
  </si>
  <si>
    <t xml:space="preserve"> US20825C1045</t>
  </si>
  <si>
    <t xml:space="preserve"> COP US</t>
  </si>
  <si>
    <t xml:space="preserve"> Benchmark, CCGR1800, Continuity Climate Change, Environmental, FAIRR, FTSE All-World, Global 500, MSCI ACWI, S&amp;P 500</t>
  </si>
  <si>
    <t xml:space="preserve"> Hypermarkets &amp; superstores, Supermarkets, food &amp; drugstores</t>
  </si>
  <si>
    <t xml:space="preserve"> Convenience retail</t>
  </si>
  <si>
    <t>Hypermarkets &amp; superstores</t>
  </si>
  <si>
    <t>Convenience retail</t>
  </si>
  <si>
    <t>COST US</t>
  </si>
  <si>
    <t>US22160K1051</t>
  </si>
  <si>
    <t xml:space="preserve"> US22160K1051</t>
  </si>
  <si>
    <t xml:space="preserve"> COST US</t>
  </si>
  <si>
    <t xml:space="preserve"> Rail freight, Transportation support services</t>
  </si>
  <si>
    <t xml:space="preserve"> Industrial support services, Rail transport</t>
  </si>
  <si>
    <t>Rail freight</t>
  </si>
  <si>
    <t>Rail transport</t>
  </si>
  <si>
    <t xml:space="preserve"> Health care services, Health care supplies, Insurance, Supermarkets, food &amp; drugstores</t>
  </si>
  <si>
    <t xml:space="preserve"> Convenience retail, Financial services, Medical equipment &amp; supplies, Other services</t>
  </si>
  <si>
    <t>Health care supplies</t>
  </si>
  <si>
    <t>CVS US</t>
  </si>
  <si>
    <t xml:space="preserve"> US1266501006</t>
  </si>
  <si>
    <t xml:space="preserve"> CVS US</t>
  </si>
  <si>
    <t xml:space="preserve"> Biotechnology, Other base chemicals, Specialty chemicals</t>
  </si>
  <si>
    <t xml:space="preserve"> Biotech &amp; pharma, Chemicals</t>
  </si>
  <si>
    <t>Other base chemicals</t>
  </si>
  <si>
    <t xml:space="preserve"> CCGT generation, Coal generation, Hydro generation</t>
  </si>
  <si>
    <t xml:space="preserve"> Renewable power generation, Thermal power generation</t>
  </si>
  <si>
    <t>DUK US</t>
  </si>
  <si>
    <t>US26441C2044</t>
  </si>
  <si>
    <t xml:space="preserve"> US26441C2044</t>
  </si>
  <si>
    <t xml:space="preserve"> DUK US</t>
  </si>
  <si>
    <t>Electrical equipment</t>
  </si>
  <si>
    <t>LLY US</t>
  </si>
  <si>
    <t>US5324571083</t>
  </si>
  <si>
    <t xml:space="preserve"> US5324571083</t>
  </si>
  <si>
    <t xml:space="preserve"> LLY US</t>
  </si>
  <si>
    <t xml:space="preserve"> CCGT generation, Electricity networks, Gas utilities, Nuclear generation</t>
  </si>
  <si>
    <t xml:space="preserve"> Energy utility networks, Nuclear power generation, Thermal power generation</t>
  </si>
  <si>
    <t>Nuclear generation</t>
  </si>
  <si>
    <t>Nuclear power generation</t>
  </si>
  <si>
    <t>EXC US</t>
  </si>
  <si>
    <t>US30161N1019</t>
  </si>
  <si>
    <t xml:space="preserve"> US30161N1019</t>
  </si>
  <si>
    <t xml:space="preserve"> EXC US</t>
  </si>
  <si>
    <t xml:space="preserve"> Air freight, Logistics - 3rd party, Logistics - transport, Road freight, Transportation support services</t>
  </si>
  <si>
    <t xml:space="preserve"> Air transport, Industrial support services, Intermodal transport &amp; logistics, Road transport</t>
  </si>
  <si>
    <t>Logistics - transport</t>
  </si>
  <si>
    <t>FDX US</t>
  </si>
  <si>
    <t>US31428X1063</t>
  </si>
  <si>
    <t xml:space="preserve"> US31428X1063</t>
  </si>
  <si>
    <t xml:space="preserve"> FDX US</t>
  </si>
  <si>
    <t xml:space="preserve"> Automobiles, Banks</t>
  </si>
  <si>
    <t xml:space="preserve"> Financial services, Transportation equipment</t>
  </si>
  <si>
    <t>Automobiles</t>
  </si>
  <si>
    <t>F US</t>
  </si>
  <si>
    <t>US3453708600</t>
  </si>
  <si>
    <t xml:space="preserve"> US3453708600</t>
  </si>
  <si>
    <t xml:space="preserve"> F US</t>
  </si>
  <si>
    <t xml:space="preserve"> Aerospace, Electrical equipment, Heavy vehicles, Munitions, Other professional services, Shipbuilding, Transportation support services</t>
  </si>
  <si>
    <t xml:space="preserve"> Electrical &amp; electronic equipment, Industrial support services, Light manufacturing, Specialized professional services, Transportation equipment</t>
  </si>
  <si>
    <t>GD US</t>
  </si>
  <si>
    <t>US3695501086</t>
  </si>
  <si>
    <t xml:space="preserve"> US3695501086</t>
  </si>
  <si>
    <t xml:space="preserve"> GD US</t>
  </si>
  <si>
    <t xml:space="preserve"> Benchmark, CCGR1800, Continuity Climate Change, FAIRR, FTSE All-World, Global 500, MSCI ACWI, S&amp;P 500</t>
  </si>
  <si>
    <t>GM US</t>
  </si>
  <si>
    <t>US37045V1008</t>
  </si>
  <si>
    <t xml:space="preserve"> US37045V1008</t>
  </si>
  <si>
    <t xml:space="preserve"> GM US</t>
  </si>
  <si>
    <t xml:space="preserve"> Banks, Electrical equipment, Energy services &amp; equipment, Engines &amp; motors, Industrial machinery, Medical equipment, Other renewable energy equipment, Railroad rolling stock</t>
  </si>
  <si>
    <t xml:space="preserve"> Electrical &amp; electronic equipment, Financial services, Industrial support services, Medical equipment &amp; supplies, Powered machinery, Renewable energy equipment, Transportation equipment</t>
  </si>
  <si>
    <t>GE US</t>
  </si>
  <si>
    <t>US3696041033</t>
  </si>
  <si>
    <t xml:space="preserve"> US3696041033</t>
  </si>
  <si>
    <t xml:space="preserve"> GE US</t>
  </si>
  <si>
    <t>GILD US</t>
  </si>
  <si>
    <t>US3755581036</t>
  </si>
  <si>
    <t xml:space="preserve"> US3755581036</t>
  </si>
  <si>
    <t xml:space="preserve"> GILD US</t>
  </si>
  <si>
    <t>GS US</t>
  </si>
  <si>
    <t>US38141G1040</t>
  </si>
  <si>
    <t xml:space="preserve"> US38141G1040</t>
  </si>
  <si>
    <t xml:space="preserve"> GS US</t>
  </si>
  <si>
    <t xml:space="preserve"> Marketing, Software, Web-based services</t>
  </si>
  <si>
    <t xml:space="preserve"> IT &amp; software development, Web &amp; marketing services</t>
  </si>
  <si>
    <t>Web-based services</t>
  </si>
  <si>
    <t>Web &amp; marketing services</t>
  </si>
  <si>
    <t>GOOGL US</t>
  </si>
  <si>
    <t xml:space="preserve"> GOOG US, GOOGL US</t>
  </si>
  <si>
    <t xml:space="preserve"> Electrical &amp; electronic equipment, Specialized professional services</t>
  </si>
  <si>
    <t xml:space="preserve"> Bars, hotels &amp; restaurants</t>
  </si>
  <si>
    <t>Bars, hotels &amp; restaurants</t>
  </si>
  <si>
    <t>HD US</t>
  </si>
  <si>
    <t>US4370761029</t>
  </si>
  <si>
    <t xml:space="preserve"> US4370761029</t>
  </si>
  <si>
    <t xml:space="preserve"> HD US</t>
  </si>
  <si>
    <t xml:space="preserve"> Dealers, wholesalers &amp; distributors, Electrical equipment, Engines &amp; motors, Other vehicle equipment &amp; systems, Specialty chemicals</t>
  </si>
  <si>
    <t xml:space="preserve"> Chemicals, Electrical &amp; electronic equipment, Powered machinery, Trading, wholesale, distribution, rental &amp; leasing</t>
  </si>
  <si>
    <t>HON US</t>
  </si>
  <si>
    <t>US4385161066</t>
  </si>
  <si>
    <t xml:space="preserve"> US4385161066</t>
  </si>
  <si>
    <t xml:space="preserve"> HON US</t>
  </si>
  <si>
    <t xml:space="preserve"> REIT</t>
  </si>
  <si>
    <t xml:space="preserve"> Banks, Computer hardware, IT services, Other professional services, Software</t>
  </si>
  <si>
    <t xml:space="preserve"> Electrical &amp; electronic equipment, Financial services, IT &amp; software development, Specialized professional services</t>
  </si>
  <si>
    <t>IT services</t>
  </si>
  <si>
    <t>IBM US</t>
  </si>
  <si>
    <t>US4592001014</t>
  </si>
  <si>
    <t xml:space="preserve"> US4592001014</t>
  </si>
  <si>
    <t xml:space="preserve"> IBM US</t>
  </si>
  <si>
    <t xml:space="preserve"> Electronic components, Software</t>
  </si>
  <si>
    <t xml:space="preserve"> Electrical &amp; electronic equipment, IT &amp; software development</t>
  </si>
  <si>
    <t>INTC US</t>
  </si>
  <si>
    <t>US4581401001</t>
  </si>
  <si>
    <t xml:space="preserve"> US4581401001</t>
  </si>
  <si>
    <t xml:space="preserve"> INTC US</t>
  </si>
  <si>
    <t xml:space="preserve"> Health care services, Health care supplies, Medical equipment, Personal care &amp; household products, Pharmaceuticals</t>
  </si>
  <si>
    <t xml:space="preserve"> Biotech &amp; pharma, Chemicals, Medical equipment &amp; supplies, Other services</t>
  </si>
  <si>
    <t>JNJ US</t>
  </si>
  <si>
    <t>US4781601046</t>
  </si>
  <si>
    <t xml:space="preserve"> US4781601046</t>
  </si>
  <si>
    <t xml:space="preserve"> JNJ US</t>
  </si>
  <si>
    <t>JPM US</t>
  </si>
  <si>
    <t>US46625H1005</t>
  </si>
  <si>
    <t xml:space="preserve"> US46625H1005</t>
  </si>
  <si>
    <t xml:space="preserve"> JPM US</t>
  </si>
  <si>
    <t>Supermarkets, food &amp; drugstores</t>
  </si>
  <si>
    <t>10820</t>
  </si>
  <si>
    <t xml:space="preserve"> Aerospace, Electrical equipment, Munitions</t>
  </si>
  <si>
    <t xml:space="preserve"> Electrical &amp; electronic equipment, Light manufacturing, Transportation equipment</t>
  </si>
  <si>
    <t>LMT US</t>
  </si>
  <si>
    <t>US5398301094</t>
  </si>
  <si>
    <t xml:space="preserve"> US5398301094</t>
  </si>
  <si>
    <t xml:space="preserve"> LMT US</t>
  </si>
  <si>
    <t>LOW US</t>
  </si>
  <si>
    <t>US5486611073</t>
  </si>
  <si>
    <t xml:space="preserve"> US5486611073</t>
  </si>
  <si>
    <t xml:space="preserve"> LOW US</t>
  </si>
  <si>
    <t xml:space="preserve"> Other financial, Other professional services</t>
  </si>
  <si>
    <t xml:space="preserve"> Specialized professional services</t>
  </si>
  <si>
    <t>MA US</t>
  </si>
  <si>
    <t xml:space="preserve"> US57636Q1040</t>
  </si>
  <si>
    <t xml:space="preserve"> MA US</t>
  </si>
  <si>
    <t xml:space="preserve"> Fast food</t>
  </si>
  <si>
    <t>Fast food</t>
  </si>
  <si>
    <t>MCD US</t>
  </si>
  <si>
    <t xml:space="preserve"> US5801351017</t>
  </si>
  <si>
    <t xml:space="preserve"> MCD US</t>
  </si>
  <si>
    <t>MRK US</t>
  </si>
  <si>
    <t>US58933Y1055</t>
  </si>
  <si>
    <t xml:space="preserve"> US58933Y1055</t>
  </si>
  <si>
    <t xml:space="preserve"> MRK US</t>
  </si>
  <si>
    <t>MET US</t>
  </si>
  <si>
    <t xml:space="preserve"> US59156R1086</t>
  </si>
  <si>
    <t xml:space="preserve"> MET US</t>
  </si>
  <si>
    <t>MSFT US</t>
  </si>
  <si>
    <t xml:space="preserve"> US5949181045</t>
  </si>
  <si>
    <t xml:space="preserve"> MSFT US</t>
  </si>
  <si>
    <t>MS US</t>
  </si>
  <si>
    <t>US6174464486</t>
  </si>
  <si>
    <t xml:space="preserve"> US6174464486</t>
  </si>
  <si>
    <t xml:space="preserve"> MS US</t>
  </si>
  <si>
    <t xml:space="preserve"> Accessories manufacture, Apparel &amp; footwear, Clothing manufacture</t>
  </si>
  <si>
    <t xml:space="preserve"> Accessories, Textiles &amp; fabric goods</t>
  </si>
  <si>
    <t>Apparel &amp; footwear</t>
  </si>
  <si>
    <t>Textiles &amp; fabric goods</t>
  </si>
  <si>
    <t>Apparel</t>
  </si>
  <si>
    <t>NKE US</t>
  </si>
  <si>
    <t xml:space="preserve"> US6541061031</t>
  </si>
  <si>
    <t xml:space="preserve"> NKE US</t>
  </si>
  <si>
    <t>NVDA US</t>
  </si>
  <si>
    <t>US67066G1040</t>
  </si>
  <si>
    <t xml:space="preserve"> US67066G1040</t>
  </si>
  <si>
    <t xml:space="preserve"> NVDA US</t>
  </si>
  <si>
    <t xml:space="preserve"> Natural gas extraction, Oil &amp; gas extraction, Oil &amp; gas pipelines &amp; storage, Other base chemicals</t>
  </si>
  <si>
    <t xml:space="preserve"> Chemicals, Oil &amp; gas extraction &amp; production, Oil &amp; gas storage &amp; transportation</t>
  </si>
  <si>
    <t>OXY US</t>
  </si>
  <si>
    <t>US6745991058</t>
  </si>
  <si>
    <t xml:space="preserve"> US6745991058</t>
  </si>
  <si>
    <t xml:space="preserve"> OXY US</t>
  </si>
  <si>
    <t xml:space="preserve"> IT services, Other professional services, Servers &amp; data centers, Software</t>
  </si>
  <si>
    <t xml:space="preserve"> IT &amp; software development, Media, telecommunications &amp; data center services, Specialized professional services</t>
  </si>
  <si>
    <t>ORCL US</t>
  </si>
  <si>
    <t>US68389X1054</t>
  </si>
  <si>
    <t xml:space="preserve"> US68389X1054</t>
  </si>
  <si>
    <t xml:space="preserve"> ORCL US</t>
  </si>
  <si>
    <t xml:space="preserve"> Baked goods &amp; cereals, Non-alcoholic beverages, Other food processing</t>
  </si>
  <si>
    <t>PEP US</t>
  </si>
  <si>
    <t xml:space="preserve"> US7134481081</t>
  </si>
  <si>
    <t xml:space="preserve"> PEP US</t>
  </si>
  <si>
    <t>PFE US</t>
  </si>
  <si>
    <t xml:space="preserve"> US7170811035</t>
  </si>
  <si>
    <t xml:space="preserve"> PFE US</t>
  </si>
  <si>
    <t xml:space="preserve"> Tobacco products</t>
  </si>
  <si>
    <t xml:space="preserve"> Tobacco</t>
  </si>
  <si>
    <t>PM US</t>
  </si>
  <si>
    <t xml:space="preserve"> US7181721090</t>
  </si>
  <si>
    <t xml:space="preserve"> PM US</t>
  </si>
  <si>
    <t xml:space="preserve"> Fabricated metal components, Paper products, Personal care &amp; household products</t>
  </si>
  <si>
    <t xml:space="preserve"> Chemicals, Metal products manufacturing, Paper products &amp; packaging</t>
  </si>
  <si>
    <t>PG US</t>
  </si>
  <si>
    <t xml:space="preserve"> US7427181091</t>
  </si>
  <si>
    <t xml:space="preserve"> PG US</t>
  </si>
  <si>
    <t xml:space="preserve"> CCGT generation, Coal generation, Gas utilities</t>
  </si>
  <si>
    <t xml:space="preserve"> Electronic components, Other professional services</t>
  </si>
  <si>
    <t>QCOM US</t>
  </si>
  <si>
    <t>US7475251036</t>
  </si>
  <si>
    <t xml:space="preserve"> US7475251036</t>
  </si>
  <si>
    <t xml:space="preserve"> QCOM US</t>
  </si>
  <si>
    <t xml:space="preserve"> Other professional services, Software</t>
  </si>
  <si>
    <t xml:space="preserve"> IT &amp; software development, Specialized professional services</t>
  </si>
  <si>
    <t>CRM US</t>
  </si>
  <si>
    <t>US79466L3024</t>
  </si>
  <si>
    <t xml:space="preserve"> US79466L3024</t>
  </si>
  <si>
    <t xml:space="preserve"> CRM US</t>
  </si>
  <si>
    <t>SPG US</t>
  </si>
  <si>
    <t>US8288061091</t>
  </si>
  <si>
    <t xml:space="preserve"> US8288061091</t>
  </si>
  <si>
    <t xml:space="preserve"> SPG US</t>
  </si>
  <si>
    <t xml:space="preserve"> Food &amp; beverage amenities, Food &amp; beverage wholesale</t>
  </si>
  <si>
    <t xml:space="preserve"> Bars, hotels &amp; restaurants, Trading, wholesale, distribution, rental &amp; leasing</t>
  </si>
  <si>
    <t>Food &amp; beverage amenities</t>
  </si>
  <si>
    <t>SBUX US</t>
  </si>
  <si>
    <t xml:space="preserve"> US8552441094</t>
  </si>
  <si>
    <t xml:space="preserve"> SBUX US</t>
  </si>
  <si>
    <t xml:space="preserve"> Medical equipment &amp; supplies, Other services</t>
  </si>
  <si>
    <t>TGT US</t>
  </si>
  <si>
    <t xml:space="preserve"> US87612E1064</t>
  </si>
  <si>
    <t xml:space="preserve"> TGT US</t>
  </si>
  <si>
    <t>TXN US</t>
  </si>
  <si>
    <t>US8825081040</t>
  </si>
  <si>
    <t xml:space="preserve"> US8825081040</t>
  </si>
  <si>
    <t xml:space="preserve"> TXN US</t>
  </si>
  <si>
    <t>SO US</t>
  </si>
  <si>
    <t>US8425871071</t>
  </si>
  <si>
    <t xml:space="preserve"> US8425871071</t>
  </si>
  <si>
    <t xml:space="preserve"> SO US</t>
  </si>
  <si>
    <t>USB US</t>
  </si>
  <si>
    <t>US9029733048</t>
  </si>
  <si>
    <t xml:space="preserve"> US9029733048</t>
  </si>
  <si>
    <t xml:space="preserve"> USB US</t>
  </si>
  <si>
    <t>UNP US</t>
  </si>
  <si>
    <t>US9078181081</t>
  </si>
  <si>
    <t xml:space="preserve"> US9078181081</t>
  </si>
  <si>
    <t xml:space="preserve"> UNP US</t>
  </si>
  <si>
    <t>UNH US</t>
  </si>
  <si>
    <t>US91324P1021</t>
  </si>
  <si>
    <t xml:space="preserve"> US91324P1021</t>
  </si>
  <si>
    <t xml:space="preserve"> UNH US</t>
  </si>
  <si>
    <t>UPS US</t>
  </si>
  <si>
    <t>US9113121068</t>
  </si>
  <si>
    <t xml:space="preserve"> US9113121068</t>
  </si>
  <si>
    <t xml:space="preserve"> UPS US</t>
  </si>
  <si>
    <t xml:space="preserve"> Communications equipment, Telecommunications services</t>
  </si>
  <si>
    <t xml:space="preserve"> Electrical &amp; electronic equipment, Media, telecommunications &amp; data center services</t>
  </si>
  <si>
    <t>VZ US</t>
  </si>
  <si>
    <t xml:space="preserve"> US92343V1044</t>
  </si>
  <si>
    <t xml:space="preserve"> VZ US</t>
  </si>
  <si>
    <t>DIS US</t>
  </si>
  <si>
    <t>US2546871060</t>
  </si>
  <si>
    <t xml:space="preserve"> US2546871060</t>
  </si>
  <si>
    <t xml:space="preserve"> DIS US</t>
  </si>
  <si>
    <t xml:space="preserve"> Dealers, wholesalers &amp; distributors, Supermarkets, food &amp; drugstores</t>
  </si>
  <si>
    <t xml:space="preserve"> Convenience retail, Trading, wholesale, distribution, rental &amp; leasing</t>
  </si>
  <si>
    <t>WBA US</t>
  </si>
  <si>
    <t>US9314271084</t>
  </si>
  <si>
    <t xml:space="preserve"> US9314271084</t>
  </si>
  <si>
    <t xml:space="preserve"> WBA US</t>
  </si>
  <si>
    <t>WMT US</t>
  </si>
  <si>
    <t xml:space="preserve"> US9311421039</t>
  </si>
  <si>
    <t xml:space="preserve"> WMT US</t>
  </si>
  <si>
    <t>WFC US</t>
  </si>
  <si>
    <t>US9497461015</t>
  </si>
  <si>
    <t xml:space="preserve"> US9497461015</t>
  </si>
  <si>
    <t xml:space="preserve"> WFC US</t>
  </si>
  <si>
    <t>V US</t>
  </si>
  <si>
    <t>US92826C8394</t>
  </si>
  <si>
    <t xml:space="preserve"> US92826C8394</t>
  </si>
  <si>
    <t xml:space="preserve"> V US</t>
  </si>
  <si>
    <t xml:space="preserve"> IT services, Other professional services</t>
  </si>
  <si>
    <t xml:space="preserve"> Chocolate confection, Coffee, Dairy &amp; egg products, Non-chocolate confection, Other food processing</t>
  </si>
  <si>
    <t>MDLZ US</t>
  </si>
  <si>
    <t>US6092071058</t>
  </si>
  <si>
    <t xml:space="preserve"> US6092071058</t>
  </si>
  <si>
    <t xml:space="preserve"> MDLZ US</t>
  </si>
  <si>
    <t>ABBV US</t>
  </si>
  <si>
    <t xml:space="preserve"> US00287Y1091</t>
  </si>
  <si>
    <t xml:space="preserve"> ABBV US</t>
  </si>
  <si>
    <t>PYPL US</t>
  </si>
  <si>
    <t xml:space="preserve"> US70450Y1038</t>
  </si>
  <si>
    <t xml:space="preserve"> PYPL US</t>
  </si>
  <si>
    <t>KHC US</t>
  </si>
  <si>
    <t xml:space="preserve"> US5007541064</t>
  </si>
  <si>
    <t xml:space="preserve"> KHC US</t>
  </si>
  <si>
    <t xml:space="preserve"> Coal generation, Oil &amp; gas extraction, Other base chemicals, Specialty chemicals</t>
  </si>
  <si>
    <t xml:space="preserve"> Chemicals, Oil &amp; gas extraction &amp; production, Thermal power generation</t>
  </si>
  <si>
    <t>DWDP US</t>
  </si>
  <si>
    <t>US26078J1007</t>
  </si>
  <si>
    <t xml:space="preserve"> US26078J1007</t>
  </si>
  <si>
    <t xml:space="preserve"> DWDP US</t>
  </si>
  <si>
    <t>cdp_account</t>
  </si>
  <si>
    <t>Ireland</t>
  </si>
  <si>
    <t xml:space="preserve"> Health care services, Health care supplies, Medical equipment</t>
  </si>
  <si>
    <t>MDT US</t>
  </si>
  <si>
    <t>IE00BTN1Y115</t>
  </si>
  <si>
    <t xml:space="preserve"> IE00BTN1Y115</t>
  </si>
  <si>
    <t xml:space="preserve"> MDT UN, MDT US</t>
  </si>
  <si>
    <t>ACN US</t>
  </si>
  <si>
    <t xml:space="preserve"> IE00B4BNMY34</t>
  </si>
  <si>
    <t xml:space="preserve"> ACN US</t>
  </si>
  <si>
    <t>primary_isin</t>
  </si>
  <si>
    <t>primary_ticker</t>
  </si>
  <si>
    <t>benchmark</t>
  </si>
  <si>
    <t>Period</t>
  </si>
  <si>
    <t>Revenue</t>
  </si>
  <si>
    <t>Net earnings</t>
  </si>
  <si>
    <t>Reporting year</t>
  </si>
  <si>
    <t>start_date</t>
  </si>
  <si>
    <t>end_date</t>
  </si>
  <si>
    <t>gross_scope_1_yale</t>
  </si>
  <si>
    <t>difference_cdp_yale</t>
  </si>
  <si>
    <t>difference_cdp_yale%</t>
  </si>
  <si>
    <t>gross_scope_2_yale</t>
  </si>
  <si>
    <t>gross_scope_3_yale</t>
  </si>
  <si>
    <t>2019-01-01</t>
  </si>
  <si>
    <t>2019-12-31</t>
  </si>
  <si>
    <t>2018-06-01</t>
  </si>
  <si>
    <t>2019-05-31</t>
  </si>
  <si>
    <t>2019-11-30</t>
  </si>
  <si>
    <t>2018-12-01</t>
  </si>
  <si>
    <t>scope1_start_date</t>
  </si>
  <si>
    <t>scope_1_end_date</t>
  </si>
  <si>
    <t>difference_cdp_yale_scope_1</t>
  </si>
  <si>
    <t>difference_cdp_yale_scope_1%</t>
  </si>
  <si>
    <t>gross_capgoods_scope3</t>
  </si>
  <si>
    <t>gross_purchgs_scope3</t>
  </si>
  <si>
    <t>gross_mkt_scope2</t>
  </si>
  <si>
    <t>gross_loc_scope2</t>
  </si>
  <si>
    <t>gross_fuelener_scope3</t>
  </si>
  <si>
    <t>gross_uptransdis_scope3</t>
  </si>
  <si>
    <t>gross_waste_scope3</t>
  </si>
  <si>
    <t>gross_bustravel_scope3</t>
  </si>
  <si>
    <t>gross_empcommut_scope3</t>
  </si>
  <si>
    <t>gross_upleasedassets_scope3</t>
  </si>
  <si>
    <t>gross_downtransdis_scope3</t>
  </si>
  <si>
    <t>gross_procsoldprod_scope3</t>
  </si>
  <si>
    <t>gross_usesoldprod_scope3</t>
  </si>
  <si>
    <t>gross_eoltreat_scope3</t>
  </si>
  <si>
    <t>gross_downleasedassets_scope3</t>
  </si>
  <si>
    <t>gross_franch_scope3</t>
  </si>
  <si>
    <t>gross_inv_scope3</t>
  </si>
  <si>
    <t>gross_upother_scope3</t>
  </si>
  <si>
    <t>gross_downother_scope3</t>
  </si>
  <si>
    <t>gross_total_scope_3</t>
  </si>
  <si>
    <t>gross_total_scope1</t>
  </si>
  <si>
    <t>NF</t>
  </si>
  <si>
    <t>NA</t>
  </si>
  <si>
    <t>https://www.bms.com/about-us/sustainability/goals-and-key-indicators/key-performance-indicators.html</t>
  </si>
  <si>
    <t>GHG2019</t>
  </si>
  <si>
    <t>PNG</t>
  </si>
  <si>
    <t>US2358511028</t>
  </si>
  <si>
    <t>US2605571031</t>
  </si>
  <si>
    <t>US2910111044</t>
  </si>
  <si>
    <t>US30231G1022</t>
  </si>
  <si>
    <t>US30303M1027</t>
  </si>
  <si>
    <t xml:space="preserve"> US02079K1079</t>
  </si>
  <si>
    <t>target_type</t>
  </si>
  <si>
    <t>scope</t>
  </si>
  <si>
    <t>scope_cdp</t>
  </si>
  <si>
    <t>intensity_metric</t>
  </si>
  <si>
    <t>year_target_was_set</t>
  </si>
  <si>
    <t>target_coverage</t>
  </si>
  <si>
    <t>base_year</t>
  </si>
  <si>
    <t>intensity_base_year</t>
  </si>
  <si>
    <t>base_year_emissions_covered_by_target</t>
  </si>
  <si>
    <t>base_year_emissions_covered_by_target%</t>
  </si>
  <si>
    <t>target_year</t>
  </si>
  <si>
    <t>targeted_reduction_from_base_year</t>
  </si>
  <si>
    <t>intensity_target_year</t>
  </si>
  <si>
    <t>covered_emissions_in_target_year_auto</t>
  </si>
  <si>
    <t>covered_emissions_in_reporting_year</t>
  </si>
  <si>
    <t>intensity_reporting_year</t>
  </si>
  <si>
    <t>target_achieved%_auto</t>
  </si>
  <si>
    <t>target_status</t>
  </si>
  <si>
    <t>sbti_target</t>
  </si>
  <si>
    <t>Comments</t>
  </si>
  <si>
    <t>Absolute</t>
  </si>
  <si>
    <t>S1+S2</t>
  </si>
  <si>
    <t>Scope 1+2 (location-based)</t>
  </si>
  <si>
    <t>Company-wide</t>
  </si>
  <si>
    <t>Underway</t>
  </si>
  <si>
    <t>No, but we anticipate setting one in the next 2 years</t>
  </si>
  <si>
    <t>As a science-based company, 3M bases our business, goals, and commitments on verified scientific data and projections — including those related to climate.  We  use the World Resources Institute (WRI)/World Business Council for Sustainable Development (WBCSD) GHG Protocol Corporate Accounting and Reporting Standard to set GHG emission reduction targets, we've participated as part of the Intergovernmental Panel on Climate Change (IPCC) in establishing the processes, and we're committed to continuous improvement across our operations, supply chain, and products.  For this reason, we are incorporating the findings of the Special Report on Global Warming of 1.5°C, published by IPCC, in setting our goals and actions. Even though we have seen global emissions decrease temporarily as a result of the unprecedented global COVID-19 pandemic, climate change remains an existential threat. Its impacts are widespread, and its risks are not limited by continent, industry, or even species. Our Strategic Sustainability Framework directs our efforts to areas where we can make the biggest impact. Within the Science for Climate pillar of this framework, we will continue to focus on innovating to decarbonize industry, accelerating global climate solutions, and improving our environmental footprint. We'll continue to drive climate solutions in our operations, in our products, and in communities around the world.3M is in a GHG leadership position due to our early actions to reduce our GHG emissions, which started in 2000. We are committed to continuing that leadership even as we grow the company in order to help our customers address the issue of climate change.  We are committed to ensure GHG emissions at least 50% below our 2002 baseline, while growing our business by 2025.  Since 2002, we have achieved a 68.1% reduction in absolute Scope 1 and 2 location-based GHG emissions.In 2019, we raised the bar as part of our strategic focus on empowering Science for Climate. We increased our interim target from 25% to 50% renewable electricity by 2025, toward our ultimate goal of 100% renewable electricity by 2050.</t>
  </si>
  <si>
    <t>Scope 1+2 (market-based)</t>
  </si>
  <si>
    <t>In 2016 AbbVie decided to take a leadership approach to climate change by setting new aggressive targets to reduce emissions.  Our GHG reduction target is to reduce emissions 25% absolute, by 2025 with a 2015 baseline.  All GHG targets are combined scope 1 and 2 market based.  All quantities reported in this section are in Metric Tons of CO2e.  It should be noted that the CO2e emissions associated with the acquisition of Stemcentrx and Pharmacyclics as well as a new R&amp;D center in Cambridge, MA are not included in the target calculation because they were not included in the 2015 baseline.  The CO2 emissions from these three businesses account for less than 1% of the total AbbVie CO2e emissions. In early 2020 AbbVie initiated the process of setting a science-based carbon target.  We anticipate setting a science-based target within two years.</t>
  </si>
  <si>
    <t>In 2016 AbbVie decided to take a leadership approach to climate change by setting new aggressive targets to reduce emissions.  Our GHG reduction target is to reduce emissions 50% absolute, by 2035 with a 2015 baseline.  All GHG targets are combined scope 1 and 2 market based.  All quantities reported in this section are in Metric Tons of CO2e.  It should be noted that the CO2e emissions associated with the acquisition of Stemcentrx and Pharmacyclics as well as a new R&amp;D center in Cambridge, MA are not included in the target calculation because they were not included in the 2015 baseline.  The CO2 emissions from these three businesses account for less than 1% of the total AbbVie CO2e emissions. In early 2020 AbbVie initiated the process of setting a science-based carbon target.  We anticipate setting a science-based target within two years.</t>
  </si>
  <si>
    <t>Scope 1+2 (market-based) +3 (upstream)</t>
  </si>
  <si>
    <t>Yes, this target has been approved as science-based by the Science-Based Targets initiative</t>
  </si>
  <si>
    <t>By the end of fiscal 2025, we will reduce our absolute greenhouse gas emissions by 11% from our fiscal 2016 base year, which represents a 65% absolute reduction in scope 1 and 2 emissions, and represents a 40% per unit of revenue intensity reduction for scope 1, 2 and 3 GHG emissions over the same time period. This target relates to company-wide scope 1+2 (market-based) + scope 3 (upstream) emissions.</t>
  </si>
  <si>
    <t>Abs1 is the short- to mid-term goal with Abs2, below, being the long term goal.  Both include renewable energy.  It includes Adobe commits to reduce absolute global scope 1 and 2 emissions 25% by 2025 from 2015 levels.  We have to point out that, Adobe has experienced substantial growth in business since 2015: +133% (revenues), FTE +64%; and in 2019 (w/ two multi-billion US$ acquisitions in 2018 (Magento &amp; Marketo) and Allgorithmic SAS in 2019) we DECREASED our absolute emissions approximately -4% (location-based), -11% (market-based) and DECREASED our CO2e/FTE (carbon intensity) by -39% (location) and -48% (market) YoY from FY2018.  Adobe achieved an absolute reduction of -1% (location) and -14% (market) of Scope 1+2 emissions from our 2015 baseline.  This is not by luck or ''happenstance”:  Adobe is committed to operational excellence and a focus on energy efficiency throughout our workspaces as well as throughout our digital supply chain with progress on consolidation (ex. Moving server labs to CoLos that commit to run on RE), virtualization (ex. From many CoLos to clouds the commit to run on RE), and regular technology refreshes (entire supply chain).  Additionally, through directly renewable energy and efficiency policy advocacy, with our NGO partners (ex. Ceres) and our peers, we are collaboratively working to decarbonize the grids we live and work on.  Essentially, we are managing our carbon footprint despite major business growth and we anticipate progress on both short- and long-term SBTs and our ambitious RE100 goals that do not rely on offsets but instead depend on true renewable energy additionality.   And, since we are ONLY using true grid-scale RE as an offset to absolute emissions, projects such as our open-access Bangalore solar PPA launched 2017, our aggregation with Facebook in a virtual PPA for 10MW of a wind farm in Nebraska in 2018, and Community Choice Aggregations (CCAs, "SJ Clean Energy" and "CleanPower SF"), 2019 green tariffs in Lehi, UT and Hillsboro, OR, 2019 on-site solar in Lehi, and other tools to deploy RE are up-and-running and are intended to meet our goals.  It is important to note that in 2019 Adobe began the process of raising the ambition on our SBTs (Scope 1+2 from 25% to 35%) and this will be reported on in 2020.</t>
  </si>
  <si>
    <t>Abs2 is our long-term SBTi goal.  Adobe commits to reduce absolute global scope 1 and 2 emissions by 80% by 2040 from 2015 levels.  As above, in 2019, we DECREASED our absolute emissions approximately -4% (location-based), -11% (market-based) and DECREASED our CO2e/FTE (carbon intensity) by -39% (location) and -48% (market) YoY from FY2018.  Adobe achieved an absolute reduction of -1% (location) and -14% (market) of Scope 1+2 emissions from our 2015 baseline.   Essentially, we are managing our carbon footprint despite major business growth but we anticipate progress on both short- and long-term SBTs in the coming years.   Important note:  in 2019 Adobe raised the ambition on our SBTs from "greater than 2C ambition" to "greater than 1.5C ambition":  Scope 1+2 from 25% to 35% by 2025.  These new, raised ambition targets will be verified, and progress reported against it in CDP,  in 2020.  We will be reviewing this goal (Abs 2) in 2020 to determine if 80% by 2035 is at the right level of ambition given Adobe does not purchase offsets or unbundled RECs and our RE100 goal is set to 2035.</t>
  </si>
  <si>
    <t>S3</t>
  </si>
  <si>
    <t>Scope 3 (downstream)</t>
  </si>
  <si>
    <t>Achieved</t>
  </si>
  <si>
    <t>No, but we are reporting another target that is science-based</t>
  </si>
  <si>
    <t>Abs3 is our target is SBTi goal 1 of 2 for Scope 3 emissions from downstream supply chain operations:  elimination of emissions (and resource consumption) in moving from a physical to 100% digital supply chain.  In 2012 Adobe adopted a cloud strategy for all products which not only made it easier and more efficient for customers to use Adobe products, but it also dematerialized our entire physical supply chain, eliminated all downstream waste and emissions from the businesses, all material waste and emissions from transportation and logistics throughout each product's lifecycle, and decreased the environmental impact of the customers by a minimum of 70% (at that time), with an average greater than 90% reduction, and greater than 95% when customers use Adobe products from a mobile device. The goal has been to achieve 100% digital download of products by 2020 -- this goal was achieved in early 2019 with 100% of all Adobe products delivered digitally and zero emissions from all previous physical supply chains.  An added benefit of putting this upstream purchased goods &amp; services goal in place has been to engage with suppliers throughout the value chain to help them set and meet RE100 and SBT goals.  Because of this, in 2019 Adobe set a brand new Scope 3 emissions SBT of committing that 55% of suppliers (by spend) will set SBTs by 2025 (this is equivalent to 66% of purchased goods &amp; services and capital goods emissions for approximately 52 suppliers).  This SBT was put into place in late 2019 and will be verified by the SBTi in 2020.</t>
  </si>
  <si>
    <t>No, and we do not anticipate setting one in the next 2 years</t>
  </si>
  <si>
    <t>Every year, we have a goal of being carbon neutral. As of December 31, 2019, we reached carbon neutrality for 100% of our FY2019 operational emissions, which represent Scope 1 + Scope 2 (market-based) + Scope 3 (business travel, candidate travel, and employee commuting).Abs1 covers Scope 1 + Scope 2 (market-based) + Scope 3 (business travel, candidate travel, and employee commuting). We committed to being carbon neutral in 2007 and we have achieved this goal each year since then. We maintain our commitment to carbon neutrality of our operational footprint first through energy efficiency, second, by signing long-term contracts for renewable energy directly from our utility providers and from renewable energy facilities in the same grid regions as our data centers, and lastly, by investing in high-quality carbon offset projects.We understand that CDP does not acknowledge carbon offsets as a way to reduce emissions, however, we do recognize offsets as a viable and important approach for mitigating our carbon emissions impact, as well as a critical component of our three-tiered carbon neutrality strategy.</t>
  </si>
  <si>
    <t>Abs2 includes Scope 1 emissions, and is our interim target for Abs3. On July 27, 2015, Google committed to tripling our purchases of renewables (then 1.1GW) by 2025 (see: https://www.whitehouse.gov/the-press-office/2015/07/27/fact-sheet-white-house-launches-american-business-act-climate-pledge). This was expected to result in installed production capacity of 3.4GW of renewable power and an annual GHG emissions reduction of approximately 2.7 million tCO2 by 2025, of which an increase of 1.8 million tCO2 in our annual GHG emissions reduction (from 0.9 million tCO2/year to 2.7 million tCO2/year) will be achieved by 2025.We exceeded this target in 2018, seven years early. From 2010 to 2019, we've signed 52 agreements totaling nearly 5.5 gigawatts of renewable energy. As of the end of 2019, our annual greenhouse gas emissions reductions from our renewable energy projects were 4.3 million metric tons, which puts us 238% of the way towards this goal from an emissions reduction perspective, and 191% of the way towards this goal from a renewable energy perspective. Our calculations assume that the grid emissions factors in the target year remain the same.Our overall energy usage from base year to target year is expected to increase, so this target is expected to result in an equivalent annual reduction of emissions from base year to target year of 124% by 2025, though we have written 100% as that is the maximum value possible for this field. Our % reduction from base year represents annual emissions reductions in our target year due to additional purchases of renewables (1.8 million tCO2), as compared to our annual base year emissions covered by this target (1.5 million tCO2). [(1.8 million tCO2/1.5 million tCO2) x 100 = 124%]. Our market-based Scope 2 emissions represented 92.2% of our combined Scope 1 and market-based Scope 2 emissions in 2019.</t>
  </si>
  <si>
    <t>Abs3 includes Low1, as well as Scope 1 emissions. In 2012, we set a long-term goal to purchase enough renewable energy to match all the electricity we consume globally on an annual basis. For the past three years (2017-2019) we achieved it: Google's total purchase of energy from sources like wind and solar exceeded the amount of electricity used by our operations around the world, including offices, data centers, and networking infrastructure. While we're still drawing power from the grid, some of which is from fossil fuel resources, we're purchasing enough wind and solar energy to match every megawatt-hour (MWh) of electricity our data center and office operations consume annually. In 2019, our annual GHG reductions from our renewable energy projects were 4.3 million metric tons. This puts us 191% of the way towards this goal from an emissions reduction perspective. Google is the largest cumulative corporate purchaser of renewable energy in the world. From 2010 to 2019, we've signed 52 agreements totaling nearly 5.5 gigawatts of renewable energy. Reaching our 100% renewable purchasing goal means that Google buys on an annual basis the same amount of MWh of renewable energy—both the physical energy and its corresponding renewable energy certificates (RECs)—as the amount of MWh of electricity that we consume for our operations around the world. Where possible, we buy this energy directly from our utility providers and from renewable energy facilities in the same grid regions as our data centers.Since we're using Abs2 as our interim target for Abs3 and it would be difficult to predict our emissions in 2040, we used most of the same data here for Abs3 as we did for Abs2. We know we'll increase our annual GHG emissions reduction by at least 1.8 million tCO2 of emissions (our Abs2 target) sometime before 2040. The actual reduction in tCO2 will likely be greater as we believe our Scope 2 emissions will grow between our base year and 2040. Matching 100% renewable energy is just the beginning. We'll continue to buy renewable energy to match our growing electricity load. And in those regions where we can't yet buy renewables, we'll keep working on ways to help open the market. At the same time, we're pursuing a longer-term ambition: to match every hour of our electricity consumption at every data center location with carbon-free electricity on the same grid.</t>
  </si>
  <si>
    <t>This target is company-wide; set at the Altria-level and includes all subsidiaries. The target was achieved in 2019 and replaced with a new 2030 target, which was validated by the Science Based Targets initiative.</t>
  </si>
  <si>
    <t>Scope 3 (upstream &amp; downstream)</t>
  </si>
  <si>
    <t>Revised</t>
  </si>
  <si>
    <t>This target is company-wide and includes all relevant Scope 3 categories. The target was revised in 2019 to include the investments category, changing base year inventories. The revised target was validated by the Science Based Targets initiative.</t>
  </si>
  <si>
    <t>New</t>
  </si>
  <si>
    <t>This target is company-wide; set at the Altria-level and includes all subsidiaries. This target was officially validated by the Science Based Targets initiative as consistent with reductions required to keep warming to 1.5°C.</t>
  </si>
  <si>
    <t>This target is company-wide and includes all relevant Scope 3 categories and was officially validated by the Science Based Targets initiative.</t>
  </si>
  <si>
    <t>S1+S2+S3</t>
  </si>
  <si>
    <t>Other, please specify: Scope 1+2 (market-based)+Scope 3 (business travel)</t>
  </si>
  <si>
    <t>Yes, we consider this a science-based target, but this target has not been approved as science-based by the Science-Based Targets initiative</t>
  </si>
  <si>
    <t>We are committing to achieve carbon neutrality for our operations Scope 1 and 2 (market-based) and 3 (business travel) (employee business travel, including third-party air, rail and rental cars) by 2025. Operations include all our managed facilities, field sites and data centers. To help us achieve this GHG goal, we are implementing energy efficiency projects and procuring renewable energy at our facilities. We also have an operational goal to reduce energy use by 35% across our global managed portfolio from 2011 to 2025. For unavoidable emissions we invest in certified carbon offsets to achieve the carbon neutrality commitment.</t>
  </si>
  <si>
    <t>We are committing to maintaining carbon neutrality for our operations Scope 1 and 2 (market-based) and 3 (business travel) (employee business travel, including third-party air, rail and rental cars) through at least 2040. Operations include all our managed facilities, field sites and data centers. To help us achieve this GHG goal, we are implementing energy efficiency projects and procuring renewable energy at our facilities. We also have an operational goal to reduce energy use by 35% across our global managed portfolio from 2011 to 2025. For unavoidable emissions we invest in certified carbon offsets to achieve the carbon neutrality commitment.</t>
  </si>
  <si>
    <t>Country/region</t>
  </si>
  <si>
    <t>AIG is a supporter of the UK Carbon Reduction Commitment (CRC) in the UK, and has committed to reducing the Carbon emissions associated with its UK business operations by 20% by the year 2020.  AIG's UK operations have exceeded the target commitment, reducing overall Scope 1 and Scope 2 emissions by 69 percent, more than three times the target. The CRC expired on 2020, so there won't be future reporting.</t>
  </si>
  <si>
    <t>S1</t>
  </si>
  <si>
    <t>Scope 1</t>
  </si>
  <si>
    <t>As a result of the significant efforts detailed in our 2019 Corporate Sustainability Report, the Company reduced actual annual diesel consumption by approximately 34 million liters from our 2017 baseline and by approximately 65 million liters after normalizing 2019 consumption for site acquisitions and new builds in 2018 and 2019 (normalization calculations make certain assumptions and estimates for newly acquired or built sites based on applying the average 2017 diesel usage per site). This normalized reduction represents the equivalent of 163,000 avoided metric tons of carbon dioxide equivalent (MTCO2e) and moves us 46% of the way to fulfilling our 10-year goal. The 65 million liter reduction is the equivalent of taking more than 35,000 cars off the road for a year or helping to preserve more than 65,000 acres of forest. Recognizing the significant positive environmental impact, American Tower will build on this early success and continue our methodical approach to decreasing fossil fuel consumption in all areas.  See the Energy section of our report below:https://www.americantower.com/corporate-responsibility/index.htmlORhttps://bit.ly/30BKrE2</t>
  </si>
  <si>
    <t>We set a 2020 target to reduce carbon emissions from our facilities (on-site combustion (scope 1) and purchased energy (scope 2) by 10% of baseline year 2012.  These sources accounted for 94% of our total Scope 1 and Scope 2 emissions in baseline year 2012. We have achieved our 2020 target ahead of schedule and we are currently in the process of setting our next iteration of carbon reduction targets. In the interim, we have set internal reduction targets to continue progress in reducing greenhouse gas emissions from our operations.</t>
  </si>
  <si>
    <t>Using the sectoral decarbonization approach (SDA) methodology, a medium term science-based reduction target would require Apple to reduce its Scope 1 and 2 emissions by 7 percent by 2020, relative to 2012 baseline emissions. We have reduced our Scope 1 and Scope 2 emissions by 68 percent since 2012, well surpassing what science-based targets call for. While we recognize we have already reached these science-based targets, we continue to drive down our emissions.  As of April 2020, we are carbon neutral for scope 1, 2, and scope 3 emissions relating to Apple's operations (employee commute and business travel) beginning in fiscal year 2021. And we also set an ambitious target to be carbon neutral by 2030 and reduce emissions by 75 percent, including our entire product life cycle scope 3 emissions.</t>
  </si>
  <si>
    <t>Using the sectoral decarbonization approach (SDA) methodology, a long-term science-based reduction target would require Apple to reduce its Scope 1 and 2 emissions by 52% by 2036, relative to 2012 baseline emissions. We have reduced our Scope 1 and Scope 2 emissions by 68 percent since 2012, surpassing the science-based target 17 years faster than what the approach dictates. While we recognize we have already reached these science-based targets, we continue to make yearly progress further reducing emissions within relevant boundaries.  As of April 2020, we are carbon neutral for scope 1, 2, and scope 3 emissions relating to Apple's operations (employee commute and business travel) beginning in fiscal year 2021. And we also set an ambitious target to be carbon neutral by 2030 and reduce emissions by 75 percent, including our entire product life cycle scope 3 emissions.</t>
  </si>
  <si>
    <t>S2</t>
  </si>
  <si>
    <t>Scope 2 (market-based)</t>
  </si>
  <si>
    <t>This target of reducing 100 percent of Scope 2 emissions for all of our worldwide facilities (by powering our facilities worldwide with 100 percent renewable energy) applies to all Apple corporate facilities, data centers, and retail stores worldwide. All reductions to be achieved primarily by energy efficiency projects and new Apple-created renewable generation projects and the direct procurement of bundled renewable energy. We achieved our 100 percent Scope 2 emissions reduction target for all of our worldwide facilities in January 2018, and have maintained it through fiscal year 2019.</t>
  </si>
  <si>
    <t>Scope 1+2 (market-based) +3 (upstream &amp; downstream)</t>
  </si>
  <si>
    <t>In 2020, we set a new goal to become carbon neutral for our entire carbon footprint by 2030. We plan to reduce emissions by 75 percent by 2030, compared to 2015 levels, through product design and engineering, energy efficiency and renewable energy, and direct emissions abatement. A science-based target aligned with 1.5 C trajectory calls for a 4.2% annual linear reduction. Since this equates to a 47% reduction over our target period, we consider our target to well-exceed the requirements for a science-based target.</t>
  </si>
  <si>
    <t>We have set an absolute Scope 1 GHG emissions reduction goal to reduce our emissions by 20% by EOY 2020, using an adjusted 2008 Scope 1 baseline of 1,354,054.  The adjusted baseline accounts for DIRECTV historical baseline Scope 1 emissions, and estimates for previously missing refrigerant emissions data.  We surpassed this goal, realizing a 26.8% reduction. AT&amp;T now has an SBTi-approved goal for Scope 1 emissions.  See below.</t>
  </si>
  <si>
    <t>AT&amp;T originally set a target to increase its Alternative Fuel Vehicle fleet. As time passed our traditional vehicle fleet became more efficient making our AFV goal less relevant in regards to emissions. AT&amp;T has set a new goal that is technology agnostic but focused on the end goal of reduced emissions. AT&amp;T has established a goal of a 30% emissions reduction for Domestic Fleet by the end of 2020. We surpassed this goal, realizing a 31% reduction.</t>
  </si>
  <si>
    <t>Approved by SBTi in 2020</t>
  </si>
  <si>
    <t>In 2019, we reached our goal of becoming carbon neutral for Scope 1 and 2 emissions, one year ahead of our plan. To reach this goal, we started by reducing our location-based emissions by 56% since 2010. Second, we have focused on purchasing renewable electricity in a way that supports new solar and wind. This is being done through installing onsite solar and long-term agreements for tax equity investments and small projects in underserved communities as well as signing power purchase agreements. Finally, for unavoidable emissions we purchased superior carbon offsets in each region in which we operate.</t>
  </si>
  <si>
    <t>We are committing to maintain carbon neutrality through at least 2040.</t>
  </si>
  <si>
    <t>In tandem with the carbon neutrality goal, we are committing to reduce our location-based emissions by 50%.</t>
  </si>
  <si>
    <t>For more information, see our target on sciencebasedtargets.org.  Full wording of our target is as follows: ''Biogen commits to a 35% reduction of absolute emissions across its entire value chain (scopes 1, 2 and 3) by 2030 from a 2013 base-year.Biogen adjusted its approach to engaging suppliers in 2017 to align with standard best practices. Scope 3 emissions are noticeably higher as they are no longer 100% matched with renewable energy certificates. Consequently, Biogen is evaluating its strategy towards achieving its 35% Absolute Reduction by 2030 target.</t>
  </si>
  <si>
    <t>BlackRock committed to reducing facility location-based GHG emissions by 30% by 2020. Due to the growth and acquisition of several companies since 2014, our base year, while we have continuously reduced our emissions YOY, and our square footage footprint has increased by 15% and headcount by 40.1%, we achieved 73% of our target with a 22% emissions reduction in 2019 compared with the base year.</t>
  </si>
  <si>
    <t>Historically, BNY Mellon had a Scope 1 and 2 target of 40% for globally owned or controlled locations excluding data centers by 2020 relative to 2008. On track to meet and exceed that goal, in 2018 emissions had been reduced by 55%. In 2019 BNY Mellon undertook the initiative of setting a new SBTi-based target that aligns with a well-below 2C scenario. The new target is inclusive of all global Scope 1 and 2 emissions, as well as those at data centers.Regarding the Target status as of 2019, it is both new since last year, and also underway in the sense that 2019 is the first year of data toward the new goal.</t>
  </si>
  <si>
    <t>As part of the company's carbon neutral commitment, BNY Mellon has plans to procure renewable energy for all Scope 2 electricity use through until 2020. In 2014, emissions from electricity made up 96% of BNY Mellon's total Scope 2 market-based emissions; therefore, procuring renewable electricity for all of the company's electricity needs would represent a 96% reduction in emissions compared to 2014 when no renewable electricity was purchased.In 2015 and 2016, BNY Mellon purchased 290,000,000 MkWh of Green-e Certified Renewable Energy Credits (RECs), 31,000,000 kMWh of Guarantees of Origin (GO) and 45,000,000 MkWh of PowerPlus Green Power to match the company's entire Scope 2 electricity use. In 2017, the company purchased 257,000 MWh of RECs, 34,000 MWh of GOs, 5,899 MWh of International Renewable Electricity Credits (I-RECs) and 35,919 MWh of PowerPlus Instruments to match BNY Mellon's entire Scope 2 electricity use. In 2018, BNY Mellon purchased 264,000 MWh of RECs, 28,500 MWh of Renewable Energy Guarantees of Origin (REGOs), 3,779 MWh of I-RECs, and 39,863 MWh of PowerPlus Instruments to match the company's entire Scope 2 electricity use. In 2019, BNY Mellon purchased 268,000 MWh of RECs, 28,185 MWh of Renewable Energy Guarantees of Origin (REGOs), 5,593 MWh of I-RECs, and 36,972 MWh of PowerPlus Instruments to match the company's entire Scope 2 electricity use.Rebaselined 2014 emissions include a change in methodology for emissions from steam.</t>
  </si>
  <si>
    <t>As part of the company's carbon neutral commitment, BNY Mellon has plans to procure renewable energy for all Scope 2 electricity use until 2020. BNY Mellon will consider continuing this program into 2040 and beyond. In 2014, emissions from electricity made up 92% of the company's total Scope 1 and 2 market-based emissions; therefore procuring renewable electricity for all of BNY Mellon's electricity needs would represent a 92% reduction in emissions compared to 2014 when no renewable electricity was purchased.In 2015 and 2016, BNY Mellon purchased 290,000 MWh of Green-e Certified Renewable Energy Credits (RECs), 31,000 MWh of Guarantees of Origin (GO) and 45,000 MWh of PowerPlus Green Power to match the company's entire Scope 2 electricity use. In 2017, the company purchased 257,000 MWh of RECs, 34,000 MWh of GOs, 5,899 MWh of International Renewable Electricity Credits (I-RECs) and 35,919 MWh of PowerPlus Instruments to match BNY Mellon's entire Scope 2 electricity use. In 2018, BNY Mellon purchased 264,000 MWh of RECs, 28,500 MWh of Renewable Energy Guarantees of Origin (REGOs), 3,779 MWh of I-RECs, and 39,863 MWh of PowerPlus Instruments to match the company's entire Scope 2 electricity use. In 2019, BNY Mellon purchased 268,000 MWh of RECs, 28,185 MWh of Renewable Energy Guarantees of Origin (REGOs), 5,593 MWh of I-RECs, and 36,972 MWh of PowerPlus Instruments to match the company's entire Scope 2 electricity use.Rebaselined 2014 emissions include a change in methodology for emissions from steam.</t>
  </si>
  <si>
    <t>The 25 percent GHG target is set for the large majority of Boeing's manufacturing facility operations, accounting for roughly 70 percent of Boeing's global Scope 1 and 2 GHG emissions inventory.  This target was developed using SBTi Sector-based approach.</t>
  </si>
  <si>
    <t>We have a 2020 Target to reduce our absolute scope 1 and 2 greenhouse gas emissions by 5% from a 2015 baseline. In 2019, BMS increased the reduction compared to the baseline for a total 21% reduction.</t>
  </si>
  <si>
    <t>Capital One has a year over year goal to be carbon neutral for Scope 1, 2 (market based) emissions. 11,719 MT of base year 2017 Scope 1 emissions where 0 due to purchased carbon offsets. The majority of 2017 Base year Scope 2 (market based) emissions were neutralized through REC purchases  as part of our 100 % renewable energy goal. The remaining 150 MT was from steam which equaled 1% of  the total Scope 1 and Scope 2 (market based)  emissions for 2017. In 2019 all Scope 1 was neutralized through carbon offsets. Scope 2 market based electricity was 0 due to REC purchases. Scope 2 steam was 0 due to carbon offsets</t>
  </si>
  <si>
    <t>Scope 3: Business travel</t>
  </si>
  <si>
    <t>Capital One has a year over year goal to be carbon neutral for Scope 3 business travel emissions.  Base year 2017 business travel emissions were 62,340 MT of CO2e and were neutralized through purchased carbon offsets. 34,539 MT of 2018 Business travel emissions were neutralized through carbon offsets</t>
  </si>
  <si>
    <t>These goals were set at the end of FY2017 following on the completion of our previous 5 year goals. These 5-year goals cover 100% of our Scope 1 and 2 emissions and exceeds the recommended 2.1% year-on-year emissions reduction. By 2019 we had reduced our Scope 1 and Scope 2 emissions by 49% absolute compared to our 2007 baseline. Our organization submitted this target to SBTi in April 2018 and it was successfully approved.</t>
  </si>
  <si>
    <t>Scope 3: Use of sold products</t>
  </si>
  <si>
    <t>Product-level</t>
  </si>
  <si>
    <t>Our Scope 3 product energy use goal is: Improve system power efficiency—as measured from the input from the facility to the board-mounted ASICs, memory and other chip devices—from 77 to 87% by FY2022 for large, rack-mounted equipment. This efficiency target will result in 13% absolute reductions in GHG emissions from network and facilities equipment operations by FY2022 from a FY2016 base-year.See question C6.5 for new methodology on calculation for Use of Sold products. Although our GHG emissions have decreased from 2016 to the most recent submission, we believe that may be have more to do with the new methodology and estimates that we're made going back further into the past.</t>
  </si>
  <si>
    <t>As part of our Operations goals, we have emission goals for Citi's global footprint. Our 2020 goal is to reduce carbon emissions by 35% and energy consumption by 30%, with an annual carbon reduction rate of 2.33%. As of 2019, we have surpassed this goal and achieved a 43.5% reduction. This is a science-based interim goal proportioned out so that the firm is on track to meet its long term science-based goal in 2050 of an 80% absolute reduction in emissions. Our 2020 goal is a medium term goal of 15 years and our long term goal is 45 years, both with a base year of 2005 and start year of 2006. Since Citi is part of the global initiative RE100 and committed to source 100% renewable electricity by 2020, the carbon reduction rate increases significantly, surpassing 2.1%.</t>
  </si>
  <si>
    <t>As part of our Operations goals, we have long term emission goals for Citi's global footprint. Our 2050 science-based goal is based upon our portfolio mix and is created to maintain reductions needed to cap global temperature increase at 2 degrees Celsius, taking into account the latest IPCC assessment. Though our long term science-based goal of an 80% reduction by the year 2050 gave an annual carbon reduction of 1.78%,  as Citi is part of the global initiative RE100 and committed to source 100% renewable electricity by 2020, the carbon reduction rate increases significantly, surpassing 2.1%.</t>
  </si>
  <si>
    <t>Through 2018, we achieved a 29.7% reduction in our Scope 1 (without fugitive emissions) + Scope 2 (Market Based) emissions versus our 2020 goal of 25% reduction. By 2019 we reached a 31% reduction from the 2002 baseline, continuing to surpass our target.Fugitive emissions are not included in our 2020 goal as they are a small fraction of our Scope 1 + Scope 2 market-based emissions (1.4%) and are not included in the approved Science-Based targets. However, fugitive emissions are measured, third party reviewed and reported.It is noted that approximately 95% of our Scope 1 + Scope 2 (Market Based) emissions are included in this target. The emission sources that are not covered by this target include fugitive emissions, a number of Colgate owned offices, warehouses and mobile sources (cars and trucks). In an effort to improve our reporting methodologies this year we reviewed those emission sources during our third-party verifications and will be included in our new commitment with the Science Based Targets and future reports.Our climate strategy is anchored in setting and achieving science-based goals to reduce greenhouse gases. As part of our 2015 to 2020 Sustainability Strategy, Colgate developed the 2020 and 2050 science-based goals to reduce absolute greenhouse gas emissions by 25% and 50%, respectively, compared to 2002. Colgate collaborated with CDP to develop these goals. Early on, CDP reviewed these goals and indicated that the 2020 and 2050 targets exceeded the requirements of the ''Linear Approach” to a science-based goal, which is based on the Intergovernmental Panel on Climate Change's ''RCP 2.6 Carbon Pathway,” one of the climate trajectories used for modeling and research. Our 2020 target also exceeds the requirements of the ''Sectoral Decarbonization Approach” to a science-based goal, which is based on the 2°C change in global average temperature scenario developed by the International Energy Agency (IEA). This target was officially approved by SBTi in 2017.  Now, Colgate is joining the Science Based Targets initiative, UN Global Compact and the We Mean Business Coalition's Business Ambition for 1.5°C campaign and has received approval for a new SBTs including Scope 1, 2 and 3 targets for 2025 and 2030, using 2018 as baseline that are aligned with limiting global temperature rise to 1.5°C above pre-industrial levels.</t>
  </si>
  <si>
    <t>Our climate strategy is anchored in setting and achieving science-based goals to reduce greenhouse gases. As part of our 2015 to 2020 Sustainability Strategy, Colgate developed 2020 and 2050 science-based goals to reduce absolute greenhouse gas emissions by 25% and 50%, respectively, compared to 2002. Colgate collaborated with CDP to develop these goals. Early on, CDP reviewed these goals and indicated that the 2020 and 2050 targets exceeded the requirements of the ''Linear Approach” to a science-based goal, which is based on the Intergovernmental Panel on Climate Change's ''RCP 2.6 Carbon Pathway,” one of the climate trajectories used for modeling and research. Our 2020 target also exceeds the requirements of the ''Sectoral Decarbonization Approach” to a science-based goal, which is based on the 2°C change in global average temperature scenario developed by the International Energy Agency (IEA).  This target was officially approved by SBTi in 2017.To meet the 50% reduction goal of Scope 1 + Scope 2 emissions by 2050 with 2002 base year, we should have achieved the percent reduction of Scope1 + Scope 2 emissions that we attained through 2019 by 2028 indicating that we are ahead of schedule to accomplish that goal.Now, Colgate is joining the Science Based Targets initiative, UN Global Compact and the We Mean Business Coalition's Business Ambition for 1.5°C campaign and has received approval for a new SBTs including Scope 1, 2 and 3 targets for 2025 and 2030, using 2018 as baseline that are aligned with limiting global temperature rise to 1.5°C above pre-industrial levels.</t>
  </si>
  <si>
    <t>In 2017, the SBTi approved Colgate's science based target which included a Scope 3 aspect related to consumer use of our products: ''Colgate-Palmolive Company commits to reduce absolute Scope 1 and 2 greenhouse gas emissions from manufacturing by 25% from 2002 to 2020, with a longer term goal of a 50% reduction by 2050. Colgate also commits, as a way to reduce our most significant Scope 3 greenhouse gas emissions, to promote water conservation awareness to 100% of our global consumers and reduce emissions associated with consumer behaviour by up to 5% from 2016 to 2022, and increase the recycled content of our packaging to 50% by 2020.”We achieved a median value of 5% reduction in emissions associated with consumer behaviour, relative to a 2016 baseline and based on consumer survey results from 2019. Reduction estimates range from 3-7% due to inherent variability in consumer behaviours.</t>
  </si>
  <si>
    <t>Scope 1+2 (location-based) +3 (upstream &amp; downstream)</t>
  </si>
  <si>
    <t>Business division</t>
  </si>
  <si>
    <t>SkyZero is a 2030 Zero Carbon goal that applies only to the Sky business unit.  This target covers Sky's Scope 1, 2, and 3 emissions and is in line with a 1.5 degree C trajectory.</t>
  </si>
  <si>
    <t>Comcast has established an aspirational goal to have zero emissions. This goal is not time-bound, nor is it measured to a static base year; rather, this goal is evaluated at a point in time. For this response, we have assessed our progress for calendar year 2019. 388,377 metric tons CO2e represents the Comcast Cable fleet (not including Sky or NBCUniversal) at the close of 2017 and will serve as the base for this evaluation.</t>
  </si>
  <si>
    <t>Comcast has established an aspirational goal to source 100% renewable energy. This goal is not time-bound, nor is it measured to a static base year; rather, this goal is evaluated at a point in time. For this response, we have assessed our progress for calendar year 2019. 1,925,233 metric tons CO2e represents only Comcast Cable and NBCUniversal at the close of 2017 and will serve as the base for this evaluation.</t>
  </si>
  <si>
    <t>During 2019, we continued our aggressive emissions reduction measures in order to meet the science-based target we set forth in 2017 to reduce our combined Scope 1 and 2 market-based emissions 36 percent by 2030 over the 2010 baseline and we achieved it. This target has been approved by the Science-Based Targets initiative (SBTi). Through 2019 we achieved a 37 percent absolute reduction in market-based Scope 1 and 2 emissions over the 2010 baseline.</t>
  </si>
  <si>
    <t>During 2019, we continued our aggressive emissions reduction measures in order to meet the science-based target we set forth in 2017 to reduce our combined Scope 1 and 2 market-based emissions 56 percent by 2050 over the 2010 baseline. This target has been approved by the SBTi. Through 2019 we achieved a 37 percent absolute reduction in market-based Scope 1 and 2 emissions over the 2010 baseline.</t>
  </si>
  <si>
    <t>Duke Energy's current plan to achieve a 50% reduction in our Scope 1 CO2 emissions from electricity generation by 2030 is consistent with a pathway to achieve a science-based two-degree target.  See our 2020 Climate Report for more details.This target equates to a reduction from 138 million metric tons of CO2 in 2005 to 69 million metric tons of CO2 in 2030.  As of 2019, our generation fleet emitted 84.4 million metric tons of CO2. This reduction (138 - 84.4 = 53.6) is 78.4% of our target reduction of 69 million metric tons.</t>
  </si>
  <si>
    <t>In 2019, Duke Energy established this target of net-zero Scope 1 CO2 emissions from the company's electricity generation by 2050.  As of 2019, our generation fleet emitted 84.4 million metric tons of CO2. This reduction (138 - 84 = 53.5) is approximately 39% of our target reduction of 138.8 million metric tons. Duke Energy's current plan to achieve net-zero Scope 1 CO2 emissions from electricity generation by 2050 is consistent with a pathway to achieve a science-based two-degree target.  See our 2020 Climate Report for more details.</t>
  </si>
  <si>
    <t>Scope 1+2 (location-based) +3 (upstream)</t>
  </si>
  <si>
    <t>We have committed to reduce our greenhouse Gas (GHGs) emissions 30% including sourcing 60% of electricity from renewable energy. Our emissions target covers all Scope 1 and Scope 2 greenhouse gas emissions as well as mobile fuels (Scope 3, Category 3). In the future we may consider market-based Scope 2 emissions in addition to/instead of location-based Scope 2 emissions covered in this target.The impact of climate change is widespread across both human populations and natural ecosystems. Addressing climate change, and the greenhouse gas (GHG) emissions that contribute to it, requires urgent action and long-term commitments by every segment of society. With this commitment, we will act to drive down our GHG emissions at a pace that is aligned with climate science. We will procure our electricity from more renewable sources, ramp up our work on energy efficiency projects that deliver the most value and advocate for consistent, predictable policy and regulatory environments that foster innovation, investment and economic growth.</t>
  </si>
  <si>
    <t>We have committed to delivering carbon neutral operations by 2050. Our emissions target covers all Scope 1 and Scope 2 greenhouse gas emissions as well as mobile fuels (Scope 3, Category 3). In the future we may consider market-based Scope 2 emissions in addition to/instead of location-based Scope 2 emissions covered in this target.The impact of climate change is widespread across both human populations and natural ecosystems. Addressing climate change, and the greenhouse gas (GHG) emissions that contribute to it, requires urgent action and long-term commitments by every segment of society. With this commitment, we will act to drive down our GHG emissions at a pace that is aligned with climate science. We will procure our electricity from more renewable sources, ramp up our work on energy efficiency projects that deliver the most value and advocate for consistent, predictable policy and regulatory environments that foster innovation, investment and economic growth.</t>
  </si>
  <si>
    <t>Other, please specify: Scope 1 &amp; 2 Controllable Operations</t>
  </si>
  <si>
    <t>Exelon established this third generation GHG goal in 2017 to reduce 100% of its emissions from internal operations (emissions controllable by our employees and processes) 15% from a 2015 baseline by 2022 (2.2% reduction per year).   At the time, a 2.2% reduction was recommended by the EPA to be in line with the Paris Accord. Our goal was intended to be achieved be despite new equipment coming online due to business growth expected in 2018.  The actual public facing goal is on Market-driven emissions, allowing for use of clean energy purchases to be part of performance, but per CDP requirements, the goal is being reported here based on absolute location-based emissions.  Emissions sources covered by this goal include all building and support equipment electricity uses, emergency and auxiliary stationary combustion sources, fleet vehicles, natural gas distribution systems, SF6 electrical insulated equipment, and refrigerant sources.  Emissions not included under this goal are those we own but do not have direct control over and which are measured and managed under different GHG emissions programs.  These emission sources include our Scope 1 emissions from electric generation since the level of operation for these units is determined by grid demand for electricity and resulting plant dispatch as determined by the grid balancing authority (outside of our full operational control since we have a commitment to the grid to be available as needed to meet demand); and Scope 2 emissions associated with transmission and distribution line losses since these emissions are primarily driven by the volume of electricity required to be delivered to utility customers (similarly outside of our full day-to-day operational control since we have a commitment to the public utility commissions to deliver power as needed). It should be noted, that for these other sources, Exelon does maintain performance management indicators such as lbs/MWh generated and % loss of MWh delivered are used to ensure a continued focus on GHG emission reduction efforts being implemented.  Looking across these three performance programs ensures ongoing management of emissions across 100% of our corporate-wide GHG inventory.</t>
  </si>
  <si>
    <t>An original goal was set in 2010, aiming to reduce the company's global carbon dioxide emissions from manufacturing operations by 30 percent per vehicle produced by 2025. Ford achieved that goal in 2017, eight years ahead of schedule. A new goal has been developed using science-based methodology and 2DS.  With 2017 as the baseline year, an absolute target has been set for an absolute tCO2e reduction of 16.2% by 2023.  (SBTi). We plan on submitting targets for Scope 1, 2, and 3 (use of sold products) for SBTi approval within 2 years.Progress: ABSOLUTE TARGET 1 is a 16.2% reduction in Scope 1+Scope 2(location-based) between 2017 and 2023.  The 2017 base year emissions are 4168442 t CO2e. 16.2% of 4168442 is 675287.6 tCO2e reduction required by 2023.In 2019 our S1+S2(loc) emissions are 3636301 t CO2e, which is 4,168,442-3,636,301=532,141 t CO2e lower than 2017.  We have reduced 532,141 t out of the 675,287.6 t needed to meet the reduction target.  532,141 /675,287.6=0.788=78.8% of the reduction target has been achieved.</t>
  </si>
  <si>
    <t>An original goal was set in 2010, aiming to reduce the company's global carbon dioxide emissions from manufacturing operations by 30 percent per vehicle produced by 2025. Ford achieved that goal in 2017, eight years ahead of schedule. A new goal has been developed using science-based methodology and 2DS.  With 2017 as the baseline year, our goal of 100% renewable scope 2 energy at manufacturing locations gives us 75% reduction in scope 1+scope 2 absolute tCO2e by 2035.  We plan on submitting targets for Scope 1, 2, and 3 (use of sold products) for SBTi approval within 2 years.  Ford intends to establish targets and metrics for select suppliers starting in early 2021. Progress: ABSOLUTE TARGET 2 is a 75% reduction in Scope 1+Scope 2(location-based) between 2017 and 2035.  The 2017 base year emissions are 4,168,442 t CO2e. 75% of 4,168,442 is 3,126,332 tCO2e reduction required by 2035.In 2019 our S1+S2(loc) emissions are 3,636,301 t CO2e, which is 4,168,442-3,636,301=532,141 t CO2e lower than 2017.  We have reduced 532,141 t out of the 3,126,332  t needed to meet the reduction target.  532,141/3,126,332 = 0.17=17% of the reduction target has been achieved.</t>
  </si>
  <si>
    <t>GE's goal for GHG reductions is a 20% absolute reduction from a 2011 baseline of operational GHG emissions by 2020 and was developed in concert with ''The 3% Solution,” a science-based methodology from the World Wildlife Fund (WWF) and CDP.</t>
  </si>
  <si>
    <t>GM met our Scope 1 and 2 GHG 2020 goal in 2017 and developed an absolute goal to 2010-2030, based on science, to limit global temperature rise to below 2 degrees Celsius above pre-industrial levels. Energy efficiency in our operations and RE100 provide the methods to meet our goal in the future.  The model used is from Ecofys and is consistent with Science Based Initiative ("SBTi") 2DS for general industry for Scope 1 and 2 and is based on market-based emissions.  As we are working on scope 3 SBTi, along with other OEMs, we will apply for SBTi when scope 3 goals are finalized and update this goal using a well below 2-degree model.  In 2019, GM's Scope 1 and 2 emissions are 5.3 Million tons and pathway of 6.2 Million tons, so we are ahead of pathway.</t>
  </si>
  <si>
    <t>GM is implementing a short-term goal to reduce vehicle emissions with advanced technologies: Stop-Start, Downsized Turbo, and Advanced Transmissions for GM vehicles in use by our customers.  The goal will be met with aggressive penetration into vehicle markets by 2021.  It is based on reducing GHG emissions during the use phase of sold vehicles starting at annual US GHG emissions in 2016 and reducing an absolute amount of 390,290 metric tons on GHG by 2021.   With 259,493 metric tons GHG reduced by 2019 with advanced technologies, we are at 81% or our goal.</t>
  </si>
  <si>
    <t>This Scope 1+2 absolute reduction target aligns with/exceeds SBTi's April 2019 criteria for the well below 2 degrees Celsius pathway of ~2.5% linear reduction per year.</t>
  </si>
  <si>
    <t>We have a commitment to remain carbon neutral (i.e. net zero carbon emissions) from 2015 onward. This carbon neutrality commitment includes all global facilities within our operational control (i.e. offices, data centers) and business travel emissions within our supply chain.  To achieve this commitment, we follow our Carbon Reduction Framework, which includes ambitious targets to implement energy efficiency and procure renewable energy at our facilities.  The energy efficiency (10% absolute energy reduction from 2013 to 2020) and renewable energy (100% renewable electricity by 2020) targets are further detailed in C4.2 of this CDP response.  Recognizing that these activities alone will not achieve net zero carbon emissions, we invest in certified carbon offsets to achieve the carbon neutrality commitment.  It is instructive to note that the 2019 base year emissions provided for Abs1 are the gross market-based emissions (before offsets) within the defined target boundary and consequently the certified offsets purchased are equivalent to these gross emissions. To maximize our transparency to CDP stakeholders, we have reported Abs1 with the understanding that CDP guidance requests that carbon offsets are not reported in C4.1. We have taken this approach as we believe it is an important component of disclosing our progress.  Furthermore, we are confident that our reporting of Abs2, Abs3, and energy and renewable energy targets in C4.2 provides CDP with targets that satisfy the reporting guidance as they do not include carbon offsets.We have achieved our carbon neutrality commitment in 2019 through a combination of energy efficient operations and the purchase of renewable electricity and the purchase of carbon offsets.</t>
  </si>
  <si>
    <t>Abs2 is the result of two operational commitments, detailed in C4.2 in this CDP response, and includes 100 percent of our Scope 1 and Scope 2 (market-based) emissions.  To achieve this commitment, we follow our Carbon Reduction Framework, which includes ambitious targets to implement energy efficiency and renewable energy at our facilities. The reduction during this target period will be achieved through the combination of our energy efficiency (10% absolute energy reduction from 2013 to 2020) and renewable energy (100% renewable electricity by 2020) targets which are further detailed in C4.2 of this CDP response.  Achievement of these commitments will far outpace the CDP leadership requirement of 2.1% year-on-year emissions reductions between base year (2013) and target year (2020).We have achieved an 91% reduction in 2019 compared to 2013. This performance is significantly ahead of the 2.1% year-to-year reduction requirement and already exceeds the 15% reduction target by 2020.  We are committed to maintaining and exceeding this level of performance in the years to come.</t>
  </si>
  <si>
    <t>Abs3 is the result of two operational commitments, detailed in C4.2 in this CDP response, and includes 100 percent of our Scope 1 and Scope 2 (market-based) emissions. To achieve this commitment, we follow our Carbon Reduction Framework, which includes ambitious targets to implement energy efficiency and renewable energy at our facilities. The reduction during this target period will be achieved through the combination of our energy efficiency (10% absolute energy reduction from 2013 to 2020) and renewable energy (100% renewable electricity by 2036) targets which are further detailed in C4.2 of this CDP response.  Achievement of these commitments will far outpace the CDP leadership requirement of 2.1% year-on-year emissions reductions between base year (2013) and target year (2036).We have achieved an 91% reduction in 2019 compared to 2013. This performance is significantly ahead of the 2.1% year-to-year reduction requirement and already exceeds the 50% reduction target by 2036.  We are committed to maintaining and exceeding this level of performance in the years to come.</t>
  </si>
  <si>
    <t>Other, please specify: Target includes Scope 1 (stationary fuel combustion) emissions, Scope 2 emissions (market-based) and Scope 3 (co-location data centers) emissions.</t>
  </si>
  <si>
    <t>IBM's target is developed based on science and in-line with IPCC assessments and recommendations. However, we did not pursue, nor do we believe necessary to seeking "approval" by the Science-Basted Targets initiative.IBM's fourth-generation GHG emissions reduction goal is to reduce emissions associated with IBM's energy consumption 40% by 2025 against the 2005 baseline, adjusted for divestitures and acquisitions. The target covers IBM's Scope 1 and Scope 2 emissions (market-based) associated with IBM's operational use of energy, and emissions associated with the electricity IBM consumes at its data centers located in third party managed facilities, categorized as Scope 3 emissions of "Purchased goods and services".Achieving the IBM goal requires a 2 % per year absolute reduction in GHG emissions over the period of the goal. This is in line with the generally referenced target of an annualized reduction rate of 2% or higher to meet the goal of maintaining global temperature increases to 2 degrees Celsius or less.</t>
  </si>
  <si>
    <t>2010</t>
  </si>
  <si>
    <t>This target was set in 2010 as a long-term goal.  In 2015 it was evaluated to determine if it was in alignment with science-based targets.  The evaluation concluded that our original goal was consistent with a 2-degree pathway and also provided us with additional information for setting a long-term 2050 goal.  Additionally, our next generation goal (scopes 1, 2 and 3) has been pre-approved by the Science-based Targets Initiative and will be launched in the next year.  While we do not currently have a quantitative CO2 reduction goal for Scope 3 emissions, we continue to drive improvement across our supply base through our Sustainable Procurement Program.  Our Health for Humanity 2020 Goal is to enroll suppliers covering 80% of spend in our Sustainable Procurement Program by 2020. To achieve this, we set incremental annual targets for percentage of spend with suppliers enrolled in our Sustainable Procurement Program.  In 2019 the top 71% of suppliers within the annual percentage spend target participated. Participating suppliers must conform to our Responsibility Standards for Suppliers and fulfil one or more of four requirements listed below, determined for each supplier category by category leadership: 1) Transparency: publicly reporting two or more sustainability goals and tracking progress over time;  2) Disclosure to Action: annual participation in CDP Supply Chain disclosure;  3) Sustainability Excellence: achieving a high performers assessment score (using industry standard methods); 4) Leadership: implementing category-specific goals that support relevant industry trends, practices or innovative ideas to which suppliers and others may contribute.  We then use this data to identify opportunities to collaborate with our suppliers on emission reduction activities.</t>
  </si>
  <si>
    <t>In addition to our 2020 Goal, we have a goal to reduce absolute carbon emissions 80% by 2050.  This target was evaluated in 2015 and found to be in alignment with the 2-degree pathway science-based targets using the Sectoral Decarbonization Approach (SDA) model.</t>
  </si>
  <si>
    <t>Replaced</t>
  </si>
  <si>
    <t>This target was achieved/exceeded in 2017 and replaced with a 100% renewable energy consumption target. Net emissions reductions (using market-based Scope 2) over the 2005 baseline totalled 54% through 2019. [(637,798-1,392,704) / 1,392,704 = 54% This reduction represents a 108% completion of our goal to reduce emissions 50% by 2020 over the 2005 baseline. (54% / 50%=108%).</t>
  </si>
  <si>
    <t>Lockheed Martin's absolute target includes Scope 1 and 2 emissions of CO2, CH4, N2O, and HFC from the following sources: electricity generation, natural gas, chilled water, jet fuel, gasoline, diesel, propane, #2 fuel oil, and refrigerants.  We define our Go Green year as a twelve-month period from November 1 through October 30 to align with our internal reporting requirements while taking into account time for utility company invoicing. Lockheed Martin takes a comprehensive approach to energy reduction and GHG management. When establishing our reduction targets, we consider past performance, the goals of our primary customers, projected business growth and the material issues of our key stakeholders. We have also evaluated our performance through tools for science-based goal setting approaches including: 1) ''Science-Based GHG Performance Model” developed by the Center for Sustainable Organizations (CSO); 2) ''Sectoral Decarbonization Approach (SDA) published by the Science Based Targets Initiative (SBTI), Ecofys, CDP, World Wildlife Fund (WWF) and World Resources Institute (WRI); and 3) ''The 3% Solution Calculator” developed by CDP, WWF and McKinsey &amp; Company. The outcomes projected by these tools reflect that our targets and performance to date produce stronger results and are more aggressive than the science-based method.</t>
  </si>
  <si>
    <t>This target encompasses all Scope 1 and Scope 2 emissions produced by Lowe's and our subsidiaries. Emissions reduced can be attributed to significant improvements in energy efficiency from the LED retrofitting.  The scope of work of these projects has increased since the first installations. Also, EPA grid factors within the US has helped reduce our Scope 2 emissions as well. Additional efforts with our supply chain route optimization and investments in additional bulk distribution centers have reduced our emission impact around delivering products to stores/consumers.</t>
  </si>
  <si>
    <t>Even before the formal approval of our Science Based Targets, Mastercard implemented a cohesive strategy to achieve our 2025 emission reduction goals.  In 2019, Mastercard expanded their sustainability department by creating a Sustainability Analyst role who is responsible for data tracking, greenhouse reduction project tracking and support for various scope 3 activities. This individual will be fully integrated into our Real Estate Services division.  For example, we are currently exploring monitoring-based commissioning and advanced energy analytics, low-carbon technology and onsite renewable generation projects at our larger campuses. Please note that the base year was updated in accordance with Mastercard's Inventory Management Plan.</t>
  </si>
  <si>
    <t>In preparation for our commitment to Science Based Targets, Mastercard implemented a cohesive strategy to achieve our 2025 emission reduction goals.  This included the creation of a Global Sustainability Supply Chain Specialist position, who is responsible for quantifying, targeting, and reducing carbon emissions throughout our supply chain.  Starting by identifying our top emitters by spend, we are now working directly with these suppliers to calculate actual emissions resulting from our purchase of goods and services.  We increased our CDP Supply Chain requested participation from 12 suppliers in 2016, to a service provider base that constituted 60% of our global spend in 2017.  Our goal for 2019 is 75% of global spend.  This specialist is working hand in hand with first time CDP reporters to help guide them through the process and create more accurate emission calculation methodologies. Please note that the base year was updated in accordance with Mastercard's Inventory Management Plan.</t>
  </si>
  <si>
    <t>Other, please specify: Other, please specify: Scope 1+2 (market-based) +3 (waste generated in operations)</t>
  </si>
  <si>
    <t>The Company will partner with Franchisees to reduce greenhouse gas emissions related to McDonald's restaurants and offices by 36% by 2030 from a 2015 base year.The target includes all Company-wide Scope 1 &amp; 2 emissions, as well as operational waste (upstream Scope 3) for all restaurants (Company-owned and franchised) and Scope 1&amp;2 emissions for Franchisee restaurants (downstream Scope 3).We continue to be on track to meet the restaurant and offices portion of our Science-Based Target. Absolute emissions related to restaurants and offices have reduced from our 2015 base year despite an increase in total restaurants worldwide through 2019. Beyond the progress reported here, once online, the US VPPA deals referenced in section C4.3b are expected to contribute an additional 16% reduction from the 2015 baseline (or 43% of the restaurants and offices portion of our global Science-Based Target).These figures reflect the latest enhancements to our 2015 base year emissions and 2018 emissions estimates, which have been updated based on best practice guidance on leveraging the latest methodology and data available. Having recalculated the 2018 emissions data with updated methodology, we have seen a lower reduction than previously reported and have adjusted our progress reporting accordingly.As we continue to enhance our methodology and data quality in future years, we can expect the baseline and annual progress figures to further adjust in future reporting cycles.</t>
  </si>
  <si>
    <t>Our goal is a 40% absolute reduction in GHG emissions from 2015 to 2025. We used the "Sectoral Decarbonization Approach" to calculate and set this goal as allowed by the SBTi.  The base year emissions have been adjusted in accordance with the Greenhouse Gas Protocol: A Corporate Accounting and Reporting Standard (Revised Edition) to include changes in our operating boundary and any new information that allows us to quantify emissions more accurately.  The most significant contributors to decreasing our GHG emissions were demand reduction and conservation, energy-efficiency projects, consolidation of our office, lab and manufacturing spaces; and the shift of some of our power supply from purchased electricity to on-site-generated electricity through combined heat and power systems, as well as a large increase in utilization of renewable energy.</t>
  </si>
  <si>
    <t>In late 2015, MetLife established a 10% location-based GHG reduction target by 2020 (2012 baseline year). This reduction target applies to MetLife's global owned and leased offices, the Auto &amp; Home business automobile fleet, and business travel.  This target was reported for the past few years through the CDP. This reduction target is part of a broader carbon neutrality commitment (also announced in 2015) to achieve and maintain carbon neutrality for all Scope 1 and 2 GHG emissions from MetLife's owned and leased office facilities around the world, from the Auto and Home Vehicle Fleet, and from Scope 3 business travel by the end of 2016. In conjunction with this goal, MetLife set a 10% global energy reduction target by 2020 (2012 baseline) and a goal to require 100 of our suppliers to disclose their GHG emissions data and emission-reduction activities.  Currently the 2019 emissions indicate that MetLife has achieved and exceed the 10% emission reduction goal.  The 2019 emissions are 129,852 metric tons CO2e.  As a financial services company, the methodology for setting science-based targets is still evolving. A commitment to carbon neutrality aligns with forward-looking scenarios to limit average global temperature increases to 2°C and demonstrates MetLife's immediate and long-term concern for providing a healthy environment for our customers. Our additional 10% energy reduction target, 10% location-based GHG reduction target, and supply chain engagement goal by 2020 further show our commitment to making actual reductions in the short-term and are aligned with climate science. MetLife looks forward to seeing how the Science-Based Target (SBT) initiative for financial service companies will evolve in coming years, so that we can set science-based targets in alignment with approved methodology. Emissions reductions reflected to date have been achieved through various emissions reduction strategies, including energy efficiency capital projects, integration of sustainability practices into new workspaces, office space consolidation in metropolitan markets to reduce bottom line expenses and maximize operational and environmental performance, and increased use of collaboration tools, such as telepresence, videoconferencing, web-ex, and more, to offset employee travel.</t>
  </si>
  <si>
    <t>In late 2015, MetLife set a goal to achieve and maintain carbon neutrality for all Scope 1 and 2 GHG emissions from MetLife's owned and leased office facilities around the world, the Auto and Home Vehicle Fleet, and Scope 3 business travel by the end of 2016.  In conjunction with this goal, MetLife set a 10% global energy reduction target by 2020 (2012 baseline) and a goal to require 100 of our suppliers to disclose their GHG emissions data and emission-reduction activities. MetLife first achieved this carbon neutrality goal in December of 2016, achieved again in 2017, 2018, 2019 and intends to maintain this status moving forward. For the purpose of this report, we are reporting carbon neutrality as a year over year 100% reduction in Scope 1 +2 market-based emissions and Scope 3 business travel. The base year emissions are MetLife's 2019 location-based emission figures, which as a result of purchasing renewable energy credits and third-party certified carbon credits in MetLife's markets of operation become neutralized. As a financial services company, the methodology for setting SBTs is still evolving. A commitment to carbon neutrality by 2016 aligns with forward-looking scenarios to limit average global temperature increases to 2°C and demonstrates MetLife's immediate and long-term concern for providing a healthy environment for our customers. Our additional 10% energy reduction target, 10% location-based GHG reduction target, and supply chain engagement goal by 2020 further show our commitment to making actual reductions in the short-term and are aligned with climate science. MetLife looks forward to seeing how the SBT initiative will evolve in coming years, so that we can set science-based targets in alignment with approved methodology. Emissions reductions reflected to date have been achieved through various emissions reduction strategies, including energy efficiency capital projects, integration of sustainability best practices into new workspaces, office space consolidation in metropolitan markets to reduce bottom line expenses and maximize operational and environmental performance, and increased use of collaboration tools, such as telepresence, videoconferencing, web-ex, and more, to offset employee travel. MetLife continues to evaluate the progress of our 2020 target by collaborating with business partners to collect and aggregate data.</t>
  </si>
  <si>
    <t>Other, please specify: Scope 1 + Scope 2 (market-based) + Scope 3 (upstream business air travel only)</t>
  </si>
  <si>
    <t>Starting in July 2012, Microsoft had a target to be carbon neutral every year from fiscal year (FY) 2013 onward. We achieved carbon neutrality in FY19 (the reporting period) through a combination of onsite renewable electricity generation, internal energy efficiency projects, and purchases of renewable electricity and carbon offsets. We understand that CDP guidance requests that companies not consider carbon offsets when reporting targets in C4.1. However, we have elected to report offsets in order to communicate these GHG emissions management activities; we have also reported additional targets that do not use offsets (see Abs2 and Abs3). Note that the start, base, and target years reported are based on the Microsoft fiscal year. Our start year for this commitment is FY13—the first year in which we achieved carbon neutrality—and we committed to achieving carbon neutrality in all subsequent years. Because our commitment is ongoing and achieved annually, the base year (FY18) is the year prior to the target year (FY19, the reporting year). The FY18 base year emissions reported here are zero because we achieved our carbon neutral target in FY18. In FY20, Microsoft committed to shift our carbon-offsetting activity to accredited carbon removals, consistent with an emerging non-governmental organization (NGO) definition of net-zero emissions. Additionally, in January 2020, Microsoft announced that, by 2030, we will become carbon negative, annually removing more emissions from the atmosphere than our total scope 1, 2, and 3 emissions combined, and by 2050, we will remove all the carbon the company has emitted either directly or by electrical consumption since it was founded in 1975. This will be achieved through both reductions in our scope 1, 2 and 3 emissions and a portfolio of negative emission technologies (NET), potentially including afforestation and reforestation, soil carbon sequestration, bioenergy with carbon capture and storage (BECCs), and direct air capture (DAC).</t>
  </si>
  <si>
    <t>In 2017, Microsoft committed to reducing absolute scope 1 + scope 2 (market-based) emissions by 75 percent by 2030, against a 2013 baseline. This would help avoid more than 10 million metrics tons of carbon emissions by 2030. This puts Microsoft on a path, as a company, to meet the goals set in the Paris climate agreement, which is a level of decarbonization that many scientists believe is necessary to keep global temperature increase below 2 degrees Celsius. Additionally, in September 2019, the Science Based Targets Initiative (SBTI) certified Microsoft's target to reduce scope 3 GHG emissions intensity per unit of revenue 30 percent by 2030 from a 2017 base year and to avoid growth in absolute scope 3 emissions. And in January 2020, we announced a bolder goal of reducing our scope 1 and 2 emissions to near zero by 2025, which we will achieve through energy efficiency, energy decarbonization (100 percent renewable energy by 2025), and fleet electrification. We also announced that we will take our scope 3 ambitions a step even further, reducing our total scope 3 emissions by 55 percent by 2030.</t>
  </si>
  <si>
    <t>Abs3 is not a standalone target but rather the outcome of our carbon neutral (now net-zero) (Abs1) and renewable electricity commitments; it is an extension of Abs2. As a result of our indefinite commitment to renewable electricity and our new commitment to reduce our scope 1 and 2 emissions to near zero by 2025, we will maintain or exceed a 75 percent scope 1 and scope 2 (market-based) decrease from our FY13 base year beyond the 2030 target year in Abs2.</t>
  </si>
  <si>
    <t>In 2015, we established new 2020 sustainability goals that placed us at the forefront of the fight against climate change and support our 2020 ambition to be the leader in well-being snacks while driving down costs and creating efficiencies to accelerate our growth. We used the science-based targets methodology to set absolute CO2 from energy emissions reduction goals from manufacturing by 15% from base year 2013 as part of our ambitious end-to-end approach. We consulted with the science-based target setting organisations at the time and supported the We Mean Business coalition in 2015. However, this goal is not validated by the current SBT Initiative and does not cover Scope 3 emissions.  In our Snaking Made Right 2019 Progress Report, we report our 2020 CO2 reduction goal as 'achieved' on the basis that the reduction reported above is 15% when rounded to the nearest percentage point.</t>
  </si>
  <si>
    <t>Our Science-Based Target is to reduce absolute Full Scope GHG emissions 10 % by 2025 from a 2018 base year, with a scope 3 focus on the main source of impacts, purchased goods and services, including emissions from land-use change.The combined scope 3 target(s) cover 79% of total scope 1, 2 and 3 emissions, corresponding to the following categories: Purchased Goods and Services and Waste Generated in Operations. Purchased goods and services represent on their own 78% of our scope 3 emissions, together with waste generation in operations, our scope 3 targets cover 79% of scope 3 emissions, significantly above the 2/3 threshold required by the SBTi criteria. We defined a focused scope 3 strategy aiming at significantly reducing  food impact, through actions to reduce emissions from agricultural production and deforestation in key raw material supply chains, as well as food waste. Since integrating the impacts of land-use change into our GHG reporting in our 2019 CDP Climate submission, we also include land-use change in the scope of our Science-Based Target. We do not report performance for 2019 in this question. Changes in 2019 scope 3 emissions from the prior year are mainly driven by data improvements and methodological changes.  A better year-over-year comparison will be available next year following our baseline re-evaluation.</t>
  </si>
  <si>
    <t>Other, please specify: S1+2 (market-based)+3 (Business Travel)</t>
  </si>
  <si>
    <t>In September 2017, Morgan Stanley announced a new goal of carbon neutrality for global operations by 2022. The goal (Abs1) covers 100 percent of global Scope 1, Scope 2 market-based, and Scope 3 business travel emissions. Morgan Stanley recognizes this target is not eligible for CDP consideration because it will involve the purchase of carbon offsets, but we are reporting it here to communicate the goal publicly and to our investors. Our additional absolute targets (Abs2 and Abs3) reported below do not involve carbon offsets and will help us achieve our broader goal of carbon neutrality.</t>
  </si>
  <si>
    <t>Abs2 results from two public targets associated with our commitment to achieve carbon neutrality for global operations by 2022. These public targets are (1) our commitment to source 100 percent of global electricity needs from renewable electricity by 2022 (See "Renewable Energy Consumption" in C4.2) and (2) our aim to achieve 20 percent reduction in energy usage by 2022 from a 2012 baseline, on an absolute basis (See "Energy Usage" in C4.2). Translated into carbon terms, these commitments cover 100 percent of our Scope 1 + 2 (market-based) emissions, and they will result in an absolute reduction of more than 90% from our base year 2012 emissions. We consider this a science-based target because it exceeds the 2.1% year-on-year emissions reductions required by CDP as well as the high-end projection of 72% absolute emissions reduction by 2050 from 2010 levels required to stay under 2 degrees Celsius outlined in IPCC Fifth Assessment Report RCP2.6.</t>
  </si>
  <si>
    <t>Abs3 results from two public targets associated with our commitment to achieve carbon neutrality for global operations by 2022. These public targets are (1) our commitment to source 100 percent of global electricity needs from renewable electricity by 2022 (See "Renewable Energy Consumption" in C4.2) and (2) our aim to achieve 20 percent reduction in energy usage by 2022 from a 2012 baseline, on an absolute basis (See "Energy Usage" in C4.2). Translated into carbon terms, these commitments cover 100 percent of our Scope 1 + 2 (market-based) emissions, and they will result in an absolute reduction of more than 90% from our base year 2012 emissions. We consider this a science-based target because it exceeds the 2.1% year-on-year emissions reductions required by CDP as well as the high-end projection of 72% absolute emissions reduction by 2050 from 2010 levels required to stay under 2 degrees Celsius outlined in IPCC Fifth Assessment Report RCP2.6. We are committed to this target over the medium-term (Abs2) and long-term (Abs3).</t>
  </si>
  <si>
    <t>This target covers facilities and vehicles in our scope 1 and 2 footprint. In our owned or operated facilities, we aim to use 100% renewable electricity by the end of FY25 as part of our effort to control absolute emissions. These goals are aligned with the level of mitigation needed to limit average global temperature to a rise of no more than 2°C above the pre-Industrial Revolution average. Linear progress is not expected on this target. Nike committed to SBTs in 2017 and set the scope 1 and 2 SBT in 2019.</t>
  </si>
  <si>
    <t>The target was based off historic chemicals production-related performance over six years to establish a baseline. The target was determined by using a percentage of OxyChem's best performance, using a weighted average.</t>
  </si>
  <si>
    <t>Oracle self-assessed this target to be a mid-term science-based target.</t>
  </si>
  <si>
    <t>Oracle self-assessed this target to be a long-term science-based target. Oracle would achieve a 2.95% average reduction year-over-year in our absolute scope 1 and 2 emissions.</t>
  </si>
  <si>
    <t>Oracle has a goal in place to achieve a 20% reduction in absolute Scope 1 + Scope 2 emissions by 2020 for its real estate and facilities operations, which accounted for 81% of total emissions in the base year (2015). As of 2018, we had achieved this goal.</t>
  </si>
  <si>
    <t>Oracle self-assessed this target to be a medium-term target, the coverage includes Oracle's Scope 3 business travel emissions.</t>
  </si>
  <si>
    <t>PepsiCo announced in 2016 our goal to reduce our absolute emissions across our entire value chain by 20% by 2030 (against a 2015 baseline). This goal has been approved by the Science Based Targets Initiative (SBTi) and is aligned to a 2C pathway. In April 2020, we signed the Business Ambition for 1.5C pledge committing to raise our ambition towards a long-term net zero goal. We are currently actively working on our new target.</t>
  </si>
  <si>
    <t>We have achieved a &gt;20% reduction, however since energy use and GHG emissions were projected to increase slightly in 2020 as a result of production increases, we have decided not to claim goal achievement until the end of the goal period.  Driving operational improvements through capital projects, operational efficiency improvements and transformative efforts (e.g., new manufacturing technology) remains the cornerstone of our focus.</t>
  </si>
  <si>
    <t>Pfizer has an aspirational goal of reducing our GHG footprint 60-80% by 2050 from a 2000 base year.  To achieve this Pfizer sets shorter term goals and has previously achieved two GHG reduction goals (2000-2007 and 2007-2012).  It is our intention to continue this process of setting interim goals that help drive towards this larger goal that aligns with the level of ambition needed to limit global temperature rise.</t>
  </si>
  <si>
    <t>This target covers scope 1 and 2 emissions from owned and operated buildings, factories and fleet. In 2016 we submitted this target and it was approved by the Science Based Target initiative (SBTi) in 2017.In 2019 we achieved 39% reduction versus our 2010 baseline and thus 98% achieved (39%/40%*100=98%). This achievement has been possible thanks to increased energy efficiency in our factories, on-site renewable investments, sourcing power from renewable resources and a program to reduce emissions in our vehicles fleet.</t>
  </si>
  <si>
    <t>This target covers scope 1 and 2 emissions from owned and operated buildings, factories and fleet. In 2016 we submitted this target and it was approved by the Science Based Target initiative (SBTi) in 2017.In 2019 we achieved a 39% reduction versus our 2010 baseline and thus 60% achieved (39%/60%*100=65%). This achievement has been possible thanks to increased energy efficiency in our factories, on-site renewable investments, sourcing power from renewable resources and a program to reduce emissions in our vehicles fleet.</t>
  </si>
  <si>
    <t>This target covers scope 1, 2 and 3 emissions from all operations and our entire value chain. In 2016 we submitted the target that was approved by the Science Based Target initiative in 2017 (SBTi).In 2019 we achieved a 42% reduction versus our 2010 baseline and thus 105% achieved (42%/40%*100=105%). This achievement has been possible thanks to progress in reducing our environmental impact across our value chain: in our factories and fleet where our carbon footprint is relatively small compared to other industries, as well as beyond the factory gates. That includes looking at both our upstream supply chain activities (currently focusing on tobacco farming and direct materials) and downstream, following our product and packaging environmental impacts to end-of-use.</t>
  </si>
  <si>
    <t>The data reflects what was reported in 2019 Sustainability report which reflects fiscal year ended June 30, 2019.    Starting July 1, 2019 we began using 100% renewable electricity in all facilities in the U.S., Canada and Europe.   This allow us to achieve the goal in calendar year 2019.</t>
  </si>
  <si>
    <t>This new goal was announced as part of the company's Ambition 2030 sustainability goals.</t>
  </si>
  <si>
    <t>Qualcomm's base year inventory was calculated prior to The Climate Registry's guidance on market- vs location-based Scope 2 reporting. During the base year Qualcomm did not haveany electricity purchases that would have been considered low carbon but did use supplier specific emission factors where available. Therefore, we consider our 2014 inventory reflective of a Scope 1+2 (market-based) base year.</t>
  </si>
  <si>
    <t>In early FY18, we achieved our target of net-zero Scope 1+2 (market-based) emissions through a combination of internal energy efficiency projects and purchases of renewable energy and carbon offsets. We took this further to deliver our customers a carbon neutral cloud by including indirect emissions (Scope 3) within our data center supply chain, such as the manufacture of servers, production and distribution of energy use at our data centers, and the impact of our customers using Salesforce on their personal devices. We aim to maintain this goal and commitment every year moving forward. Although CDP guidance indicates that this question requests gross emissions which excludes carbon offsets, we have chosen to include offsets as we have met our net-zero target. Although our total Scope 1 + 2 (market based) emissions totaled 140,062 in the reporting year, after reconciliation with our high quality carbon offset purchases the total is 0 emissions.  Therefore we consider this target to be 100% achieved, as reflected in our verification statements (note due to the auto calculate cells, the 100% will not be reflected).Targets Abs2 and Abs3 below are targets that exclude offsets. All years listed are our fiscal years (e.g. FY20 was Feb 1, 2019 – Jan 31, 2020). We feel strongly that carbon credits are a viable way to mitigate our impacts on the climate as we prioritize emissions reductions and avoidance. In FY20 we also set an SBTi-approved science-based target that aligns with 1.5 degree emission reduction trajectory for Scope 1+2 (market-based emissions), reported in Abs 4. We will, however, continue to purchase high quality carbon credits to continually achieve our net-zero goal.</t>
  </si>
  <si>
    <t>Retired</t>
  </si>
  <si>
    <t>This target is a result of our net-zero Scope 1 + 2 target and public commitment to 100% renewable energy, which is to procure electricity from renewable energy resources equivalent to 100% of what we use globally. Although we met our net-zero target in FY19, the growth of our business resulted in an increase in gross emissions and we did not achieve a reduction for this 52% Scope 1 + 2 absolute target when calculated in line with CDP guidance of not factoring in offsets. (To note, the 52% reduction target aligns with the average 2.1% annual reduction requirement by CDP to align with climate science.) All years listed are our fiscal years (e.g. FY19 was Feb 1, 2018 – Jan 31, 2019). In FY20 we set an SBTi-approved science-based target for Scope 1+2 (market-based emissions), which replaced Abs 2, and have therefore retired this goal.</t>
  </si>
  <si>
    <t>This target is a result of our net-zero Scope 1 + 2 target and public commitment to RE100 (100% renewable electricity). Although we met our net-zero target in FY19, the growth of our business resulted in an increase in gross emissions and we did not achieve a reduction for this 27% Scope 1 + 2 absolute target when calculated in line with CDP guidance of not factoring in offsets. (To note, the 27% reduction target aligns with the average 2.1% annual reduction requirement by CDP to align with climate science.) All years listed are our fiscal years (e.g. FY19 was Feb 1, 2018 – Jan 31, 2019). In FY20 we set an SBTi-approved science-based target for Scope 1+2 (market-based emissions), which replaced Abs 3, and have therefore retired this goal.</t>
  </si>
  <si>
    <t>In FY20, we committed to set 1.5°C science-based emissions reduction targets aligned with a zero carbon future.  This is the first year we are reporting our progress against this target. All years listed are our fiscal years (e.g. FY20 was Feb 1, 2019 – Jan 31, 2020). We have retired the CDP-aligned targets Abs2 and Abs3 as they are now addressed by this new and more ambitious SBTi-approved target.</t>
  </si>
  <si>
    <t>Scope 3: Fuel and energy-related activities (not included in Scopes 1 or 2)</t>
  </si>
  <si>
    <t>This is a new target, FY21 will be the first year where we report progress towards this goal.  We are reporting on location-based fuel and energy related activities (FERA) for this year's target reporting. However, moving forward, we may change our approach to reflect market-based results to track progress against our target (similar to using Scope 2 MB to track against targets). This year, we start reporting market based FERA emissions in Section C6.5 to reflect the emission reduction impact of our procured renewable energy.</t>
  </si>
  <si>
    <t>Simon Property Group commits to reduce absolute Scope 1 &amp; 2 GHG emissions 68% by 2035 from a 2019 base year.</t>
  </si>
  <si>
    <t>Simon has reached the target that was established and is currently working on setting a new target.</t>
  </si>
  <si>
    <t>By 2030, Target will reduce its absolute Scope 1 and 2 greenhouse gas emissions by 30% percent below 2017 levels.  In 2017, Target's Scope 1 and 2 GHG emissions were 2,567,880 mt CO2e (market-based).  Target restated the 2017 baseline Scope 1 and 2 inventory in 2020 due to a corrected chilled water and steam billing error. Target received approval of our Scope 1, 2, and 3 Climate goals by SBTi in January of 2019.</t>
  </si>
  <si>
    <t>Other, please specify: Scope 3: Retail Purchased goods &amp; services</t>
  </si>
  <si>
    <t>By 2030, Target will reduce its absolute Scope 3 Retail Purchased goods &amp; services greenhouse gas emissions by 30% percent below 2017 levels.   Target also commits that 80% of its suppliers by spend covering all purchased goods and services will set science-based scope 1 and scope 2 targets by 2023. Target received approval of our Scope 1, 2, and 3 Climate goals by SBTi in January of 2019.</t>
  </si>
  <si>
    <t>TI has implemented several planned projects throughout the last 5 years, designed to achieve the absolute target by the end of 2020. Most of these projects are capital expenditure intensive and require some time to implement, and therefore it has taken some time to see the effects of the planned GHG reductions. The impact of these projects has become more evident as the project implementations have come to a close. Due to the capital expenditure involved, equipment was installed on a planned implementation schedule per quarter over the last 4 years. In 2019, we realized a significant decrease in absolute emissions due to our emissions reduction strategies. When normalizing our emissions on a per chip basis we were able to achieve close to 5.8% GHG emission reductions in 2019, which is indicative of  the effectiveness our GHG management and energy efficiency programs.</t>
  </si>
  <si>
    <t>Reduce energy use at owned facilities 20% by 2020. Percentages are calculated based on changes in energy consumption (btu) over time and therefore differ from changes in emissions over time. Note, base year emissions have been adjusted to reflect structural changes. This target was achieved in 2014 and is maintained each year. We anticipate a continued reduction in our real estate footprint as our remote workforce increases.As we explore setting new targets for our Scope 1 and 2 emissions, we are considering options for developing targets based on climate science, with guidance from the Science-Based Targets Initiative (SBTi). This process is underway and is expected to continue through the remainder of 2020.</t>
  </si>
  <si>
    <t>We continue to evaluate and make changes in our operations and throughout the Coca-Cola system value chain to reduce our climate impact. This target is a Coca-Cola System level target, including The Coca-Cola Company and its bottling partners. The target brings our diverse sustainability initiatives under one goal to reduce the carbon footprint across the Coca-Cola system's full value chain by 25% by 2030, in absolute terms. Progress toward reducing the greenhouse gas emissions across our manufacturing processes, packaging formats, delivery fleet, refrigeration equipment and ingredient sourcing has been measured under an intensity target (target Int 1) from 2010 to 2020. This target, recently made public in 2019, is a Science-Based Target, and an absolute reduction target in line with a well-below 2C global average temperature rise scenario. Due to the nature of our franchise bottling system, in this CDP response, our manufacturing emissions are normally split between Scopes 1 and 2 for company-owned facilities and Scope 3 for bottling partner facilities. However, in our ''drink in your hand” (intensity target) calculations, as well as this absolute reduction target, we consider the full Coca-Cola system (including franchise bottling partners) in the calculation of our manufacturing, distribution and refrigeration emissions.</t>
  </si>
  <si>
    <t>The current absolute target is to maintain emissions of all GHGs below 2006 level through 2025. Dow has remained below this target. Though we will grow globally over the next 10 years, Dow's absolute greenhouse gas emissions will not exceed our 2006 baseline.  Dow's greenhouse gas intensity (lbs of CO2 per lb of product) has reduced by 17% since 2006.Though not set in the reporting year, Dow recently announced a new set of carbon reduction targets that will be included in next year's report:o	By 2030, Dow will reduce our net annual carbon emissions by 5 million metric tons versus our 2020 baseline (15% reduction).  By 2050, Dow intends to be carbon neutral (Scopes 1 + 2 + 3 plus product benefits).With respect to the question as to whether or not our existing target is science-based, we have selected ‘No, but we anticipate setting one in the next two years', as the reduction of 5 million metric tons by 2030 meets the absolute reduction target for a 2°C pathway.</t>
  </si>
  <si>
    <t>This reflects a store total energy use reduction of 20% by 2020.  The Home Depot has reduced our absolute Scope 1 + Scope 2 (location-based) emissions by 37%, exceeding our goal of a 20% reduction from 2010 to 2020.</t>
  </si>
  <si>
    <t>This reflects an annual 2.1% emissions reduction from our base year, with a medium-term timeframe for the target of 12 years (from our start year) in accordance with CDP criteria. The Home Depot has reduced our absolute Scope 1 + Scope 2 (location-based) emissions by 36% between 2011 and 2019 (4.4% annual reduction), exceeding the necessary 2.1% annual reduction. We consider this to be a science-based target as when the target was set, SBTi's guidance notes that per IPCC AR5 RCP 2.6, the minimum reduction required is 49% absolute emissions reduction from 2010 to 2050. This translates to a linear 1.23% reduction per year on average, which The Home Depot target exceeds.  We will continue to explore targets that are in alignment with SBTi's new criteria that the minimum reduction required for targets in line with well-below 2°C scenarios is 2.5% in annual linear terms.</t>
  </si>
  <si>
    <t>This reflects an annual 2.1% emissions reduction from our base year, with a long-term timeframe for the target of 17 years (from the start year) in accordance with CDP criteria. The Home Depot has reduced our absolute Scope 1 + Scope 2 (location-based) emissions by 36% between 2011 and 2019 (4.4% annual reduction), exceeding the necessary 2.1% annual reduction. We consider this to be a science-based target as when the target was set, SBTi's guidance notes that per IPCC AR5 RCP 2.6, the minimum reduction required is 49% absolute emissions reduction from 2010 to 2050. This translates to a linear 1.23% reduction per year on average, which The Home Depot target exceeds.  We will continue to explore targets that are in alignment with SBTi's new criteria that the minimum reduction required for targets in line with well-below 2°C scenarios is 2.5% in annual linear terms.</t>
  </si>
  <si>
    <t>Business activity</t>
  </si>
  <si>
    <t>In 2018, we set emission reduction goals that were aligned with strategies designed to address the long-term reduction of carbon emissions and our commitment to a leadership role in developing solutions that make technological and economic sense. The goals established in 2018 were to reduce GHG emissions by 50% (from 2007 levels) by 2030 and to achieve low-to-no GHG emissions by 2050. These are enterprise-wide goals that encompass the Scope 1 emissions from our electric and natural gas operations. In 2020, we revised our long-term goal to achieve  net zero GHG emissions by 2050.The goals are informed by the results of our integrated resource plans, which are designed to plan for an appropriate mix of generation resources to meet energy and capacity needs at a reasonable cost for our customers.  These goals are also consistent with actions needed to potentially limit the global average temperature rise to less than 1.5 degrees Celsius above pre-industrial times--see EPRI's ''Grounding Decisions: A scientific foundation for companies considering global climate scenarios and greenhouse gas goals” and ''Review of 1.5°C and Other Newer Global Emissions Scenarios: Insights for Company and Financial Climate Low-Carbon Transition Risk Assessment and Greenhouse Goal Setting” reports. Southern Company will continue to use a portfolio approach as we seek to decarbonize.  We expect our path to net zero to be comprised of several key elements: continued coal transition, utilization of natural gas to enable the fleet transition, further growth in our portfolio of zero-carbon resources, negative carbon solutions, enhanced energy efficiency initiatives and continued investment in R&amp;D focused on clean energy technologies. Our approach is driven by thoughtful scenario planning, long-term integrated resources plans, and constructive regulatory decisions-making.  We are also engaging with policymakers, customers and other stakeholders to support outcomes that lead to a net zero future.</t>
  </si>
  <si>
    <t>We followed CDP recommendations to set two targets, one pre-2035 and one post-2035.  We also followed the CDP guidance for targets to align with the science-based target framework since our industry does not qualify for science-based target certification.</t>
  </si>
  <si>
    <t>Other, please specify: U.S. Administrative Portfolio, U.S. Large Pharmaceutical Sites and directly managed international sites</t>
  </si>
  <si>
    <t>In 2019, a new multi-year goal to reduce 2017 Scope 1 and Scope 2 (Market-Based) GHG emission by 3% by the end of 2023 (for our U.S. Administrative Portfolio, U.S. Large Pharmaceutical Sites and directly managed international sites) has been established.</t>
  </si>
  <si>
    <t>We have established a goal to reduce absolute GHG emissions 12 percent by 2025 throughout our global ground operations. This goal builds on our ongoing efforts to achieve a 20 percent reduction in GHG intensity by 2020, which we will continue to measure and report. The use of renewable energy will be critical to reaching this absolute emissions reduction target. We engaged with leading environmental organizations and other stakeholders to establish a meaningful target using the science-based methodology most appropriate for our business. This  goal will advance our commitment to alternative fuels and technologies. This goal currently does not include our airline fuel usage because of the economic and commercial availability limitations of aviation bio-fuel.</t>
  </si>
  <si>
    <t>Verizon has committed to going carbon neutral for our scope 1 and 2 operational emissions by 2035.</t>
  </si>
  <si>
    <t>Scope 2 (location-based)</t>
  </si>
  <si>
    <t>By 2025, Verizon will source or generate renewable energy equivalent to 50% of our total electricity usage.</t>
  </si>
  <si>
    <t>Approved by the Science Based Targets initiative in October and announced publicly in November 2016. Approved goal language is as follows: Walmart commits to reduce its absolute scope 1 and 2 emissions 18% by 2025, from 2015 levels. Walmart will also work to reduce CO2e emissions from upstream and downstream scope 3 sources by one billion metric tons between 2015 and 2030. On an adjusted basis, between 2015 calendar year baseline and 2019, Walmart reduced its absolute Scope 1 and 2 emissions by 10.15%, equivalent to 1.98 million metric tons of CO2e.  Several factors contributed to this reduction. These include, but are not limited to, reductions in electricity and transport fuel related emissions as a result of investments in energy efficiency projects, renewable energy sourcing and fleet efficiency strategies.</t>
  </si>
  <si>
    <t>Approved by the Science Based Targets initiative in October and announced publicly in November 2016. Approved goal language is as follows: Walmart commits to reduce its absolute scope 1 and 2 emissions 18% by 2025, from 2015 levels. Walmart will also work to reduce CO2e emissions from upstream and downstream scope 3 sources by one billion metric tons between 2015 and 2030. This target is often referred to our Walmart's Gigaton Goal. Walmart launched Project Gigaton in April of 2017 to engage suppliers to commit to emissions reductions across pillars including energy, waste, packaging, deforestation and product use. Collectively, these actions can help us to achieve our science-based emissions target and to reduce or avoid emissions throughout our value chain by 1 billion metric tons by 2030. Since its launch three years ago, over 2,300 Walmart suppliers from 40 countries have signed up to participate in Project Gigaton.  Suppliers reported cumulative avoided emissions of over 230 million metric tons of GHG emissions (calculated in accordance with Walmart's Project Gigaton Methodology.</t>
  </si>
  <si>
    <t>Our greenhouse gas target is by 2020, reduce net emissions by 50% compared to total gross emissions in 2012. In 2019, Disney reduced its GHG emissions by 47% below 2012 gross emissions levels. Covered emissions in base year are gross emissions (business as usual). Covered emissions in reporting year are net emissions inclusive of all investments in emissions reductions, including third party carbon credits.  Emissions are measured and reported based on the company's fiscal year.</t>
  </si>
  <si>
    <t>Note that the Scope 3 component of our goal only includes air travel from Scope 3: Business travel. We surpassed our 2020 goal in 2019 by reducing our emissions 51.8% compared to the base year.</t>
  </si>
  <si>
    <t>Intensity</t>
  </si>
  <si>
    <t>Metric tons CO2e per USD($) value-added</t>
  </si>
  <si>
    <t>Energy efficiency improvements help address rising energy use, costs, and climate impacts.  3M reviews its Strategic Energy Management Plan annually to prioritize programs and meet global goals. The plan uses input from stakeholders, including manufacturing directors, plant managers, operations employees, and executive management. Goals of the plan include: continuously improve results, leverage engineering expertise and advances, drive facility-level efficiency improvements, maintain top management support and protect 3M's reputation.3M has taken a broad approach to managing our energy footprint, which includes evaluating the impact of our products, manufacturing processes, equipment, and sites as well as reducing the energy footprint of our existing manufacturing and administrative sites. In addition, we actively share information about our energy management program with external stakeholders, such as suppliers, customers, and other interested organizations.Since 2005, 3M has reduced our total energy usage, indexed to net sales, by 31.3%.</t>
  </si>
  <si>
    <t>Metric tons CO2e per unit revenue</t>
  </si>
  <si>
    <t>All environmental data have been adjusted to account for acquisitions and divestitures, in accordance with the methodology prescribed in the World Resources Institute/World Business Council for Sustainable Development (WRI/WBCSD) Greenhouse Gas Protocol (GHGP). We report data from acquisitions as soon as practical. To that end, these data include the acquisitions of Glomed, St. Jude Medical and Alere, Inc. Furthermore, these data reflect the divestiture of Abbott Medical Optics.Our 2020 carbon emission reduction target to reduce our Scope 1 and 2 emissions by 40 percent against 2010 levels, adjusted for sales, is evidence of our commitment to address and reduce emissions. Abbott has tracked progress towards our 2020 carbon goal utilizing the World Resources Institute/World Business Council for Sustainable Development (WRI/WBCSD) Greenhouse Gas Protocol (GHGP) since the goals implementation in 2012. In 2019, we achieved a 43 percent reduction, adjusted for sales since 2010. Scope 1 and 2 emissions were calculated using the World Resources Council (WRI) Greenhouse Gas Protocol (GHGP). To calculate our Scope 2 emissions, we use the GHGP market-based methodology. Where market-based information is not available, location-based results have been used as proxy. We have reported the results of the location- and market-based methodologies in both the text and metrics sections of our Global Sustainability Reports since 2015. In our 2019 Global Sustainability Report, these metrics can be found on pages 103 to 124.</t>
  </si>
  <si>
    <t>Metric tons CO2e per unit FTE employee</t>
  </si>
  <si>
    <t>Yes, this target has been approved as science-based by the Science Based Targets initiative</t>
  </si>
  <si>
    <t>Int1 is our verified SBTi goal for reducing Scope 3 emissions business travel.  Adobe will strive to reduce scope 3 business travel emissions per employee by 5% by 2025 from 2015 levels. Regarding our scope 3 business travel to reduce emissions per employee by 5% from 2015 to 2025, Adobe has experienced strong business growth since 2015 (+133% Revenues, +64% FTE) and therefore travel growth. As a result, our emissions per employee intensity goal would allow us to focus on reducing travel per employee while still allowing for business growth. Looking at our growth projection, we determined that a 5% reduction in normalized emissions per passenger was an aggressive target that over the long term would be challenging to achieve.  Although IEA models predict that per-mile air travel emission factors will decrease due to reduced carbon intensity, we are not relying on emission factor reductions to achieve our goal. Rather, the way we worked to achieve this goal is to focus on reducing business travel and the resulting airline miles traveled per employee.   Important to note:  in 2019 we are using new methodologies for calculating our business air travel to account for "Radiative Forcing".  In doing so, we believe we are much more accurately attempting to address true emissions from air travel, report it more transparently, and reduce it more aggressively.  This has, however, raised our 2019 numbers to ~2.5x what they were 2015-2018, and given a "% of target" outcome this is a meaningful comparison.  For 2019, we met and exceeded our Scope 3 Science-Based Target but it is important to note that in 2019 we worked to raise the ambition and in 2020 our new goal will be an absolute 30% reduction in Business Travel emissions by 2025.  Since the existing verified SBT is an intensity goal and the new one will be absolute and verified by the SBTi, this goal will be retired and replaced with the new verified target in 2020.</t>
  </si>
  <si>
    <t>Metric tons CO2e per square foot</t>
  </si>
  <si>
    <t>Int2 is our verified SBTi goal for reducing Scope 3 emissions from FERA sources.  Adobe's science-based target to reduce greenhouse gas emissions includes a goal to reduce our Scope 3 Fuel and Energy-Related Emissions per square foot by 15% by 2025 from our 2015 baseline:  year-to-year change = (0.003026-0.003574)/0.003574 = .15, or 15%. During FY19, Adobe made significant progress against this goal as we have achieved 102% of our 15% targeted reduction.  While this is an SBTi verified Scope 3 emissions goal, we do not believe it is a useful goal in addressing climate change, Adobe's commitment to becoming a zero-carbon business, or in pushing ourselves and others in taking meaningful action -- FERA emissions are approximately 3% of our total Scope 3 emissions. We chose this goal as we were an early adopter in addressing Science-Based Targets. In 2020 this goal will be retired and replaced with a Scope 3 Purchased Goods &amp; Services (PG&amp;S) goal that will better address over 66% of our Scope 3 emissions.</t>
  </si>
  <si>
    <t>As an original participant in the 2013 NYC Carbon Challenge, AIG committed to reduce the carbon emissions associated with its NYC operations by 30 percent from 2011 levels within 10 years, or by 2023. As of December 31, 2019, AIG met and exceeded the target commitment four years early by reducing scope 2 emissions by 40%, ten percentage points above the target.</t>
  </si>
  <si>
    <t>other</t>
  </si>
  <si>
    <t>Other, please specify: Other: Estimated customer-related carbon emissions reductions as a result of AT&amp;T connectivity</t>
  </si>
  <si>
    <t>Other, please specify: Other: Estimated customer-related carbon emissions reductions as a result of AT&amp;T connectivity / total combined AT&amp;T Scope 1 + Scope 2 emissions</t>
  </si>
  <si>
    <t>We have set a goal to enable customer carbon savings 10x the carbon footprint of our operations. This goal demonstrates our commitment to addressing climate change. It combines our efforts to reduce our operational emissions (Scopes 1 and 2) with our efforts to develop  technology solutions that can help our customers reduce their emissions. This goal compares our scope 1 &amp; 2 GHG inventory to the technology-enabled GHG reductions realized by our customers each year. This goal was set in 2015 and we compare these emissions numbers each year as we progress toward the target year of 2025. We reported progress in 2018 and plan to do so again in 2020.</t>
  </si>
  <si>
    <t>Site/facility</t>
  </si>
  <si>
    <t>To date we have exceeded the goal. We achieved this reduction by 2015 by relocating our data centers, however, we have committed to staying in the Mayor's Carbon Challenge through 2023 understanding that our headcount and building needs might change as market positions and business growth strategy evolves. We also continue to find ways to reduce energy, including the implementation of Nantum sensor technology to reduce electricity, re-organization of seating and LED lighting retrofits. We have reduced Scope 2 emissions per employee in NYC by 73% as of 2019.</t>
  </si>
  <si>
    <t>BlackRock has committed to reducing facility location-based GHG emissions (electricity, stationary combustion, and refrigerants) per FTE employee 45% by 2020.</t>
  </si>
  <si>
    <t>BlackRock has committed to reducing air travel GHG emissions per FTE employee 20% by 2020.  We exceeded that target by reducing air travel emissions per FTE by 32%.</t>
  </si>
  <si>
    <t>Other, please specify: kg CO2e per Barrel of Oil Equivalent (BOE)</t>
  </si>
  <si>
    <t>We have a long-term target to reduce our GHG emissions intensity from five to 15% by 2030 from a Jan. 1, 2017 baseline. The target will support innovation on efficiency and emissions reduction, GHG regulatory risk mitigation and climate-related risk management throughout the lifecycles of our assets.The target informs climate goals at the business level. Our performance will be based on gross operated GHG emissions, stated in carbon dioxide-equivalent terms, divided by our gross operated production, stated in barrels of oil equivalent. The target is set in relation to our scope 1 emissions and scope 2 gross operated emissions as these are the emissions over which we have the most control. The target covers all GHGs, but in practice will likely apply to carbon dioxide and methane emissions as our emissions of other greenhouse gases are a small fraction of the total. For comparability purposes we exclude exploration and transportation services (i.e. Polar Tankers and Global Aviation) which are not directly related to oil or gas production, from our emissions totals. This may give rise to small differences between the intensity we report for our GHG target purposes and the intensity we report in our annual Sustainability Report. Our current metrics also do not include the use of carbon offsets. We report our progress against the target on an annual, calendar-year basis.  We intend to review and adjust our performance target at least every five years.Science-Based Targets require us to include Scope 3 emissions. For E&amp;P companies, the emissions from use of sold products is not in the scope of our control and leads tosignificant double-counting.</t>
  </si>
  <si>
    <t>Other, please specify: Facility energy scope 1 + 2 (location-based) emissions</t>
  </si>
  <si>
    <t>Our goal is a 20% reduction of facility energy GHG emissions (Scope 1 onsite fuel combustion and location-based Scope 2) per square foot by the end of 2020, with 2012 as the base year. Our 2019 performance was 34.8 metric tonnes CO2e per 1000 square feet. This is a 16% reduction from base year performance (or 80% progress toward the 20% reduction target).  The base year emissions and area are adjusted to account for acquisitions, divestitures, updated factors, reporting boundary changes, and changes in estimation methodology. Any significant changes to the calculation methods or the factors must be agreed to by the Lilly Corporate Energy Management Team before implementation.</t>
  </si>
  <si>
    <t>Other, please specify: Pounds of CO2 per available-ton-mile</t>
  </si>
  <si>
    <t>We have been working to reduce aircraft emissions since 2005, our baseline year, and announced our first reduction goal of 20% by 2020 in 2008. Three years later, in 2011, we revised this target upwards to 30%.This target was reported to CDP in 2017 and its progress is being reported again against the same target in 2019.Since 2005, our aircraft emissions intensity has decreased by more than 24 percent. However, as we have previously reported, our progress is falling short of the overall improvements needed to meet our revised 30% reduction goal. Continued higher e-commerce and other shipping volumes, and the need to maintain older aircraft marked for retirement while we await production of more efficient replacements, have presented ongoing challenges toward our goal.</t>
  </si>
  <si>
    <t>Grams CO2e per revenue passenger kilometer</t>
  </si>
  <si>
    <t>We previously had an internal 2°C planning target for light-duty vehicles sold in the U.S., EU.  We consider this a science-based target, but it was not approved as science-based by the Science Based Targets initiative.   As part of our regular 5-year review cadence, we are updating to a well-below 2°C target, to align with recent climate science recommendations.  We plan to set targets using the Science Based Targets Initiative guidance and submit for SBTi approval.</t>
  </si>
  <si>
    <t>Overall, Honeywell's sustainability program has reduced greenhouse gas intensity by more than 90%. In 2019, the Company set its fourth goal, a new five-year ''10-10-10” target to reduce global greenhouse gas emissions by an additional 10%, indexed to revenue, from 2018 levels; to deploy on at least 10 renewable energy opportunities; and to achieve certification to ISO's 50001 Energy Management Standard at 10 facilities, all by 2024.</t>
  </si>
  <si>
    <t>Metric tons CO2e per unit of production</t>
  </si>
  <si>
    <t>Our target has been focused on reducing direct GHG emissions by 10% on a per production unit basis by 2020 from 2010 levels. Through the end of 2019, we reduced our direct GHG emissions by 39% on a per unit, or ''intensity” basis from 2010 levels, significantly exceeding our 2020 target. The intensity metric is a normalized production index based on the number of die produced and made available for sale. Although this target is not an approved science-based target, through the achievement of this direct GHG intensity-based target, along with Scope 2 emissions reductions achieved through our renewable energy and energy conservation programs, we have maintained combined Scope 1 and 2 emissions below the science-based 2 degrees Celsius pathway through 2019 based on a year 2000 baseline. We have tracked our Scope 1 and 2 emissions against science-based carbon targets from a baseline year of 2000 for many years, as reported annually in our Corporate Responsibility report.The anticipated change in Scope 1 &amp; 2 emissions is based on comparison of combined Scope 1 &amp; 2 emissions in the reporting year against that in the base year because the target was based fully on an intensity metric, without a specified absolute target, and the reporting year represents the close-out/target year for this goal. While absolute Scope 1 and 2 emissions increased 19% between 2010 and the end of 2019, Intel experienced significant growth over this time (&gt;100% increase in manufacturing output), illustrating that this target facilitated substantial increases in efficiencyWe have set a new 2030 target to drive an additional 10% reduction in our absolute Scope 1 and 2 carbon emissions as we grow. We track our carbon emissions against science-based carbon targets and our new climate goals are informed by climate science. However, due to our (and our industry's) early actions to reduce absolute emissions and the continued growth of demand for semiconductors, it remains challenging to gain formal approval for a target under the existing methodology of the Science-Based Targets Initiative. We see an opportunity to work with our industry and stakeholders to identify innovative approaches to reduce emissions. The ultimate goal is to expand the number of companies in our sector (as well as other manufacturing industries) setting approved science-based targets.</t>
  </si>
  <si>
    <t>Other, please specify: Other, please specify: All emissions from purchased beef, dairy, cheese, chicken and packaging products and transportation/distribution</t>
  </si>
  <si>
    <t>Metric tons CO2e per metric ton of product</t>
  </si>
  <si>
    <t>Through collaboration and partnership with our suppliers and producers, the Company also commits to a 31% reduction in emissions intensity (per metric ton of food and packaging) across our supply chain by 2030 from 2015 levels. Our target includes all emissions from purchased food, beverage and packaging products sold to customers.We have developed a system to take the best available data sources across the range of commodities and markets in which McDonald's operates and sources from worldwide.We are pleased to report our supply chain emissions intensity has reduced between our baseline in 2015 and the 2019 reporting year.We continue to communicate the importance of taking positive action on climate to our suppliers and we are confident that the Company has the right strategy in place in partnership with our suppliers to accelerate progress in the years ahead. We are seeing an increase in the number of our suppliers setting climate targets and implementing strategies to reduce emissions intensity that are tailored to and relevant for their own supply chains. We work with CDP to encourage over 100 of our key global suppliers across our largest categories of emissions to set targets, measure emissions, make reductions, and report progress to CDP.These figures reflect our current 2015 and 2019 emissions estimates, which have been calculated based on best practice guidance on leveraging the latest methodology and data available. As we continue to enhance our methodology and data quality in future years, we can expect the baseline and annual progress figures to further adjust in future reporting cycles.</t>
  </si>
  <si>
    <t>The GHG reduction goal of 15% normalized to revenue is set for 2020. Medtronic is planning it's new set of long term environmental goals and will be communicated externally in the FY20 Medtronic Integrated Performance Report that should be published by November of 2020% change anticipated in  absolute scope 1&amp;2 emissions from FY13 base year to FY2020 is stated above. Although no scope 3 emission targets have been established, the direction and % change anticipated in absolute scope 3 emissions is estimated to be approximately the same as that identified for scope 1&amp;2 emissions.</t>
  </si>
  <si>
    <t>Other, please specify: Key operations represent finished goods manufacturing, inbound and outbound logistics, DCs, HQs, and NIKE-owned retail.</t>
  </si>
  <si>
    <t>This target covers key operations (finished goods manufacturing, inbound and outbound logistics, distribution centers, headquarter locations, and NIKE-owned retail).</t>
  </si>
  <si>
    <t>Scope 3 (upstream)</t>
  </si>
  <si>
    <t>Other, please specify: metric tonnes CO2e/kg in materials dyeing/finishing</t>
  </si>
  <si>
    <t>Other, please specify: Tier 2 focus suppliers only (Textile Dyeing and Finishing)</t>
  </si>
  <si>
    <t>Measure includes focus suppliers only. Focus suppliers represent key suppliers involved in the dyeing and/or finishing of materials which directly support finished product assembly.</t>
  </si>
  <si>
    <t>Other, please specify: Metric tonnes CO2e per Headcount</t>
  </si>
  <si>
    <t>The target was set during our fiscal year 2015. The baseline for our goal is our fiscal year 2014 (Jan 28, 2013 to Jan 26, 2014). Our target year aligns with our fiscal year 2020. Our intensity target is based on headcount, which includes seated contractors rather than just full time employees (FTE), as we feel that it better represents the number of people using our operational sites.</t>
  </si>
  <si>
    <t>Metric tons CO2e per barrel of oil equivalent (BOE)</t>
  </si>
  <si>
    <t>As a member company of the Oil and Gas Climate Initiative (OGCI), Occidental is committed to reducing our upstream oil and gas production related GHG emissions (CO2 + methane). The target represents a reduction of between 36 and 52 million tonnes of CO2e per year by 2025. This carbon intensity target is intended to reduce the collective average carbon intensity of OGCI member companies' aggregated upstream oil and gas operations to between 20 kg and 21 kg CO2e/boe by 2025, from a collective baseline of 23 kg CO2e/boe in 2017. The range is consistent with the reduction needed across the oil and gas industry by 2025 to support the Paris Agreement goals.</t>
  </si>
  <si>
    <t>Other, please specify: Metric ton methane (CH4) per thousand BOE</t>
  </si>
  <si>
    <t>As a member company of the OGCI, Occidental is committed to reducing our methane emissions. This methane intensity target is intended to reduce by 2025 the collective average methane intensity of its aggregated upstream gas and oil operations by one-fifth to below 0.25%, with the ambition to achieve 0.2%. Achieving the intensity target of 0.25% by the end of 2025 would reduce collective emissions by 350,000 tonnes/year of methane, compared with the baseline of 0.32% in 2017. The target aims to be consistent with the reduction needed to support the Paris Agreement goals.</t>
  </si>
  <si>
    <t>This target was established using historical production-related data to set the baseline.  The target was determined by using a percentage of our best performance, using a weighted average.  The data is from emission factors from scientific, peer-reviewed sources. However, we do not follow the Science-based Target Initiative.</t>
  </si>
  <si>
    <t>Metric tons CO2e per megawatt hour (MWh)</t>
  </si>
  <si>
    <t>Oracle has a goal to achieve a 55% reduction in emissions per unit of energy consumed by 2025 (base year 2015).</t>
  </si>
  <si>
    <t>Scope 1+2 (market-based) + 3 (upstream and downstream)</t>
  </si>
  <si>
    <t>Other, please specify: kg CO2e per million cigarette equivalent sold</t>
  </si>
  <si>
    <t>This target covers scope 1, 2 and 3 emissions from all operations and our full value chain per million of cigarette equivalent sold. From 2018 onwards we are reporting energy intensity based on sold units of equivalent cigarettes (versus produced units of cigarettes equivalent previously).In 2019 we achieved a 32% reduction versus our 2010 baseline (8,706 kg CO2 per million of equivalent cigarettes sold) and thus 106% achieved (32%/30%*100=106%). This achievement has been possible due to progress in reducing our environmental impact across our value chain: in our factories and fleet where our carbon footprint is relatively small compared to other industries, as well asbeyond the factory gates. That includes looking at both our upstream supply chain activities (currently focusing on tobacco farming and direct materials) and downstream, following our product and packaging environmental impacts to end-of-use.% change anticipated in absolute scope 1+2 and scope 3 emissions are dependent on 2020 production volumes and ratio between conventional cigarettes vs smoke-free products, that is rapidly changing due to the growth of our smoke-free products. The % anticipated change in emissions in scopes 1, 2 and 3 have been calculated based on achieved reductions in 2019, which exceeds the original 2020 intensity target, and we expect to further improve this reduction by 2020.</t>
  </si>
  <si>
    <t>Other, please specify: Grams CO2e per liter of beverage sold</t>
  </si>
  <si>
    <t>We continue to evaluate and make changes in our operations and throughout the Coca-Cola system value chain to reduce our climate impact. This target is a Coca-Cola System level target, including The Coca-Cola Company and its bottling partners. The target brings our diverse sustainability initiatives under one goal to reduce the carbon footprint of the "drink in your hand” by 25 percent by 2020. Progress toward reducing the greenhouse gas emissions across our manufacturing processes, packaging formats, delivery fleet, refrigeration equipment and ingredient sourcing is now being measured toward the ''drink in your hand” goal.The calculation of progress toward our ''drink in your hand” goal has been internally vetted using accepted and relevant scientific and technical methodologies, which are aligned with GHG Protocol scopes 1, 2 and 3. Due to the nature of our franchise bottling system, in this CDP response, our manufacturing emissions are normally split between Scopes 1 and 2 for company-owned facilities and Scope 3 for bottling partner facilities. However, in our ''drink in your hand” calculations, we consider the full Coca-Cola system (including franchise bottling partners) in the calculation of our manufacturing, distribution and refrigeration emissions.</t>
  </si>
  <si>
    <t>We are currently going through the process of re-evaluating our base year data and that of other years. We will  communicate any changes to our previously reported normalized base year emission values in next year's Climate survey disclosure cycle.</t>
  </si>
  <si>
    <t>Other, please specify: Mass MTCO2e per 1000 gross ton mile</t>
  </si>
  <si>
    <t>Union Pacific is committed to reducing  locomotive fuel consumption by 1.5% between 2018 and 2020, as measured on a gross ton-miles basis, which would result in a greenhouse gas emissions reduction of 0.5% for locomotive emissions annually. In 2019, Union Pacific decreased its fuel consumption rate, measured in gallons of fuel per thousand gross ton miles, by 2% as compared to 2018. While this intensity has decreased since 2018, it has increased slightly over 2017, meaning progress from the base year has not yet been made. In 2019, Union Pacific increased fuel combustion by 3% from 2017 due to heavy congestion across the system for much of the year. Normalized base year target emissions are locomotive emissions per thousand gross ton-miles. These include emissions from Alton &amp; Southern Railway, a wholly owned subsidiary of Union Pacific. The fuel initiatives group will continue to evaluate Union Pacific's fuel consumption goal while adjusting to changing market conditions. Union Pacific has committed to setting science-based targets within the next two years that will help the company determine what further actions are necessary to reduce GHG emissions to support the goals outlined by the Paris Agreement.</t>
  </si>
  <si>
    <t>Other, please specify: Lbs of CO2e per unit of service provided</t>
  </si>
  <si>
    <t>The UPS Transportation Intensity Index (TII) combines three separate carbon intensity ratios from our largest business operations: U.S. Package Operations, UPS Airlines and U.S. Supply Chain &amp; Freight.  We assign each ratio a percentage weight within the Transportation Intensity Index, to make them proportional to the emissions their respective components actually generate.  UPS's goal is a 20% reduction in the TII from the baseline by 2020.</t>
  </si>
  <si>
    <t>Other, please specify: Lbs. of CO2 per Available Ton-mile</t>
  </si>
  <si>
    <t>Base year CO2/ATM = 1.54 (as measured in nautical miles) Target year CO2/ATM = 1.24.   The base year emissions (6,044,000) is calculated in CO2e for the purpose of the CDP.  The  actual metric as measured by UPS is pounds of CO2.</t>
  </si>
  <si>
    <t>Other, please specify: MT CO2e per Terabyte of Data</t>
  </si>
  <si>
    <t>During 2016 we reached our goal by achieving a 54% reduction to our baseline intensity.As demand for data continues to grow, so do the energy demands upon our network, while we are continuing to drive energy and carbon efficiencies throughout our organization, we expect our ability to reduce our absolute carbon emissions to be more challenging year on year.</t>
  </si>
  <si>
    <t>Other, please specify: Metric tonnes CO2e per Terabyte of Data</t>
  </si>
  <si>
    <t>During 2019, we achieved our 2025 carbon intensity goal with a 53% reduction in CO2e per terabyte of data. After 2019, we will be retiring our intensity target in favor of operational carbon neutrality and 50% renewable energy goals.</t>
  </si>
  <si>
    <t>Walgreens is supporting this commitment through improved heating, ventilation, air conditioning and refrigeration efficiency, conversions to LED lighting and using data to pinpoint areas for improvement. The Walgreens Intensity Target 1 has been calibrated to conform to the energy intensity reduction goal, which was disclosed as part of Walgreens commitment to the U.S. Department of Energy Better Buildings Challenge. As of August 31, 2019, Walgreens intensity metric improved by 16 percent, which is equivalent to a 81 percent completion of the emissions metric objective of the goal. Considering the 10-year time frame of the intensity goal in the Better Buildings Challenge commitment, Walgreens anticipates that the net effects of energy management initiatives will drive emissions to decline, or otherwise approximate the magnitude of base year emissions. The goal expresses that normalized emissions will decline relative to the organic growth of Walgreens through construction of new facilities and acquisitions. The target covers less than 100 percent of emissions, as it applies only to Walgreens, the largest business unit of WBA.</t>
  </si>
  <si>
    <t>isic</t>
  </si>
  <si>
    <t>country</t>
  </si>
  <si>
    <t>region</t>
  </si>
  <si>
    <t>industry_level_1</t>
  </si>
  <si>
    <t>industry_level_2</t>
  </si>
  <si>
    <t>industry_level_3</t>
  </si>
  <si>
    <t>industry_level_4</t>
  </si>
  <si>
    <t>sector</t>
  </si>
  <si>
    <t>ghg_s1s2</t>
  </si>
  <si>
    <t>ghg_s3</t>
  </si>
  <si>
    <t>company_revenue</t>
  </si>
  <si>
    <t>company_market_cap</t>
  </si>
  <si>
    <t>company_enterprise_value</t>
  </si>
  <si>
    <t>company_total_assets</t>
  </si>
  <si>
    <t>company_cash_equivalents</t>
  </si>
  <si>
    <t>United States</t>
  </si>
  <si>
    <t>North America</t>
  </si>
  <si>
    <t>Europe</t>
  </si>
  <si>
    <t>coverage_s1</t>
  </si>
  <si>
    <t>coverage_s2</t>
  </si>
  <si>
    <t>coverage_s3</t>
  </si>
  <si>
    <t>end_year</t>
  </si>
  <si>
    <t>start_year</t>
  </si>
  <si>
    <t>base_year_ghg_s1</t>
  </si>
  <si>
    <t>base_year_ghg_s2</t>
  </si>
  <si>
    <t>base_year_ghg_s3</t>
  </si>
  <si>
    <t>achieved_reduction</t>
  </si>
  <si>
    <t>Other</t>
  </si>
  <si>
    <t>Oil</t>
  </si>
  <si>
    <t>ghg_s1</t>
  </si>
  <si>
    <t>ghg_s2_loc</t>
  </si>
  <si>
    <t>ghg_s2_mkt</t>
  </si>
  <si>
    <t>intensity_metric_original</t>
  </si>
  <si>
    <t>coverate_original</t>
  </si>
  <si>
    <t>reduction_ambition_original</t>
  </si>
  <si>
    <t>achieved_reduction_original</t>
  </si>
  <si>
    <t>base_year_emissions_target</t>
  </si>
  <si>
    <t>reduction_ambition</t>
  </si>
  <si>
    <t>A</t>
  </si>
  <si>
    <t>B</t>
  </si>
  <si>
    <t>C</t>
  </si>
  <si>
    <t>D</t>
  </si>
  <si>
    <t>E</t>
  </si>
  <si>
    <t>F</t>
  </si>
  <si>
    <t>G</t>
  </si>
  <si>
    <t>H</t>
  </si>
  <si>
    <t>US02079K1079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</si>
</sst>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44" formatCode="_(&quot;$&quot;* #,##0.00_);_(&quot;$&quot;* \(#,##0.00\);_(&quot;$&quot;* &quot;-&quot;??_);_(@_)"/>
    <numFmt numFmtId="43" formatCode="_(* #,##0.00_);_(* \(#,##0.00\);_(* &quot;-&quot;??_);_(@_)"/>
    <numFmt numFmtId="164" formatCode="&quot;$&quot;#,##0"/>
    <numFmt numFmtId="165" formatCode="_(* #,##0_);_(* \(#,##0\);_(* &quot;-&quot;??_);_(@_)"/>
    <numFmt numFmtId="166" formatCode="0.0%"/>
    <numFmt numFmtId="167" formatCode="0.0"/>
  </numFmts>
  <fonts count="21">
    <font>
      <sz val="10"/>
      <color rgb="FF000000"/>
      <name val="Arial"/>
    </font>
    <font>
      <sz val="11"/>
      <color theme="1"/>
      <name val="Arial"/>
      <family val="2"/>
      <scheme val="minor"/>
    </font>
    <font>
      <sz val="11"/>
      <color theme="1"/>
      <name val="Arial"/>
      <family val="2"/>
      <scheme val="minor"/>
    </font>
    <font>
      <u/>
      <sz val="10"/>
      <color theme="10"/>
      <name val="Arial"/>
      <family val="2"/>
    </font>
    <font>
      <b/>
      <sz val="10"/>
      <color rgb="FF000000"/>
      <name val="Arial"/>
      <family val="2"/>
    </font>
    <font>
      <sz val="10"/>
      <color rgb="FF000000"/>
      <name val="Arial"/>
      <family val="2"/>
    </font>
    <font>
      <sz val="10"/>
      <color rgb="FF000000"/>
      <name val="Arial"/>
      <family val="2"/>
    </font>
    <font>
      <sz val="10"/>
      <color rgb="FFFF0000"/>
      <name val="Arial"/>
      <family val="2"/>
    </font>
    <font>
      <sz val="8"/>
      <name val="Arial"/>
      <family val="2"/>
    </font>
    <font>
      <i/>
      <sz val="10"/>
      <color rgb="FF000000"/>
      <name val="Arial"/>
      <family val="2"/>
    </font>
    <font>
      <b/>
      <sz val="10"/>
      <color theme="1"/>
      <name val="Arial"/>
      <family val="2"/>
    </font>
    <font>
      <sz val="10"/>
      <color rgb="FF000000"/>
      <name val="Arial"/>
      <family val="2"/>
    </font>
    <font>
      <sz val="11"/>
      <color rgb="FF000000"/>
      <name val="Calibri"/>
      <family val="2"/>
    </font>
    <font>
      <sz val="7"/>
      <color rgb="FF000000"/>
      <name val="Arial"/>
      <family val="2"/>
    </font>
    <font>
      <sz val="24"/>
      <color rgb="FF000000"/>
      <name val="Calibri"/>
      <family val="2"/>
    </font>
    <font>
      <sz val="24"/>
      <color rgb="FF000000"/>
      <name val="Arial"/>
      <family val="2"/>
    </font>
    <font>
      <sz val="24"/>
      <color rgb="FF4D5156"/>
      <name val="Arial"/>
      <family val="2"/>
    </font>
    <font>
      <sz val="24"/>
      <color rgb="FF333333"/>
      <name val="Arial"/>
      <family val="2"/>
    </font>
    <font>
      <b/>
      <sz val="11"/>
      <color theme="1"/>
      <name val="Arial"/>
      <family val="2"/>
      <scheme val="minor"/>
    </font>
    <font>
      <sz val="10"/>
      <color theme="1"/>
      <name val="Arial Unicode MS"/>
    </font>
    <font>
      <sz val="8"/>
      <name val="Arial"/>
    </font>
  </fonts>
  <fills count="15">
    <fill>
      <patternFill patternType="none"/>
    </fill>
    <fill>
      <patternFill patternType="gray125"/>
    </fill>
    <fill>
      <patternFill patternType="solid">
        <fgColor rgb="FFDDEBF7"/>
        <bgColor indexed="64"/>
      </patternFill>
    </fill>
    <fill>
      <patternFill patternType="solid">
        <fgColor rgb="FFE2EFDA"/>
        <bgColor indexed="64"/>
      </patternFill>
    </fill>
    <fill>
      <patternFill patternType="solid">
        <fgColor rgb="FFFFF2CC"/>
        <bgColor indexed="64"/>
      </patternFill>
    </fill>
    <fill>
      <patternFill patternType="solid">
        <fgColor rgb="FFD6DCE4"/>
        <bgColor indexed="64"/>
      </patternFill>
    </fill>
    <fill>
      <patternFill patternType="solid">
        <fgColor rgb="FFFCE4D6"/>
        <bgColor indexed="64"/>
      </patternFill>
    </fill>
    <fill>
      <patternFill patternType="solid">
        <fgColor theme="4" tint="0.79998168889431442"/>
        <bgColor theme="4" tint="0.79998168889431442"/>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rgb="FFFFFF00"/>
        <bgColor indexed="64"/>
      </patternFill>
    </fill>
  </fills>
  <borders count="2">
    <border>
      <left/>
      <right/>
      <top/>
      <bottom/>
      <diagonal/>
    </border>
    <border>
      <left/>
      <right/>
      <top style="thin">
        <color theme="4" tint="0.39997558519241921"/>
      </top>
      <bottom/>
      <diagonal/>
    </border>
  </borders>
  <cellStyleXfs count="8">
    <xf numFmtId="0" fontId="0" fillId="0" borderId="0"/>
    <xf numFmtId="0" fontId="3" fillId="0" borderId="0" applyNumberFormat="0" applyFill="0" applyBorder="0" applyAlignment="0" applyProtection="0"/>
    <xf numFmtId="44" fontId="5" fillId="0" borderId="0" applyFont="0" applyFill="0" applyBorder="0" applyAlignment="0" applyProtection="0"/>
    <xf numFmtId="43" fontId="6" fillId="0" borderId="0" applyFont="0" applyFill="0" applyBorder="0" applyAlignment="0" applyProtection="0"/>
    <xf numFmtId="9" fontId="11" fillId="0" borderId="0" applyFont="0" applyFill="0" applyBorder="0" applyAlignment="0" applyProtection="0"/>
    <xf numFmtId="0" fontId="12" fillId="0" borderId="0"/>
    <xf numFmtId="0" fontId="2" fillId="0" borderId="0"/>
    <xf numFmtId="0" fontId="1" fillId="0" borderId="0"/>
  </cellStyleXfs>
  <cellXfs count="94">
    <xf numFmtId="0" fontId="0" fillId="0" borderId="0" xfId="0" applyFont="1" applyAlignment="1"/>
    <xf numFmtId="0" fontId="4" fillId="0" borderId="0" xfId="0" applyFont="1" applyAlignment="1"/>
    <xf numFmtId="0" fontId="4" fillId="0" borderId="0" xfId="0" applyFont="1" applyAlignment="1">
      <alignment wrapText="1"/>
    </xf>
    <xf numFmtId="0" fontId="0" fillId="0" borderId="0" xfId="0" applyFont="1" applyAlignment="1">
      <alignment wrapText="1"/>
    </xf>
    <xf numFmtId="0" fontId="5" fillId="0" borderId="0" xfId="0" applyFont="1" applyAlignment="1"/>
    <xf numFmtId="164" fontId="0" fillId="0" borderId="0" xfId="2" applyNumberFormat="1" applyFont="1" applyAlignment="1"/>
    <xf numFmtId="3" fontId="0" fillId="0" borderId="0" xfId="0" applyNumberFormat="1" applyFont="1" applyAlignment="1">
      <alignment wrapText="1"/>
    </xf>
    <xf numFmtId="0" fontId="0" fillId="0" borderId="0" xfId="0" quotePrefix="1" applyFont="1" applyAlignment="1"/>
    <xf numFmtId="1" fontId="4" fillId="0" borderId="0" xfId="0" applyNumberFormat="1" applyFont="1" applyAlignment="1">
      <alignment wrapText="1"/>
    </xf>
    <xf numFmtId="1" fontId="0" fillId="0" borderId="0" xfId="2" applyNumberFormat="1" applyFont="1" applyAlignment="1"/>
    <xf numFmtId="1" fontId="0" fillId="0" borderId="0" xfId="0" applyNumberFormat="1" applyFont="1" applyAlignment="1"/>
    <xf numFmtId="6" fontId="0" fillId="0" borderId="0" xfId="0" applyNumberFormat="1" applyFont="1" applyAlignment="1"/>
    <xf numFmtId="165" fontId="5" fillId="0" borderId="0" xfId="3" applyNumberFormat="1" applyFont="1" applyAlignment="1">
      <alignment wrapText="1"/>
    </xf>
    <xf numFmtId="165" fontId="0" fillId="0" borderId="0" xfId="3" applyNumberFormat="1" applyFont="1" applyAlignment="1">
      <alignment wrapText="1"/>
    </xf>
    <xf numFmtId="0" fontId="5" fillId="0" borderId="0" xfId="0" quotePrefix="1" applyFont="1" applyAlignment="1">
      <alignment wrapText="1"/>
    </xf>
    <xf numFmtId="3" fontId="5" fillId="0" borderId="0" xfId="0" applyNumberFormat="1" applyFont="1" applyAlignment="1">
      <alignment wrapText="1"/>
    </xf>
    <xf numFmtId="0" fontId="5" fillId="0" borderId="0" xfId="0" quotePrefix="1" applyFont="1" applyAlignment="1"/>
    <xf numFmtId="165" fontId="0" fillId="0" borderId="0" xfId="3" applyNumberFormat="1" applyFont="1" applyAlignment="1"/>
    <xf numFmtId="0" fontId="0" fillId="0" borderId="0" xfId="0" quotePrefix="1" applyFont="1" applyAlignment="1">
      <alignment wrapText="1"/>
    </xf>
    <xf numFmtId="3" fontId="0" fillId="0" borderId="0" xfId="0" applyNumberFormat="1" applyFont="1" applyAlignment="1"/>
    <xf numFmtId="0" fontId="3" fillId="0" borderId="0" xfId="1" applyAlignment="1">
      <alignment wrapText="1"/>
    </xf>
    <xf numFmtId="0" fontId="0" fillId="0" borderId="0" xfId="0" applyFont="1" applyFill="1" applyAlignment="1"/>
    <xf numFmtId="0" fontId="7" fillId="0" borderId="0" xfId="0" applyFont="1" applyAlignment="1"/>
    <xf numFmtId="0" fontId="4" fillId="2" borderId="0" xfId="0" applyFont="1" applyFill="1" applyAlignment="1">
      <alignment wrapText="1"/>
    </xf>
    <xf numFmtId="0" fontId="4" fillId="3" borderId="0" xfId="0" applyFont="1" applyFill="1" applyAlignment="1">
      <alignment wrapText="1"/>
    </xf>
    <xf numFmtId="0" fontId="4" fillId="4" borderId="0" xfId="0" applyFont="1" applyFill="1" applyAlignment="1">
      <alignment wrapText="1"/>
    </xf>
    <xf numFmtId="0" fontId="4" fillId="5" borderId="0" xfId="0" applyFont="1" applyFill="1" applyAlignment="1">
      <alignment wrapText="1"/>
    </xf>
    <xf numFmtId="0" fontId="4" fillId="6" borderId="0" xfId="0" applyFont="1" applyFill="1" applyAlignment="1">
      <alignment wrapText="1"/>
    </xf>
    <xf numFmtId="9" fontId="0" fillId="0" borderId="0" xfId="0" applyNumberFormat="1" applyFont="1" applyAlignment="1"/>
    <xf numFmtId="49" fontId="0" fillId="0" borderId="0" xfId="0" applyNumberFormat="1" applyFont="1" applyFill="1" applyAlignment="1"/>
    <xf numFmtId="0" fontId="5" fillId="0" borderId="0" xfId="0" applyFont="1" applyAlignment="1">
      <alignment wrapText="1"/>
    </xf>
    <xf numFmtId="164" fontId="5" fillId="0" borderId="0" xfId="2" applyNumberFormat="1" applyFont="1" applyAlignment="1"/>
    <xf numFmtId="0" fontId="5" fillId="0" borderId="0" xfId="0" applyFont="1" applyFill="1" applyAlignment="1"/>
    <xf numFmtId="49" fontId="5" fillId="0" borderId="0" xfId="0" applyNumberFormat="1" applyFont="1" applyFill="1" applyAlignment="1"/>
    <xf numFmtId="0" fontId="0" fillId="0" borderId="0" xfId="0"/>
    <xf numFmtId="0" fontId="0" fillId="0" borderId="0" xfId="0" applyAlignment="1">
      <alignment wrapText="1"/>
    </xf>
    <xf numFmtId="3" fontId="5" fillId="0" borderId="0" xfId="0" applyNumberFormat="1" applyFont="1" applyAlignment="1"/>
    <xf numFmtId="164" fontId="5" fillId="0" borderId="0" xfId="0" applyNumberFormat="1" applyFont="1" applyAlignment="1"/>
    <xf numFmtId="1" fontId="5" fillId="0" borderId="0" xfId="0" applyNumberFormat="1" applyFont="1" applyAlignment="1"/>
    <xf numFmtId="165" fontId="5" fillId="0" borderId="0" xfId="0" applyNumberFormat="1" applyFont="1" applyAlignment="1">
      <alignment wrapText="1"/>
    </xf>
    <xf numFmtId="0" fontId="0" fillId="0" borderId="0" xfId="0" applyFont="1" applyAlignment="1">
      <alignment horizontal="left"/>
    </xf>
    <xf numFmtId="0" fontId="5" fillId="8" borderId="0" xfId="0" applyFont="1" applyFill="1" applyAlignment="1"/>
    <xf numFmtId="0" fontId="9" fillId="0" borderId="0" xfId="0" applyFont="1" applyAlignment="1"/>
    <xf numFmtId="0" fontId="4" fillId="0" borderId="0" xfId="0" applyFont="1" applyAlignment="1">
      <alignment vertical="top"/>
    </xf>
    <xf numFmtId="0" fontId="10" fillId="7" borderId="1" xfId="0" applyFont="1" applyFill="1" applyBorder="1" applyAlignment="1">
      <alignment horizontal="left"/>
    </xf>
    <xf numFmtId="0" fontId="10" fillId="7" borderId="1" xfId="0" applyNumberFormat="1" applyFont="1" applyFill="1" applyBorder="1" applyAlignment="1">
      <alignment horizontal="center"/>
    </xf>
    <xf numFmtId="0" fontId="0" fillId="0" borderId="0" xfId="0" applyFont="1" applyAlignment="1">
      <alignment horizontal="center"/>
    </xf>
    <xf numFmtId="0" fontId="4" fillId="9" borderId="0" xfId="0" applyFont="1" applyFill="1" applyAlignment="1"/>
    <xf numFmtId="0" fontId="4" fillId="9" borderId="0" xfId="0" applyFont="1" applyFill="1" applyAlignment="1">
      <alignment horizontal="center"/>
    </xf>
    <xf numFmtId="0" fontId="0" fillId="8" borderId="0" xfId="0" applyFont="1" applyFill="1" applyAlignment="1"/>
    <xf numFmtId="165" fontId="5" fillId="8" borderId="0" xfId="3" applyNumberFormat="1" applyFont="1" applyFill="1" applyAlignment="1">
      <alignment wrapText="1"/>
    </xf>
    <xf numFmtId="166" fontId="0" fillId="0" borderId="0" xfId="4" applyNumberFormat="1" applyFont="1" applyAlignment="1"/>
    <xf numFmtId="166" fontId="5" fillId="0" borderId="0" xfId="4" applyNumberFormat="1" applyFont="1" applyAlignment="1"/>
    <xf numFmtId="166" fontId="0" fillId="0" borderId="0" xfId="4" applyNumberFormat="1" applyFont="1" applyAlignment="1">
      <alignment wrapText="1"/>
    </xf>
    <xf numFmtId="166" fontId="0" fillId="0" borderId="0" xfId="4" applyNumberFormat="1" applyFont="1" applyAlignment="1">
      <alignment horizontal="center"/>
    </xf>
    <xf numFmtId="166" fontId="4" fillId="9" borderId="0" xfId="4" applyNumberFormat="1" applyFont="1" applyFill="1" applyAlignment="1">
      <alignment horizontal="center"/>
    </xf>
    <xf numFmtId="166" fontId="10" fillId="7" borderId="1" xfId="4" applyNumberFormat="1" applyFont="1" applyFill="1" applyBorder="1" applyAlignment="1">
      <alignment horizontal="center"/>
    </xf>
    <xf numFmtId="0" fontId="0" fillId="10" borderId="0" xfId="0" applyFont="1" applyFill="1" applyAlignment="1"/>
    <xf numFmtId="0" fontId="13" fillId="0" borderId="0" xfId="0" applyFont="1" applyAlignment="1"/>
    <xf numFmtId="0" fontId="13" fillId="12" borderId="0" xfId="0" applyFont="1" applyFill="1" applyAlignment="1">
      <alignment horizontal="center"/>
    </xf>
    <xf numFmtId="0" fontId="13" fillId="10" borderId="0" xfId="0" applyFont="1" applyFill="1" applyAlignment="1"/>
    <xf numFmtId="0" fontId="13" fillId="0" borderId="0" xfId="0" applyFont="1" applyAlignment="1">
      <alignment horizontal="center"/>
    </xf>
    <xf numFmtId="43" fontId="13" fillId="0" borderId="0" xfId="3" applyFont="1" applyAlignment="1">
      <alignment horizontal="center"/>
    </xf>
    <xf numFmtId="165" fontId="13" fillId="0" borderId="0" xfId="3" applyNumberFormat="1" applyFont="1" applyAlignment="1">
      <alignment horizontal="center"/>
    </xf>
    <xf numFmtId="165" fontId="0" fillId="0" borderId="0" xfId="3" applyNumberFormat="1" applyFont="1" applyAlignment="1">
      <alignment horizontal="center"/>
    </xf>
    <xf numFmtId="165" fontId="0" fillId="10" borderId="0" xfId="3" applyNumberFormat="1" applyFont="1" applyFill="1" applyAlignment="1">
      <alignment horizontal="center"/>
    </xf>
    <xf numFmtId="165" fontId="13" fillId="0" borderId="0" xfId="0" applyNumberFormat="1" applyFont="1" applyAlignment="1"/>
    <xf numFmtId="43" fontId="13" fillId="0" borderId="0" xfId="0" applyNumberFormat="1" applyFont="1" applyAlignment="1"/>
    <xf numFmtId="166" fontId="13" fillId="0" borderId="0" xfId="4" applyNumberFormat="1" applyFont="1" applyAlignment="1"/>
    <xf numFmtId="166" fontId="13" fillId="13" borderId="0" xfId="4" applyNumberFormat="1" applyFont="1" applyFill="1" applyAlignment="1"/>
    <xf numFmtId="0" fontId="13" fillId="10" borderId="0" xfId="0" applyFont="1" applyFill="1" applyAlignment="1">
      <alignment horizontal="center"/>
    </xf>
    <xf numFmtId="43" fontId="0" fillId="0" borderId="0" xfId="0" applyNumberFormat="1" applyFont="1" applyAlignment="1"/>
    <xf numFmtId="165" fontId="0" fillId="0" borderId="0" xfId="0" applyNumberFormat="1" applyFont="1" applyAlignment="1"/>
    <xf numFmtId="0" fontId="13" fillId="0" borderId="0" xfId="3" applyNumberFormat="1" applyFont="1" applyAlignment="1">
      <alignment horizontal="center"/>
    </xf>
    <xf numFmtId="0" fontId="0" fillId="10" borderId="0" xfId="0" applyFont="1" applyFill="1" applyAlignment="1">
      <alignment wrapText="1"/>
    </xf>
    <xf numFmtId="165" fontId="0" fillId="10" borderId="0" xfId="3" applyNumberFormat="1" applyFont="1" applyFill="1" applyAlignment="1">
      <alignment horizontal="center" wrapText="1"/>
    </xf>
    <xf numFmtId="0" fontId="14" fillId="0" borderId="0" xfId="5" applyFont="1"/>
    <xf numFmtId="0" fontId="15" fillId="0" borderId="0" xfId="0" applyFont="1" applyAlignment="1"/>
    <xf numFmtId="0" fontId="16" fillId="0" borderId="0" xfId="0" applyFont="1" applyAlignment="1"/>
    <xf numFmtId="0" fontId="17" fillId="0" borderId="0" xfId="0" applyFont="1" applyAlignment="1"/>
    <xf numFmtId="0" fontId="17" fillId="11" borderId="0" xfId="0" applyFont="1" applyFill="1" applyAlignment="1"/>
    <xf numFmtId="0" fontId="15" fillId="11" borderId="0" xfId="0" applyFont="1" applyFill="1" applyAlignment="1"/>
    <xf numFmtId="0" fontId="13" fillId="10" borderId="0" xfId="0" applyFont="1" applyFill="1"/>
    <xf numFmtId="0" fontId="13" fillId="0" borderId="0" xfId="0" applyFont="1"/>
    <xf numFmtId="1" fontId="13" fillId="0" borderId="0" xfId="0" applyNumberFormat="1" applyFont="1" applyAlignment="1">
      <alignment horizontal="center"/>
    </xf>
    <xf numFmtId="0" fontId="0" fillId="0" borderId="0" xfId="0" applyAlignment="1">
      <alignment horizontal="center"/>
    </xf>
    <xf numFmtId="0" fontId="13" fillId="0" borderId="0" xfId="0" applyNumberFormat="1" applyFont="1" applyAlignment="1">
      <alignment horizontal="center"/>
    </xf>
    <xf numFmtId="0" fontId="1" fillId="0" borderId="0" xfId="7"/>
    <xf numFmtId="0" fontId="19" fillId="0" borderId="0" xfId="7" applyFont="1" applyAlignment="1">
      <alignment vertical="center"/>
    </xf>
    <xf numFmtId="0" fontId="18" fillId="0" borderId="0" xfId="7" applyFont="1"/>
    <xf numFmtId="0" fontId="1" fillId="0" borderId="0" xfId="7" applyNumberFormat="1"/>
    <xf numFmtId="0" fontId="13" fillId="14" borderId="0" xfId="0" applyFont="1" applyFill="1"/>
    <xf numFmtId="0" fontId="13" fillId="14" borderId="0" xfId="0" applyFont="1" applyFill="1" applyAlignment="1">
      <alignment horizontal="center"/>
    </xf>
    <xf numFmtId="167" fontId="13" fillId="14" borderId="0" xfId="0" applyNumberFormat="1" applyFont="1" applyFill="1" applyAlignment="1"/>
  </cellXfs>
  <cellStyles count="8">
    <cellStyle name="Comma" xfId="3" builtinId="3"/>
    <cellStyle name="Currency" xfId="2" builtinId="4"/>
    <cellStyle name="Hyperlink" xfId="1" builtinId="8"/>
    <cellStyle name="Normal" xfId="0" builtinId="0"/>
    <cellStyle name="Normal 2" xfId="5" xr:uid="{BE0117DB-6834-4480-85BC-8AD244C5ED12}"/>
    <cellStyle name="Normal 3" xfId="6" xr:uid="{F5E3D956-98D8-417B-BB84-D051A8C88C5D}"/>
    <cellStyle name="Normal 4" xfId="7" xr:uid="{49D02EF0-24A1-46C4-B9BF-7E6548137C55}"/>
    <cellStyle name="Percent" xfId="4" builtinId="5"/>
  </cellStyles>
  <dxfs count="121">
    <dxf>
      <font>
        <b val="0"/>
        <i val="0"/>
        <strike val="0"/>
        <condense val="0"/>
        <extend val="0"/>
        <outline val="0"/>
        <shadow val="0"/>
        <u val="none"/>
        <vertAlign val="baseline"/>
        <sz val="10"/>
        <color rgb="FF000000"/>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4" formatCode="&quot;$&quot;#,##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164" formatCode="&quot;$&quot;#,##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164" formatCode="&quot;$&quot;#,##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164" formatCode="&quot;$&quot;#,##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164" formatCode="&quot;$&quot;#,##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164" formatCode="&quot;$&quot;#,##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general" vertical="bottom" textRotation="0" wrapText="0" indent="0" justifyLastLine="0" shrinkToFit="0" readingOrder="0"/>
    </dxf>
    <dxf>
      <font>
        <b val="0"/>
        <i/>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font>
        <b val="0"/>
        <i val="0"/>
        <strike val="0"/>
        <condense val="0"/>
        <extend val="0"/>
        <outline val="0"/>
        <shadow val="0"/>
        <u val="none"/>
        <vertAlign val="baseline"/>
        <sz val="10"/>
        <color rgb="FF000000"/>
        <name val="Arial"/>
        <family val="2"/>
        <scheme val="none"/>
      </font>
      <numFmt numFmtId="165" formatCode="_(* #,##0_);_(* \(#,##0\);_(* &quot;-&quot;??_);_(@_)"/>
      <alignment horizontal="general" vertical="bottom" textRotation="0" wrapText="1" indent="0" justifyLastLine="0" shrinkToFit="0" readingOrder="0"/>
    </dxf>
    <dxf>
      <numFmt numFmtId="166" formatCode="0.0%"/>
    </dxf>
    <dxf>
      <font>
        <b val="0"/>
        <i val="0"/>
        <strike val="0"/>
        <condense val="0"/>
        <extend val="0"/>
        <outline val="0"/>
        <shadow val="0"/>
        <u val="none"/>
        <vertAlign val="baseline"/>
        <sz val="10"/>
        <color rgb="FF000000"/>
        <name val="Arial"/>
        <scheme val="none"/>
      </font>
      <numFmt numFmtId="164" formatCode="&quot;$&quot;#,##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164" formatCode="&quot;$&quot;#,##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166" formatCode="0.0%"/>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166" formatCode="0.0%"/>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164" formatCode="&quot;$&quot;#,##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numFmt numFmtId="164" formatCode="&quot;$&quot;#,##0"/>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0" indent="0" justifyLastLine="0" shrinkToFit="0" readingOrder="0"/>
    </dxf>
    <dxf>
      <font>
        <b val="0"/>
        <i/>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
      <font>
        <b/>
        <i val="0"/>
        <strike val="0"/>
        <condense val="0"/>
        <extend val="0"/>
        <outline val="0"/>
        <shadow val="0"/>
        <u val="none"/>
        <vertAlign val="baseline"/>
        <sz val="10"/>
        <color rgb="FF000000"/>
        <name val="Arial"/>
        <family val="2"/>
        <scheme val="none"/>
      </font>
      <alignment horizontal="general" vertical="top" textRotation="0" wrapText="0" indent="0" justifyLastLine="0" shrinkToFit="0" readingOrder="0"/>
    </dxf>
    <dxf>
      <numFmt numFmtId="0" formatCode="General"/>
    </dxf>
    <dxf>
      <font>
        <b val="0"/>
        <i val="0"/>
        <strike val="0"/>
        <condense val="0"/>
        <extend val="0"/>
        <outline val="0"/>
        <shadow val="0"/>
        <u val="none"/>
        <vertAlign val="baseline"/>
        <sz val="7"/>
        <color rgb="FF000000"/>
        <name val="Arial"/>
        <family val="2"/>
        <scheme val="none"/>
      </font>
      <numFmt numFmtId="165" formatCode="_(* #,##0_);_(* \(#,##0\);_(* &quot;-&quot;??_);_(@_)"/>
      <alignment horizontal="center" vertical="bottom" textRotation="0" wrapText="0" indent="0" justifyLastLine="0" shrinkToFit="0" readingOrder="0"/>
    </dxf>
    <dxf>
      <font>
        <sz val="7"/>
        <family val="2"/>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7"/>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7"/>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7"/>
        <color rgb="FF000000"/>
        <name val="Arial"/>
        <family val="2"/>
        <scheme val="none"/>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7"/>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7"/>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7"/>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7"/>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7"/>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7"/>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7"/>
        <color rgb="FF000000"/>
        <name val="Arial"/>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7"/>
        <color rgb="FF000000"/>
        <name val="Arial"/>
        <family val="2"/>
        <scheme val="none"/>
      </font>
      <alignment horizontal="general"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7"/>
        <color rgb="FF000000"/>
        <name val="Arial"/>
        <family val="2"/>
        <scheme val="none"/>
      </font>
    </dxf>
    <dxf>
      <font>
        <b val="0"/>
        <i val="0"/>
        <strike val="0"/>
        <condense val="0"/>
        <extend val="0"/>
        <outline val="0"/>
        <shadow val="0"/>
        <u val="none"/>
        <vertAlign val="baseline"/>
        <sz val="7"/>
        <color rgb="FF000000"/>
        <name val="Arial"/>
        <family val="2"/>
        <scheme val="none"/>
      </font>
    </dxf>
    <dxf>
      <font>
        <b val="0"/>
        <i val="0"/>
        <strike val="0"/>
        <condense val="0"/>
        <extend val="0"/>
        <outline val="0"/>
        <shadow val="0"/>
        <u val="none"/>
        <vertAlign val="baseline"/>
        <sz val="7"/>
        <color rgb="FF000000"/>
        <name val="Arial"/>
        <family val="2"/>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7"/>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7"/>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7"/>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7"/>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7"/>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7"/>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7"/>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7"/>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7"/>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7"/>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7"/>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7"/>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7"/>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7"/>
        <color rgb="FF000000"/>
        <name val="Arial"/>
        <family val="2"/>
        <scheme val="none"/>
      </font>
      <alignment horizontal="center" vertical="bottom" textRotation="0" wrapText="0" indent="0" justifyLastLine="0" shrinkToFit="0" readingOrder="0"/>
    </dxf>
    <dxf>
      <font>
        <sz val="7"/>
        <family val="2"/>
      </font>
      <numFmt numFmtId="0" formatCode="Genera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alcChain" Target="calcChain.xml"/><Relationship Id="rId26" Type="http://schemas.openxmlformats.org/officeDocument/2006/relationships/customXml" Target="../customXml/item8.xml"/><Relationship Id="rId3" Type="http://schemas.openxmlformats.org/officeDocument/2006/relationships/worksheet" Target="worksheets/sheet3.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owerPivotData" Target="model/item.data"/><Relationship Id="rId25" Type="http://schemas.openxmlformats.org/officeDocument/2006/relationships/customXml" Target="../customXml/item7.xml"/><Relationship Id="rId33"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6.xml"/><Relationship Id="rId32"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5.xml"/><Relationship Id="rId28" Type="http://schemas.openxmlformats.org/officeDocument/2006/relationships/customXml" Target="../customXml/item10.xml"/><Relationship Id="rId10" Type="http://schemas.openxmlformats.org/officeDocument/2006/relationships/worksheet" Target="worksheets/sheet10.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1BFFC84-D772-4372-9765-27F33C9CB510}" name="Table4" displayName="Table4" ref="A1:V161" totalsRowShown="0">
  <autoFilter ref="A1:V161" xr:uid="{00000000-0009-0000-0100-000002000000}"/>
  <tableColumns count="22">
    <tableColumn id="1" xr3:uid="{27C7BEC9-0A9B-45F1-976D-8C3E755D8782}" name="company_name" dataDxfId="120"/>
    <tableColumn id="17" xr3:uid="{2822B8B7-1989-4AD3-B61F-EFBC6B05B020}" name="Column1" dataDxfId="119" dataCellStyle="Normal 4"/>
    <tableColumn id="2" xr3:uid="{F8222EFE-41AE-4269-B1F9-D4B2490C0D29}" name="company_id" dataDxfId="118"/>
    <tableColumn id="3" xr3:uid="{ADB6B92B-EFE0-42C1-9A59-804F81E5F9B6}" name="target_type" dataDxfId="117"/>
    <tableColumn id="18" xr3:uid="{1988E280-8506-41F0-AB8A-60E17EA7A58E}" name="intensity_metric_original" dataDxfId="116"/>
    <tableColumn id="10" xr3:uid="{434723C7-9E23-4824-BFF2-75FF2991945B}" name="intensity_metric"/>
    <tableColumn id="4" xr3:uid="{662EF2E6-25F0-4028-99CC-8700139AB651}" name="scope" dataDxfId="115"/>
    <tableColumn id="19" xr3:uid="{84BC8D01-FBA3-400F-A0F2-387011E68EC2}" name="coverate_original" dataDxfId="114"/>
    <tableColumn id="12" xr3:uid="{35A00456-A9A0-4CFE-8B9C-3BE71EC30B56}" name="coverage_s1" dataDxfId="113"/>
    <tableColumn id="11" xr3:uid="{4452E9FE-4AA8-4E29-8534-597407FCFE58}" name="coverage_s2" dataDxfId="112"/>
    <tableColumn id="5" xr3:uid="{AE8A3DED-5661-45EE-94D8-CB9195EB9A2C}" name="coverage_s3" dataDxfId="111"/>
    <tableColumn id="20" xr3:uid="{574242BD-6225-4C89-83C9-442434D1DB80}" name="reduction_ambition_original" dataDxfId="110"/>
    <tableColumn id="6" xr3:uid="{5B3693EE-69AA-4966-B4A5-3CB9C4FC50F0}" name="reduction_ambition" dataDxfId="109"/>
    <tableColumn id="7" xr3:uid="{AAE10D55-8BC5-429C-9679-FA11772E1209}" name="base_year" dataDxfId="108"/>
    <tableColumn id="8" xr3:uid="{E7C7DFF4-D72D-4E37-AA9E-67281C297ABA}" name="end_year" dataDxfId="107"/>
    <tableColumn id="9" xr3:uid="{E0C95ECC-9715-41D2-8B28-D05464F34935}" name="start_year" dataDxfId="106"/>
    <tableColumn id="22" xr3:uid="{8B84214C-ABC5-4589-B9C4-A3767CF661D1}" name="base_year_emissions_target" dataDxfId="105"/>
    <tableColumn id="13" xr3:uid="{403A1264-8B6B-49A1-9EC4-9FA6E82C995E}" name="base_year_ghg_s1"/>
    <tableColumn id="14" xr3:uid="{C1227664-8934-4804-863B-969913642E41}" name="base_year_ghg_s2"/>
    <tableColumn id="15" xr3:uid="{BA30B986-1D16-4975-A676-AFB791D06695}" name="base_year_ghg_s3"/>
    <tableColumn id="21" xr3:uid="{DC895762-95E9-43EF-A6C5-F487094178D8}" name="achieved_reduction_original" dataDxfId="104" dataCellStyle="Normal 4"/>
    <tableColumn id="16" xr3:uid="{07CDF9DF-F4B4-4C3C-BE7D-C0BB20F673E4}" name="achieved_reduction" dataDxfId="10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D9EBA8-8C70-41BE-9708-79B238897E7E}" name="Table13" displayName="Table13" ref="A1:T101" totalsRowShown="0" tableBorderDxfId="102">
  <autoFilter ref="A1:T101" xr:uid="{00000000-0009-0000-0100-000001000000}"/>
  <tableColumns count="20">
    <tableColumn id="1" xr3:uid="{15F4EC87-04F9-49B3-9214-304D862E56AC}" name="company_name" dataDxfId="101"/>
    <tableColumn id="2" xr3:uid="{2BFC9C30-CEDD-4B33-ABD5-270526ADBA40}" name="company_id" dataDxfId="100"/>
    <tableColumn id="3" xr3:uid="{1144A112-33A7-4F9D-B56C-29B2BED56E13}" name="isic" dataDxfId="99"/>
    <tableColumn id="4" xr3:uid="{4D9501C3-DAF3-4881-9150-342CDF9A918E}" name="country" dataDxfId="98"/>
    <tableColumn id="20" xr3:uid="{675215CE-9E66-4CDA-A222-2AB3BACD466C}" name="region" dataDxfId="97"/>
    <tableColumn id="5" xr3:uid="{1964B6F2-DAC5-4F3E-8C12-8BF7A1E7AA8A}" name="industry_level_1" dataDxfId="96"/>
    <tableColumn id="22" xr3:uid="{AA4219CE-BF1A-4F0E-9100-B1F5008E150F}" name="industry_level_2" dataDxfId="95"/>
    <tableColumn id="21" xr3:uid="{8E412D2B-28D9-4B97-9FCB-CFAA8EB5F201}" name="industry_level_3"/>
    <tableColumn id="7" xr3:uid="{0CAB74CD-D19B-46C6-98EF-64AE567F06E2}" name="industry_level_4"/>
    <tableColumn id="6" xr3:uid="{63BA6965-869C-4583-9D77-C5D11F6C85A8}" name="sector" dataDxfId="94"/>
    <tableColumn id="15" xr3:uid="{E1F1A220-45D4-4FAF-86B5-93ACE20F8D49}" name="ghg_s1" dataDxfId="93"/>
    <tableColumn id="14" xr3:uid="{870C54EB-1B18-4A90-AEA2-26008F35655C}" name="ghg_s2_loc" dataDxfId="92"/>
    <tableColumn id="16" xr3:uid="{D0AA7BDC-B3E9-4F7F-AF5F-B2033FAEF44B}" name="ghg_s2_mkt" dataDxfId="91"/>
    <tableColumn id="18" xr3:uid="{D78410C4-132E-4BE5-9A1C-880F94390FF9}" name="ghg_s1s2" dataDxfId="90"/>
    <tableColumn id="8" xr3:uid="{E8BC90B6-9B7E-4839-AC8E-197F1650E041}" name="ghg_s3"/>
    <tableColumn id="9" xr3:uid="{2B11AEFE-570C-4017-A64D-1476929FF36E}" name="company_revenue" dataDxfId="89" dataCellStyle="Comma"/>
    <tableColumn id="10" xr3:uid="{650C13D4-62D2-40B6-A314-0E005BE747DA}" name="company_market_cap"/>
    <tableColumn id="11" xr3:uid="{FE4631F7-6581-4CA1-AF63-2C180F04055C}" name="company_enterprise_value"/>
    <tableColumn id="12" xr3:uid="{063AAFBC-AE81-43F1-9161-1AE88AEF7ECA}" name="company_total_assets" dataDxfId="88"/>
    <tableColumn id="13" xr3:uid="{EA0C2E3F-28E3-4C37-9160-EBF316CBA7C3}" name="company_cash_equivalent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24FFCF-A1E3-48CF-933B-0806807F1D49}" name="Table1" displayName="Table1" ref="A1:BD102" totalsRowCount="1" headerRowDxfId="87" dataDxfId="86">
  <sortState xmlns:xlrd2="http://schemas.microsoft.com/office/spreadsheetml/2017/richdata2" ref="A2:BC101">
    <sortCondition ref="A1:A101"/>
  </sortState>
  <tableColumns count="56">
    <tableColumn id="1" xr3:uid="{398EA38E-C384-4BDD-9E09-25FC1FF0C7C7}" name="Company Name" dataDxfId="85" totalsRowDxfId="41"/>
    <tableColumn id="69" xr3:uid="{537EA2F0-2F2A-42E9-859D-B5A35F2F38C8}" name="Shorthand Company Name" dataDxfId="84" totalsRowDxfId="40"/>
    <tableColumn id="2" xr3:uid="{71B1879C-D438-4C5C-8ADA-01AF3F0C5AF0}" name="Sector"/>
    <tableColumn id="3" xr3:uid="{0C2C7332-081E-4A7F-88D9-2982C2DE2235}" name="Industry" dataDxfId="83" totalsRowDxfId="39"/>
    <tableColumn id="4" xr3:uid="{77C2697E-E2C2-487F-AB09-8EA64EF7DF20}" name="Size (2019 Revenue)" dataDxfId="82" totalsRowDxfId="38" dataCellStyle="Currency"/>
    <tableColumn id="49" xr3:uid="{D40DADBB-A044-4461-A1A8-D1FE4CE1C38E}" name="Net earnings post carbon price @85/t" dataDxfId="81" totalsRowDxfId="37" dataCellStyle="Currency">
      <calculatedColumnFormula>IF(ISNUMBER(Table1[[#This Row],[2019 Scope 3 ]]),IF(Table1[[#This Row],[Net Earnings/Income (2019)]]-k_cost*Table1[[#This Row],[2019 Total Scope 1, 2 + 3]]&lt;0,"Y","N"),"NA")</calculatedColumnFormula>
    </tableColumn>
    <tableColumn id="50" xr3:uid="{2C932F36-92A3-4C39-A624-43EFB70E56ED}" name="Carbon costs in % revenue" dataDxfId="80" totalsRowDxfId="36" dataCellStyle="Currency">
      <calculatedColumnFormula>IF(ISNUMBER(Table1[[#This Row],[2019 Scope 3 ]]),IF(k_cost*Table1[[#This Row],[2019 Total Scope 1, 2 + 3]]/Table1[[#This Row],[Size (2019 Revenue)]]&gt;k_rev_max,"Y","N"),"NA")</calculatedColumnFormula>
    </tableColumn>
    <tableColumn id="51" xr3:uid="{65B9C052-3930-4EA1-8D26-A79EEADEEF7D}" name="Under_Performance" dataDxfId="79" totalsRowDxfId="35" dataCellStyle="Percent">
      <calculatedColumnFormula>IF(OR(Table1[[#This Row],[Net earnings post carbon price @85/t]]="Y",Table1[[#This Row],[Carbon costs in % revenue]] = "Y"),"Y",IF(OR(Table1[[#This Row],[Net earnings post carbon price @85/t]]="NA",Table1[[#This Row],[Carbon costs in % revenue]]="NA"),"NA","N"))</calculatedColumnFormula>
    </tableColumn>
    <tableColumn id="5" xr3:uid="{8F2FF33B-2525-4FB4-A163-5E2571D8B502}" name="Net Earnings/Income (2019)" dataDxfId="78" totalsRowDxfId="34" dataCellStyle="Currency"/>
    <tableColumn id="6" xr3:uid="{CE4200D0-58F6-4F2E-8A32-5ABF8AD49FC4}" name="IPO Year" dataDxfId="77" totalsRowDxfId="33" dataCellStyle="Currency"/>
    <tableColumn id="7" xr3:uid="{4528A40F-3394-4A74-8194-AAFC08C6C072}" name="S&amp;P 100? (Y/N)" dataDxfId="76" totalsRowDxfId="32" dataCellStyle="Currency"/>
    <tableColumn id="8" xr3:uid="{C56AFEC0-BAA3-4F42-BE5B-32940CD8CF1C}" name="Carbon Neutral Goal? (Y/N)"/>
    <tableColumn id="9" xr3:uid="{5A8D5E3F-216C-4049-AF7D-284D43E0BB47}" name="Science-Based Target? (Y/N)"/>
    <tableColumn id="10" xr3:uid="{D571FC94-7AF2-431D-AC48-04599689158B}" name="Carbon Neutral by.... (year)"/>
    <tableColumn id="11" xr3:uid="{4A38C53F-CE16-460B-B710-A9A7A92686B4}" name="Carbon Neutral Announcement (year)"/>
    <tableColumn id="12" xr3:uid="{2E5B117F-AE37-408C-BB2D-14CC69D0A39E}" name="Carbon Goal (if non-zero)"/>
    <tableColumn id="13" xr3:uid="{7BBB9DC0-8C94-449D-9B4F-35C56437727A}" name="Reliance on Offsets? (Y/N)"/>
    <tableColumn id="14" xr3:uid="{A1985EC7-50A3-491A-A7E9-D9F6EB155545}" name="RE100 Commitment? (Y/N)"/>
    <tableColumn id="15" xr3:uid="{55B44FD0-A4F9-4855-ADAD-3F4FC6FE2407}" name="100% Renewable Energy by... (year)"/>
    <tableColumn id="47" xr3:uid="{3F2FA197-63B2-4DC6-B104-4D5620F0BEA8}" name="Evolution vs. LY" dataDxfId="75" dataCellStyle="Percent">
      <calculatedColumnFormula>IFERROR((Table1[[#This Row],[2019 Total Scope 1, 2 + 3]])/Table1[[#This Row],[2018 Total Scope 1, 2 + Scope 3]]-1,"NA")</calculatedColumnFormula>
    </tableColumn>
    <tableColumn id="46" xr3:uid="{36C24F84-0C22-4E46-8C90-A05B16EEE562}" name="Column1"/>
    <tableColumn id="16" xr3:uid="{F3CCBB0D-7275-48EB-A472-9BE1DF1DC5E6}" name="2019 Scope 1 (MeT Co2)" dataDxfId="74" totalsRowDxfId="31" dataCellStyle="Comma"/>
    <tableColumn id="17" xr3:uid="{3AAB91F8-5653-4BA9-B8A2-534E8E5D2B69}" name="2019 Scope 2 " dataDxfId="73" totalsRowDxfId="30" dataCellStyle="Comma"/>
    <tableColumn id="18" xr3:uid="{F14E36A1-FF38-41E0-B480-1B2CB14DE342}" name="2019 Offsets Purchased" dataDxfId="72" totalsRowDxfId="29" dataCellStyle="Comma"/>
    <tableColumn id="19" xr3:uid="{CE5E2375-DA7C-4F58-A701-3FAA145D84B7}" name="2019 Net Scope 1 + 2 Emissions" dataDxfId="71" totalsRowDxfId="28" dataCellStyle="Comma">
      <calculatedColumnFormula>IFERROR(V2+W2-X2,"")</calculatedColumnFormula>
    </tableColumn>
    <tableColumn id="20" xr3:uid="{F9A03DDB-CFFE-4D15-9111-7324364D552B}" name="2019 Scope 3 " dataDxfId="70" totalsRowDxfId="27" dataCellStyle="Comma"/>
    <tableColumn id="62" xr3:uid="{842F8120-486C-488E-BB06-83C15C9B2D83}" name="2019 Total Scope 1, 2 + 3" dataDxfId="69" totalsRowDxfId="26" dataCellStyle="Comma">
      <calculatedColumnFormula>IFERROR(Y2+Z2,"")</calculatedColumnFormula>
    </tableColumn>
    <tableColumn id="21" xr3:uid="{46CB6DCC-3475-40D9-A426-F32EBF168D6D}" name="2018 Scope 1" dataDxfId="68" totalsRowDxfId="25" dataCellStyle="Comma"/>
    <tableColumn id="22" xr3:uid="{E48FFEA6-F944-4042-A53A-BBE0B66FC329}" name="2018 Scope 2" dataDxfId="67" totalsRowDxfId="24" dataCellStyle="Comma"/>
    <tableColumn id="23" xr3:uid="{EE846130-6D2D-45E1-8D82-07C6BA87A779}" name="2018 Offsets Purchased" dataDxfId="66" totalsRowDxfId="23" dataCellStyle="Comma"/>
    <tableColumn id="24" xr3:uid="{F794873A-5F80-4E88-B5AE-80CD8BCDFAAF}" name="2018 Net Scope 1 + 2 Emissions" dataDxfId="65" totalsRowDxfId="22" dataCellStyle="Comma">
      <calculatedColumnFormula>IFERROR(AB2+AC2-AD2,"")</calculatedColumnFormula>
    </tableColumn>
    <tableColumn id="25" xr3:uid="{29A4C0E0-3FAD-4F63-8E5F-88E1F32EA37F}" name="2018 Scope 3" dataDxfId="64" totalsRowDxfId="21" dataCellStyle="Comma"/>
    <tableColumn id="61" xr3:uid="{C45762E3-4919-4A70-8B64-588CE24F1BD0}" name="2018 Total Scope 1, 2 + Scope 3" dataDxfId="63" totalsRowDxfId="20" dataCellStyle="Comma">
      <calculatedColumnFormula>IFERROR(AE2+AF2,"")</calculatedColumnFormula>
    </tableColumn>
    <tableColumn id="26" xr3:uid="{68E54195-066F-49CB-AACD-19A8A2478DF9}" name="2017 Scope 1" dataDxfId="62" totalsRowDxfId="19" dataCellStyle="Comma"/>
    <tableColumn id="27" xr3:uid="{AFD0D8F0-0DD8-4C68-AEE3-452E5FCF0780}" name="2017 Scope 2" dataDxfId="61" totalsRowDxfId="18" dataCellStyle="Comma"/>
    <tableColumn id="28" xr3:uid="{C50834F2-FE8F-4E66-A200-C70133A87101}" name="2017 Offsets Purchased" dataDxfId="60" totalsRowDxfId="17" dataCellStyle="Comma"/>
    <tableColumn id="29" xr3:uid="{18284B08-2E15-4CE2-8A33-5D0BE59C64D8}" name="2017 Net Scope 1 + 2 Emissions" dataDxfId="59" totalsRowDxfId="16" dataCellStyle="Comma">
      <calculatedColumnFormula>IFERROR(AH2+AI2-AJ2,"")</calculatedColumnFormula>
    </tableColumn>
    <tableColumn id="30" xr3:uid="{E2B2A7F0-002B-4018-A9DE-16C831A16512}" name="2017 Scope 3" dataDxfId="58" totalsRowDxfId="15" dataCellStyle="Comma"/>
    <tableColumn id="63" xr3:uid="{9A757284-2687-46CF-BF9A-D5CB4D8ED432}" name="2017 Total Scope 1, 2 + 3" dataDxfId="57" totalsRowDxfId="14" dataCellStyle="Comma">
      <calculatedColumnFormula>IFERROR(AK2+AL2,"")</calculatedColumnFormula>
    </tableColumn>
    <tableColumn id="31" xr3:uid="{6B018613-C9C4-4BA6-B7EB-3B1BAFDC5EB3}" name="2016 Scope 1" dataDxfId="56" totalsRowDxfId="13" dataCellStyle="Comma"/>
    <tableColumn id="32" xr3:uid="{568AC599-B73D-41EC-BE15-016AE6E1318C}" name="2016 Scope 2" dataDxfId="55" totalsRowDxfId="12" dataCellStyle="Comma"/>
    <tableColumn id="33" xr3:uid="{7541ACA9-BF60-40D5-986B-A67F0E46B8A5}" name="2016 Offsets Purchased" dataDxfId="54" totalsRowDxfId="11" dataCellStyle="Comma"/>
    <tableColumn id="34" xr3:uid="{9FD1F91F-0D90-46B4-8568-8D912EB51435}" name="2016 Net Scope 1 + 2 Emissions" dataDxfId="53" totalsRowDxfId="10" dataCellStyle="Comma">
      <calculatedColumnFormula>IFERROR(AN2+AO2-AP2,"")</calculatedColumnFormula>
    </tableColumn>
    <tableColumn id="35" xr3:uid="{EF22F29A-C551-42CD-8BFD-165D4DA5A80E}" name="2016 Scope 3" dataDxfId="52" totalsRowDxfId="9" dataCellStyle="Comma"/>
    <tableColumn id="64" xr3:uid="{9895AAE3-98CB-406B-A7BF-34F6590C1931}" name="2016 Total Scope 1, 2 + 3" dataDxfId="51" totalsRowDxfId="8" dataCellStyle="Comma">
      <calculatedColumnFormula>IFERROR(AQ2+AR2,"")</calculatedColumnFormula>
    </tableColumn>
    <tableColumn id="36" xr3:uid="{86BC0C75-4244-4E3E-AD91-39CCE9C443A5}" name="2015 Scope 1" dataDxfId="50" totalsRowDxfId="7" dataCellStyle="Comma"/>
    <tableColumn id="37" xr3:uid="{F3B728F3-195C-4AC6-87B9-BDA0074BE45A}" name="2015 Scope 2" dataDxfId="49" totalsRowDxfId="6" dataCellStyle="Comma"/>
    <tableColumn id="38" xr3:uid="{D8FE239B-38CE-4586-BBE6-BC85E8FF6511}" name="2015 Offsets Purchased" dataDxfId="48" totalsRowDxfId="5" dataCellStyle="Comma"/>
    <tableColumn id="39" xr3:uid="{AD0FEE62-ADB7-4A66-8746-EF8285EE1F2D}" name="2015 Net Scope 1 + 2 Emissions" dataDxfId="47" totalsRowDxfId="4" dataCellStyle="Comma">
      <calculatedColumnFormula>IFERROR(AT2+AU2-AV2,"")</calculatedColumnFormula>
    </tableColumn>
    <tableColumn id="40" xr3:uid="{36258CC5-840E-44AB-82F0-2AA91A7E1684}" name="2015 Scope 3" dataDxfId="46" totalsRowDxfId="3" dataCellStyle="Comma"/>
    <tableColumn id="65" xr3:uid="{5ADFCADD-520F-4F49-AEEB-D141C30EC90A}" name="2015 Total Scope 1, 2 + 3" dataDxfId="45" totalsRowDxfId="2" dataCellStyle="Comma">
      <calculatedColumnFormula>IFERROR(AW2+AX2,"")</calculatedColumnFormula>
    </tableColumn>
    <tableColumn id="41" xr3:uid="{0097CD94-3DD0-403D-A540-8B881D50B476}" name="Policy Arm?"/>
    <tableColumn id="42" xr3:uid="{733772B4-6C09-49A3-B92D-04311A832694}" name="Initiatives for Carbon Neutrality" dataDxfId="44" totalsRowDxfId="1"/>
    <tableColumn id="43" xr3:uid="{5736213F-B696-47D2-9295-2E1950A63B45}" name="Notes"/>
    <tableColumn id="44" xr3:uid="{1B4075C5-7613-4AD8-9BC2-A0D6BC03AFAD}" name="Sources" dataDxfId="43" totalsRowDxfId="0"/>
    <tableColumn id="45" xr3:uid="{EF0849B6-891F-4298-AA26-3B12CD662AE5}" name="Modifications" dataDxfId="42"/>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7.bin"/><Relationship Id="rId1" Type="http://schemas.openxmlformats.org/officeDocument/2006/relationships/hyperlink" Target="https://ir-capitalone.gcs-web.com/news-releases/news-release-details/capital-one-reports-fourth-quarter-2019-net-income-12-billion-o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62A46-41A9-4CEF-8F9D-72C16BEA2FA9}">
  <dimension ref="A2:B3"/>
  <sheetViews>
    <sheetView workbookViewId="0">
      <selection activeCell="B3" sqref="B3"/>
    </sheetView>
  </sheetViews>
  <sheetFormatPr defaultRowHeight="12.75"/>
  <cols>
    <col min="1" max="1" width="34.28515625" bestFit="1" customWidth="1"/>
  </cols>
  <sheetData>
    <row r="2" spans="1:2">
      <c r="A2" t="s">
        <v>506</v>
      </c>
      <c r="B2">
        <v>85</v>
      </c>
    </row>
    <row r="3" spans="1:2">
      <c r="A3" t="s">
        <v>507</v>
      </c>
      <c r="B3" s="28">
        <v>0.05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CC759-9CC9-40B7-B10F-456F7314DA71}">
  <dimension ref="A1:BD181"/>
  <sheetViews>
    <sheetView workbookViewId="0">
      <pane xSplit="1" ySplit="1" topLeftCell="I20" activePane="bottomRight" state="frozen"/>
      <selection pane="topRight"/>
      <selection pane="bottomLeft"/>
      <selection pane="bottomRight" activeCell="AA23" sqref="AA23"/>
    </sheetView>
  </sheetViews>
  <sheetFormatPr defaultRowHeight="12.75"/>
  <cols>
    <col min="1" max="1" width="24.42578125" bestFit="1" customWidth="1"/>
    <col min="2" max="2" width="12.7109375" customWidth="1"/>
    <col min="3" max="3" width="20.5703125" bestFit="1" customWidth="1"/>
    <col min="4" max="4" width="15.5703125" customWidth="1"/>
    <col min="5" max="8" width="20.140625" customWidth="1"/>
    <col min="9" max="9" width="25.85546875" customWidth="1"/>
    <col min="10" max="10" width="10.42578125" style="10" customWidth="1"/>
    <col min="11" max="21" width="10.7109375" customWidth="1"/>
    <col min="22" max="25" width="11.85546875" customWidth="1"/>
    <col min="26" max="26" width="12.28515625" bestFit="1" customWidth="1"/>
    <col min="27" max="51" width="11.85546875" customWidth="1"/>
    <col min="52" max="52" width="10.7109375" customWidth="1"/>
    <col min="53" max="53" width="114" customWidth="1"/>
    <col min="54" max="54" width="50.42578125" customWidth="1"/>
    <col min="55" max="55" width="78.42578125" customWidth="1"/>
  </cols>
  <sheetData>
    <row r="1" spans="1:56" ht="51" customHeight="1">
      <c r="A1" s="2" t="s">
        <v>17</v>
      </c>
      <c r="B1" s="2" t="s">
        <v>437</v>
      </c>
      <c r="C1" s="2" t="s">
        <v>18</v>
      </c>
      <c r="D1" s="2" t="s">
        <v>19</v>
      </c>
      <c r="E1" s="2" t="s">
        <v>20</v>
      </c>
      <c r="F1" s="2" t="s">
        <v>504</v>
      </c>
      <c r="G1" s="2" t="s">
        <v>505</v>
      </c>
      <c r="H1" s="2" t="s">
        <v>510</v>
      </c>
      <c r="I1" s="2" t="s">
        <v>21</v>
      </c>
      <c r="J1" s="8" t="s">
        <v>22</v>
      </c>
      <c r="K1" s="2" t="s">
        <v>23</v>
      </c>
      <c r="L1" s="2" t="s">
        <v>24</v>
      </c>
      <c r="M1" s="2" t="s">
        <v>25</v>
      </c>
      <c r="N1" s="2" t="s">
        <v>26</v>
      </c>
      <c r="O1" s="2" t="s">
        <v>27</v>
      </c>
      <c r="P1" s="2" t="s">
        <v>28</v>
      </c>
      <c r="Q1" s="2" t="s">
        <v>29</v>
      </c>
      <c r="R1" s="2" t="s">
        <v>30</v>
      </c>
      <c r="S1" s="2" t="s">
        <v>31</v>
      </c>
      <c r="T1" s="2" t="s">
        <v>503</v>
      </c>
      <c r="U1" s="2" t="s">
        <v>502</v>
      </c>
      <c r="V1" s="23" t="s">
        <v>32</v>
      </c>
      <c r="W1" s="23" t="s">
        <v>33</v>
      </c>
      <c r="X1" s="23" t="s">
        <v>34</v>
      </c>
      <c r="Y1" s="23" t="s">
        <v>13</v>
      </c>
      <c r="Z1" s="23" t="s">
        <v>35</v>
      </c>
      <c r="AA1" s="23" t="s">
        <v>36</v>
      </c>
      <c r="AB1" s="24" t="s">
        <v>37</v>
      </c>
      <c r="AC1" s="24" t="s">
        <v>38</v>
      </c>
      <c r="AD1" s="24" t="s">
        <v>39</v>
      </c>
      <c r="AE1" s="24" t="s">
        <v>14</v>
      </c>
      <c r="AF1" s="24" t="s">
        <v>40</v>
      </c>
      <c r="AG1" s="24" t="s">
        <v>41</v>
      </c>
      <c r="AH1" s="25" t="s">
        <v>42</v>
      </c>
      <c r="AI1" s="25" t="s">
        <v>43</v>
      </c>
      <c r="AJ1" s="25" t="s">
        <v>44</v>
      </c>
      <c r="AK1" s="25" t="s">
        <v>15</v>
      </c>
      <c r="AL1" s="25" t="s">
        <v>45</v>
      </c>
      <c r="AM1" s="25" t="s">
        <v>46</v>
      </c>
      <c r="AN1" s="26" t="s">
        <v>47</v>
      </c>
      <c r="AO1" s="26" t="s">
        <v>48</v>
      </c>
      <c r="AP1" s="26" t="s">
        <v>49</v>
      </c>
      <c r="AQ1" s="26" t="s">
        <v>16</v>
      </c>
      <c r="AR1" s="26" t="s">
        <v>50</v>
      </c>
      <c r="AS1" s="26" t="s">
        <v>51</v>
      </c>
      <c r="AT1" s="27" t="s">
        <v>52</v>
      </c>
      <c r="AU1" s="27" t="s">
        <v>53</v>
      </c>
      <c r="AV1" s="27" t="s">
        <v>54</v>
      </c>
      <c r="AW1" s="27" t="s">
        <v>55</v>
      </c>
      <c r="AX1" s="27" t="s">
        <v>56</v>
      </c>
      <c r="AY1" s="27" t="s">
        <v>57</v>
      </c>
      <c r="AZ1" s="1" t="s">
        <v>58</v>
      </c>
      <c r="BA1" s="2" t="s">
        <v>59</v>
      </c>
      <c r="BB1" s="2" t="s">
        <v>60</v>
      </c>
      <c r="BC1" s="2" t="s">
        <v>61</v>
      </c>
      <c r="BD1" s="43" t="s">
        <v>484</v>
      </c>
    </row>
    <row r="2" spans="1:56">
      <c r="A2" t="s">
        <v>62</v>
      </c>
      <c r="B2" t="s">
        <v>62</v>
      </c>
      <c r="C2" s="4" t="s">
        <v>8</v>
      </c>
      <c r="D2" s="4" t="s">
        <v>63</v>
      </c>
      <c r="E2" s="5">
        <v>32136000000</v>
      </c>
      <c r="F2" s="5" t="str">
        <f>IF(ISNUMBER(Table1[[#This Row],[2019 Scope 3 ]]),IF(Table1[[#This Row],[Net Earnings/Income (2019)]]-k_cost*Table1[[#This Row],[2019 Total Scope 1, 2 + 3]]&lt;0,"Y","N"),"NA")</f>
        <v>N</v>
      </c>
      <c r="G2" s="54" t="str">
        <f>IF(ISNUMBER(Table1[[#This Row],[2019 Scope 3 ]]),IF(k_cost*Table1[[#This Row],[2019 Total Scope 1, 2 + 3]]/Table1[[#This Row],[Size (2019 Revenue)]]&gt;k_rev_max,"Y","N"),"NA")</f>
        <v>N</v>
      </c>
      <c r="H2" s="54" t="str">
        <f>IF(OR(Table1[[#This Row],[Net earnings post carbon price @85/t]]="Y",Table1[[#This Row],[Carbon costs in % revenue]] = "Y"),"Y",IF(OR(Table1[[#This Row],[Net earnings post carbon price @85/t]]="NA",Table1[[#This Row],[Carbon costs in % revenue]]="NA"),"NA","N"))</f>
        <v>N</v>
      </c>
      <c r="I2" s="5">
        <v>4570000000</v>
      </c>
      <c r="J2" s="9">
        <v>1978</v>
      </c>
      <c r="K2" s="5" t="s">
        <v>1</v>
      </c>
      <c r="L2" t="s">
        <v>0</v>
      </c>
      <c r="M2" s="4" t="s">
        <v>0</v>
      </c>
      <c r="P2" s="15">
        <v>9150000</v>
      </c>
      <c r="Q2" t="s">
        <v>0</v>
      </c>
      <c r="R2" t="s">
        <v>1</v>
      </c>
      <c r="S2">
        <v>2050</v>
      </c>
      <c r="T2" s="51">
        <f>IFERROR((Table1[[#This Row],[2019 Total Scope 1, 2 + 3]])/Table1[[#This Row],[2018 Total Scope 1, 2 + Scope 3]]-1,"NA")</f>
        <v>-9.5569620253164511E-2</v>
      </c>
      <c r="V2" s="12">
        <v>4050000</v>
      </c>
      <c r="W2" s="12">
        <v>1320000</v>
      </c>
      <c r="X2" s="12"/>
      <c r="Y2" s="12">
        <f t="shared" ref="Y2:Y33" si="0">IFERROR(V2+W2-X2,"")</f>
        <v>5370000</v>
      </c>
      <c r="Z2" s="12">
        <v>8920000</v>
      </c>
      <c r="AA2" s="12">
        <f t="shared" ref="AA2:AA33" si="1">IFERROR(Y2+Z2,"")</f>
        <v>14290000</v>
      </c>
      <c r="AB2" s="12">
        <v>4790000</v>
      </c>
      <c r="AC2" s="12">
        <v>1480000</v>
      </c>
      <c r="AD2" s="12"/>
      <c r="AE2" s="12">
        <f t="shared" ref="AE2:AE33" si="2">IFERROR(AB2+AC2-AD2,"")</f>
        <v>6270000</v>
      </c>
      <c r="AF2" s="12">
        <v>9530000</v>
      </c>
      <c r="AG2" s="12">
        <f t="shared" ref="AG2:AG33" si="3">IFERROR(AE2+AF2,"")</f>
        <v>15800000</v>
      </c>
      <c r="AH2" s="12">
        <v>3960000</v>
      </c>
      <c r="AI2" s="12">
        <v>1650000</v>
      </c>
      <c r="AJ2" s="12"/>
      <c r="AK2" s="12">
        <f t="shared" ref="AK2:AK33" si="4">IFERROR(AH2+AI2-AJ2,"")</f>
        <v>5610000</v>
      </c>
      <c r="AL2" s="12">
        <v>9280000</v>
      </c>
      <c r="AM2" s="12">
        <f t="shared" ref="AM2:AM33" si="5">IFERROR(AK2+AL2,"")</f>
        <v>14890000</v>
      </c>
      <c r="AN2" s="12">
        <v>4140000</v>
      </c>
      <c r="AO2" s="12">
        <v>1780000</v>
      </c>
      <c r="AP2" s="12"/>
      <c r="AQ2" s="12">
        <f t="shared" ref="AQ2:AQ42" si="6">IFERROR(AN2+AO2-AP2,"")</f>
        <v>5920000</v>
      </c>
      <c r="AR2" s="12">
        <v>9420000</v>
      </c>
      <c r="AS2" s="12">
        <f t="shared" ref="AS2:AS33" si="7">IFERROR(AQ2+AR2,"")</f>
        <v>15340000</v>
      </c>
      <c r="AT2" s="12">
        <v>3770000</v>
      </c>
      <c r="AU2" s="12">
        <v>1930000</v>
      </c>
      <c r="AV2" s="12"/>
      <c r="AW2" s="12">
        <f t="shared" ref="AW2:AW42" si="8">IFERROR(AT2+AU2-AV2,"")</f>
        <v>5700000</v>
      </c>
      <c r="AX2" s="12">
        <f>6860000+577000+621000+780000+254000+55800+356000</f>
        <v>9503800</v>
      </c>
      <c r="AY2" s="12">
        <f t="shared" ref="AY2:AY33" si="9">IFERROR(AW2+AX2,"")</f>
        <v>15203800</v>
      </c>
      <c r="AZ2" s="17" t="s">
        <v>1</v>
      </c>
      <c r="BA2" s="14" t="s">
        <v>64</v>
      </c>
      <c r="BD2" s="42"/>
    </row>
    <row r="3" spans="1:56">
      <c r="A3" t="s">
        <v>65</v>
      </c>
      <c r="B3" s="21" t="s">
        <v>65</v>
      </c>
      <c r="C3" s="4" t="s">
        <v>7</v>
      </c>
      <c r="D3" s="4" t="s">
        <v>66</v>
      </c>
      <c r="E3" s="11">
        <v>31904000000</v>
      </c>
      <c r="F3" s="5" t="str">
        <f>IF(ISNUMBER(Table1[[#This Row],[2019 Scope 3 ]]),IF(Table1[[#This Row],[Net Earnings/Income (2019)]]-k_cost*Table1[[#This Row],[2019 Total Scope 1, 2 + 3]]&lt;0,"Y","N"),"NA")</f>
        <v>N</v>
      </c>
      <c r="G3" s="54" t="str">
        <f>IF(ISNUMBER(Table1[[#This Row],[2019 Scope 3 ]]),IF(k_cost*Table1[[#This Row],[2019 Total Scope 1, 2 + 3]]/Table1[[#This Row],[Size (2019 Revenue)]]&gt;k_rev_max,"Y","N"),"NA")</f>
        <v>N</v>
      </c>
      <c r="H3" s="54" t="str">
        <f>IF(OR(Table1[[#This Row],[Net earnings post carbon price @85/t]]="Y",Table1[[#This Row],[Carbon costs in % revenue]] = "Y"),"Y",IF(OR(Table1[[#This Row],[Net earnings post carbon price @85/t]]="NA",Table1[[#This Row],[Carbon costs in % revenue]]="NA"),"NA","N"))</f>
        <v>N</v>
      </c>
      <c r="I3" s="11">
        <v>3687000000</v>
      </c>
      <c r="J3" s="10">
        <v>1929</v>
      </c>
      <c r="K3" s="4" t="s">
        <v>1</v>
      </c>
      <c r="L3" s="4" t="s">
        <v>0</v>
      </c>
      <c r="M3" s="4" t="s">
        <v>0</v>
      </c>
      <c r="N3" s="4"/>
      <c r="O3" s="4"/>
      <c r="P3" s="15">
        <v>742000</v>
      </c>
      <c r="Q3" t="s">
        <v>0</v>
      </c>
      <c r="R3" s="4" t="s">
        <v>0</v>
      </c>
      <c r="S3" s="4" t="s">
        <v>0</v>
      </c>
      <c r="T3" s="52">
        <f>IFERROR((Table1[[#This Row],[2019 Total Scope 1, 2 + 3]])/Table1[[#This Row],[2018 Total Scope 1, 2 + Scope 3]]-1,"NA")</f>
        <v>4.2558977496770733E-2</v>
      </c>
      <c r="U3" s="4"/>
      <c r="V3" s="12">
        <v>533000</v>
      </c>
      <c r="W3" s="12">
        <v>439000</v>
      </c>
      <c r="X3" s="12"/>
      <c r="Y3" s="12">
        <f t="shared" si="0"/>
        <v>972000</v>
      </c>
      <c r="Z3" s="12">
        <f>8382000+2860000+290000+1501000+15000+332000+306000+508000+169000</f>
        <v>14363000</v>
      </c>
      <c r="AA3" s="12">
        <f t="shared" si="1"/>
        <v>15335000</v>
      </c>
      <c r="AB3" s="12">
        <v>525000</v>
      </c>
      <c r="AC3" s="12">
        <v>506000</v>
      </c>
      <c r="AD3" s="12"/>
      <c r="AE3" s="12">
        <f t="shared" si="2"/>
        <v>1031000</v>
      </c>
      <c r="AF3" s="12">
        <v>13678000</v>
      </c>
      <c r="AG3" s="12">
        <f t="shared" si="3"/>
        <v>14709000</v>
      </c>
      <c r="AH3" s="12">
        <v>526000</v>
      </c>
      <c r="AI3" s="12">
        <v>506000</v>
      </c>
      <c r="AJ3" s="12"/>
      <c r="AK3" s="12">
        <f t="shared" si="4"/>
        <v>1032000</v>
      </c>
      <c r="AL3" s="12">
        <v>13710000</v>
      </c>
      <c r="AM3" s="12">
        <f t="shared" si="5"/>
        <v>14742000</v>
      </c>
      <c r="AN3" s="12">
        <v>516000</v>
      </c>
      <c r="AO3" s="12">
        <v>544000</v>
      </c>
      <c r="AP3" s="12"/>
      <c r="AQ3" s="12">
        <f t="shared" si="6"/>
        <v>1060000</v>
      </c>
      <c r="AR3" s="12">
        <v>14082000</v>
      </c>
      <c r="AS3" s="12">
        <f t="shared" si="7"/>
        <v>15142000</v>
      </c>
      <c r="AT3" s="12" t="s">
        <v>401</v>
      </c>
      <c r="AU3" s="12" t="s">
        <v>401</v>
      </c>
      <c r="AV3" s="12"/>
      <c r="AW3" s="12" t="str">
        <f t="shared" si="8"/>
        <v/>
      </c>
      <c r="AX3" s="12" t="s">
        <v>401</v>
      </c>
      <c r="AY3" s="12" t="str">
        <f t="shared" si="9"/>
        <v/>
      </c>
      <c r="AZ3" s="17" t="s">
        <v>0</v>
      </c>
      <c r="BA3" s="16" t="s">
        <v>67</v>
      </c>
      <c r="BD3" s="42"/>
    </row>
    <row r="4" spans="1:56" ht="25.5">
      <c r="A4" t="s">
        <v>68</v>
      </c>
      <c r="B4" s="21" t="s">
        <v>454</v>
      </c>
      <c r="C4" t="s">
        <v>7</v>
      </c>
      <c r="D4" s="4" t="s">
        <v>69</v>
      </c>
      <c r="E4" s="11">
        <v>33266000000</v>
      </c>
      <c r="F4" s="5" t="str">
        <f>IF(ISNUMBER(Table1[[#This Row],[2019 Scope 3 ]]),IF(Table1[[#This Row],[Net Earnings/Income (2019)]]-k_cost*Table1[[#This Row],[2019 Total Scope 1, 2 + 3]]&lt;0,"Y","N"),"NA")</f>
        <v>N</v>
      </c>
      <c r="G4" s="54" t="str">
        <f>IF(ISNUMBER(Table1[[#This Row],[2019 Scope 3 ]]),IF(k_cost*Table1[[#This Row],[2019 Total Scope 1, 2 + 3]]/Table1[[#This Row],[Size (2019 Revenue)]]&gt;k_rev_max,"Y","N"),"NA")</f>
        <v>N</v>
      </c>
      <c r="H4" s="54" t="str">
        <f>IF(OR(Table1[[#This Row],[Net earnings post carbon price @85/t]]="Y",Table1[[#This Row],[Carbon costs in % revenue]] = "Y"),"Y",IF(OR(Table1[[#This Row],[Net earnings post carbon price @85/t]]="NA",Table1[[#This Row],[Carbon costs in % revenue]]="NA"),"NA","N"))</f>
        <v>N</v>
      </c>
      <c r="I4" s="11">
        <v>5697000000</v>
      </c>
      <c r="J4" s="10">
        <v>2013</v>
      </c>
      <c r="K4" s="4" t="s">
        <v>1</v>
      </c>
      <c r="L4" s="4" t="s">
        <v>0</v>
      </c>
      <c r="M4" s="4" t="s">
        <v>0</v>
      </c>
      <c r="N4" s="4"/>
      <c r="O4" s="4"/>
      <c r="P4" s="15">
        <v>334482</v>
      </c>
      <c r="Q4" t="s">
        <v>0</v>
      </c>
      <c r="R4" s="4" t="s">
        <v>1</v>
      </c>
      <c r="S4">
        <v>2035</v>
      </c>
      <c r="T4" s="51">
        <f>IFERROR((Table1[[#This Row],[2019 Total Scope 1, 2 + 3]])/Table1[[#This Row],[2018 Total Scope 1, 2 + Scope 3]]-1,"NA")</f>
        <v>0.16426330750384066</v>
      </c>
      <c r="V4" s="12">
        <v>314421</v>
      </c>
      <c r="W4" s="12">
        <v>249777</v>
      </c>
      <c r="X4" s="12"/>
      <c r="Y4" s="12">
        <f t="shared" si="0"/>
        <v>564198</v>
      </c>
      <c r="Z4" s="12">
        <f>990981+20324+77371+5483+56303+183747</f>
        <v>1334209</v>
      </c>
      <c r="AA4" s="12">
        <f t="shared" si="1"/>
        <v>1898407</v>
      </c>
      <c r="AB4" s="12">
        <v>311000</v>
      </c>
      <c r="AC4" s="12">
        <v>271000</v>
      </c>
      <c r="AD4" s="12"/>
      <c r="AE4" s="12">
        <f t="shared" si="2"/>
        <v>582000</v>
      </c>
      <c r="AF4" s="12">
        <f>711499+17595+70284+5484+65924+177779</f>
        <v>1048565</v>
      </c>
      <c r="AG4" s="12">
        <f t="shared" si="3"/>
        <v>1630565</v>
      </c>
      <c r="AH4" s="12">
        <v>299000</v>
      </c>
      <c r="AI4" s="12">
        <v>284000</v>
      </c>
      <c r="AJ4" s="12"/>
      <c r="AK4" s="12">
        <f t="shared" si="4"/>
        <v>583000</v>
      </c>
      <c r="AL4" s="12">
        <f>652163+11640+53093+3956+106698+185438</f>
        <v>1012988</v>
      </c>
      <c r="AM4" s="12">
        <f t="shared" si="5"/>
        <v>1595988</v>
      </c>
      <c r="AN4" s="12">
        <v>297395</v>
      </c>
      <c r="AO4" s="12">
        <v>319692</v>
      </c>
      <c r="AP4" s="12"/>
      <c r="AQ4" s="12">
        <f t="shared" si="6"/>
        <v>617087</v>
      </c>
      <c r="AR4" s="12">
        <f>681914+13229+19813+2052+67536+124527+172</f>
        <v>909243</v>
      </c>
      <c r="AS4" s="12">
        <f t="shared" si="7"/>
        <v>1526330</v>
      </c>
      <c r="AT4" s="12">
        <v>318216</v>
      </c>
      <c r="AU4" s="12">
        <v>347250</v>
      </c>
      <c r="AV4" s="12"/>
      <c r="AW4" s="12">
        <f t="shared" si="8"/>
        <v>665466</v>
      </c>
      <c r="AX4" s="12">
        <f>619274+8239+20560+42819+9277+41030+102658+172</f>
        <v>844029</v>
      </c>
      <c r="AY4" s="12">
        <f t="shared" si="9"/>
        <v>1509495</v>
      </c>
      <c r="AZ4" s="17" t="s">
        <v>0</v>
      </c>
      <c r="BA4" s="14" t="s">
        <v>70</v>
      </c>
      <c r="BD4" s="42"/>
    </row>
    <row r="5" spans="1:56" ht="38.25">
      <c r="A5" t="s">
        <v>71</v>
      </c>
      <c r="B5" s="21" t="s">
        <v>71</v>
      </c>
      <c r="C5" t="s">
        <v>11</v>
      </c>
      <c r="D5" t="s">
        <v>72</v>
      </c>
      <c r="E5" s="11">
        <v>43200000000</v>
      </c>
      <c r="F5" s="5" t="str">
        <f>IF(ISNUMBER(Table1[[#This Row],[2019 Scope 3 ]]),IF(Table1[[#This Row],[Net Earnings/Income (2019)]]-k_cost*Table1[[#This Row],[2019 Total Scope 1, 2 + 3]]&lt;0,"Y","N"),"NA")</f>
        <v>N</v>
      </c>
      <c r="G5" s="54" t="str">
        <f>IF(ISNUMBER(Table1[[#This Row],[2019 Scope 3 ]]),IF(k_cost*Table1[[#This Row],[2019 Total Scope 1, 2 + 3]]/Table1[[#This Row],[Size (2019 Revenue)]]&gt;k_rev_max,"Y","N"),"NA")</f>
        <v>N</v>
      </c>
      <c r="H5" s="54" t="str">
        <f>IF(OR(Table1[[#This Row],[Net earnings post carbon price @85/t]]="Y",Table1[[#This Row],[Carbon costs in % revenue]] = "Y"),"Y",IF(OR(Table1[[#This Row],[Net earnings post carbon price @85/t]]="NA",Table1[[#This Row],[Carbon costs in % revenue]]="NA"),"NA","N"))</f>
        <v>N</v>
      </c>
      <c r="I5" s="11">
        <v>4780000000</v>
      </c>
      <c r="J5" s="10">
        <v>2001</v>
      </c>
      <c r="K5" s="4" t="s">
        <v>1</v>
      </c>
      <c r="L5" s="4" t="s">
        <v>0</v>
      </c>
      <c r="M5" t="s">
        <v>1</v>
      </c>
      <c r="P5" s="15">
        <v>88000</v>
      </c>
      <c r="Q5" t="s">
        <v>0</v>
      </c>
      <c r="R5" s="4" t="s">
        <v>1</v>
      </c>
      <c r="S5">
        <v>2023</v>
      </c>
      <c r="T5" s="51">
        <f>IFERROR((Table1[[#This Row],[2019 Total Scope 1, 2 + 3]])/Table1[[#This Row],[2018 Total Scope 1, 2 + Scope 3]]-1,"NA")</f>
        <v>-1.9783256597360577E-2</v>
      </c>
      <c r="V5" s="12">
        <v>18923</v>
      </c>
      <c r="W5" s="12">
        <v>214680</v>
      </c>
      <c r="X5" s="12"/>
      <c r="Y5" s="12">
        <f t="shared" si="0"/>
        <v>233603</v>
      </c>
      <c r="Z5" s="12">
        <v>932653</v>
      </c>
      <c r="AA5" s="12">
        <f t="shared" si="1"/>
        <v>1166256</v>
      </c>
      <c r="AB5" s="12">
        <v>22183</v>
      </c>
      <c r="AC5" s="12">
        <v>218855</v>
      </c>
      <c r="AD5" s="12"/>
      <c r="AE5" s="12">
        <f t="shared" si="2"/>
        <v>241038</v>
      </c>
      <c r="AF5" s="12">
        <v>948756</v>
      </c>
      <c r="AG5" s="12">
        <f t="shared" si="3"/>
        <v>1189794</v>
      </c>
      <c r="AH5" s="12">
        <v>24095</v>
      </c>
      <c r="AI5" s="12">
        <v>243773</v>
      </c>
      <c r="AJ5" s="12"/>
      <c r="AK5" s="12">
        <f t="shared" si="4"/>
        <v>267868</v>
      </c>
      <c r="AL5" s="12">
        <v>974176</v>
      </c>
      <c r="AM5" s="12">
        <f t="shared" si="5"/>
        <v>1242044</v>
      </c>
      <c r="AN5" s="12">
        <v>27203</v>
      </c>
      <c r="AO5" s="12">
        <v>263050</v>
      </c>
      <c r="AP5" s="12"/>
      <c r="AQ5" s="12">
        <f t="shared" si="6"/>
        <v>290253</v>
      </c>
      <c r="AR5" s="12">
        <f>506841</f>
        <v>506841</v>
      </c>
      <c r="AS5" s="12">
        <f t="shared" si="7"/>
        <v>797094</v>
      </c>
      <c r="AT5" s="12">
        <v>26290</v>
      </c>
      <c r="AU5" s="12">
        <v>237239</v>
      </c>
      <c r="AV5" s="12"/>
      <c r="AW5" s="12">
        <f t="shared" si="8"/>
        <v>263529</v>
      </c>
      <c r="AX5" s="12">
        <v>449240</v>
      </c>
      <c r="AY5" s="12">
        <f t="shared" si="9"/>
        <v>712769</v>
      </c>
      <c r="AZ5" t="s">
        <v>0</v>
      </c>
      <c r="BA5" s="14" t="s">
        <v>413</v>
      </c>
      <c r="BB5" s="16" t="s">
        <v>412</v>
      </c>
      <c r="BD5" s="42"/>
    </row>
    <row r="6" spans="1:56">
      <c r="A6" s="21" t="s">
        <v>73</v>
      </c>
      <c r="B6" s="21" t="s">
        <v>463</v>
      </c>
      <c r="C6" s="21" t="s">
        <v>11</v>
      </c>
      <c r="D6" t="s">
        <v>74</v>
      </c>
      <c r="E6" s="5">
        <v>11171000000</v>
      </c>
      <c r="F6" s="5" t="str">
        <f>IF(ISNUMBER(Table1[[#This Row],[2019 Scope 3 ]]),IF(Table1[[#This Row],[Net Earnings/Income (2019)]]-k_cost*Table1[[#This Row],[2019 Total Scope 1, 2 + 3]]&lt;0,"Y","N"),"NA")</f>
        <v>N</v>
      </c>
      <c r="G6" s="54" t="str">
        <f>IF(ISNUMBER(Table1[[#This Row],[2019 Scope 3 ]]),IF(k_cost*Table1[[#This Row],[2019 Total Scope 1, 2 + 3]]/Table1[[#This Row],[Size (2019 Revenue)]]&gt;k_rev_max,"Y","N"),"NA")</f>
        <v>N</v>
      </c>
      <c r="H6" s="54" t="str">
        <f>IF(OR(Table1[[#This Row],[Net earnings post carbon price @85/t]]="Y",Table1[[#This Row],[Carbon costs in % revenue]] = "Y"),"Y",IF(OR(Table1[[#This Row],[Net earnings post carbon price @85/t]]="NA",Table1[[#This Row],[Carbon costs in % revenue]]="NA"),"NA","N"))</f>
        <v>N</v>
      </c>
      <c r="I6" s="5">
        <v>2951000000</v>
      </c>
      <c r="J6" s="9">
        <v>1986</v>
      </c>
      <c r="K6" s="31" t="s">
        <v>1</v>
      </c>
      <c r="L6" t="s">
        <v>0</v>
      </c>
      <c r="M6" s="4" t="s">
        <v>1</v>
      </c>
      <c r="P6" s="15"/>
      <c r="Q6" t="s">
        <v>0</v>
      </c>
      <c r="R6" t="s">
        <v>1</v>
      </c>
      <c r="S6">
        <v>2035</v>
      </c>
      <c r="T6" s="51">
        <f>IFERROR((Table1[[#This Row],[2019 Total Scope 1, 2 + 3]])/Table1[[#This Row],[2018 Total Scope 1, 2 + Scope 3]]-1,"NA")</f>
        <v>-5.5629014043632408E-2</v>
      </c>
      <c r="V6" s="12">
        <v>11816</v>
      </c>
      <c r="W6" s="12">
        <v>43526</v>
      </c>
      <c r="X6" s="12"/>
      <c r="Y6" s="12">
        <f t="shared" si="0"/>
        <v>55342</v>
      </c>
      <c r="Z6" s="12">
        <f>358472+39706+14180+57.87+88959+42037</f>
        <v>543411.87</v>
      </c>
      <c r="AA6" s="12">
        <f t="shared" si="1"/>
        <v>598753.87</v>
      </c>
      <c r="AB6" s="12">
        <v>12119</v>
      </c>
      <c r="AC6" s="12">
        <v>47871</v>
      </c>
      <c r="AD6" s="12"/>
      <c r="AE6" s="12">
        <f t="shared" si="2"/>
        <v>59990</v>
      </c>
      <c r="AF6" s="50">
        <v>574034</v>
      </c>
      <c r="AG6" s="12">
        <f t="shared" si="3"/>
        <v>634024</v>
      </c>
      <c r="AH6" s="12">
        <v>12119</v>
      </c>
      <c r="AI6" s="12">
        <v>58874</v>
      </c>
      <c r="AJ6" s="12"/>
      <c r="AK6" s="12">
        <f t="shared" si="4"/>
        <v>70993</v>
      </c>
      <c r="AL6" s="12">
        <f>35952.82+16872.85+52.85+32512+9988+169+505</f>
        <v>96052.51999999999</v>
      </c>
      <c r="AM6" s="12">
        <f t="shared" si="5"/>
        <v>167045.51999999999</v>
      </c>
      <c r="AN6" s="12">
        <v>11082</v>
      </c>
      <c r="AO6" s="12">
        <v>58474</v>
      </c>
      <c r="AP6" s="12"/>
      <c r="AQ6" s="12">
        <f t="shared" si="6"/>
        <v>69556</v>
      </c>
      <c r="AR6" s="12"/>
      <c r="AS6" s="12">
        <f t="shared" si="7"/>
        <v>69556</v>
      </c>
      <c r="AT6" s="12" t="s">
        <v>401</v>
      </c>
      <c r="AU6" s="12" t="s">
        <v>401</v>
      </c>
      <c r="AV6" s="12"/>
      <c r="AW6" s="12" t="str">
        <f t="shared" si="8"/>
        <v/>
      </c>
      <c r="AX6" s="12" t="s">
        <v>401</v>
      </c>
      <c r="AY6" s="12" t="str">
        <f t="shared" si="9"/>
        <v/>
      </c>
      <c r="AZ6" t="s">
        <v>0</v>
      </c>
      <c r="BD6" s="42" t="s">
        <v>498</v>
      </c>
    </row>
    <row r="7" spans="1:56" ht="76.5">
      <c r="A7" s="4" t="s">
        <v>75</v>
      </c>
      <c r="B7" s="21" t="s">
        <v>459</v>
      </c>
      <c r="C7" s="4" t="s">
        <v>6</v>
      </c>
      <c r="D7" t="s">
        <v>76</v>
      </c>
      <c r="E7" s="11">
        <v>44675000000</v>
      </c>
      <c r="F7" s="5" t="str">
        <f>IF(ISNUMBER(Table1[[#This Row],[2019 Scope 3 ]]),IF(Table1[[#This Row],[Net Earnings/Income (2019)]]-k_cost*Table1[[#This Row],[2019 Total Scope 1, 2 + 3]]&lt;0,"Y","N"),"NA")</f>
        <v>N</v>
      </c>
      <c r="G7" s="54" t="str">
        <f>IF(ISNUMBER(Table1[[#This Row],[2019 Scope 3 ]]),IF(k_cost*Table1[[#This Row],[2019 Total Scope 1, 2 + 3]]/Table1[[#This Row],[Size (2019 Revenue)]]&gt;k_rev_max,"Y","N"),"NA")</f>
        <v>N</v>
      </c>
      <c r="H7" s="54" t="str">
        <f>IF(OR(Table1[[#This Row],[Net earnings post carbon price @85/t]]="Y",Table1[[#This Row],[Carbon costs in % revenue]] = "Y"),"Y",IF(OR(Table1[[#This Row],[Net earnings post carbon price @85/t]]="NA",Table1[[#This Row],[Carbon costs in % revenue]]="NA"),"NA","N"))</f>
        <v>N</v>
      </c>
      <c r="I7" s="11">
        <v>4847000000</v>
      </c>
      <c r="J7" s="10">
        <v>1993</v>
      </c>
      <c r="K7" s="4" t="s">
        <v>1</v>
      </c>
      <c r="L7" s="4" t="s">
        <v>0</v>
      </c>
      <c r="M7" t="s">
        <v>0</v>
      </c>
      <c r="P7" s="15"/>
      <c r="Q7" t="s">
        <v>0</v>
      </c>
      <c r="R7" s="4" t="s">
        <v>0</v>
      </c>
      <c r="S7" s="4" t="s">
        <v>0</v>
      </c>
      <c r="T7" s="52">
        <f>IFERROR((Table1[[#This Row],[2019 Total Scope 1, 2 + 3]])/Table1[[#This Row],[2018 Total Scope 1, 2 + Scope 3]]-1,"NA")</f>
        <v>5.5423185226073812E-2</v>
      </c>
      <c r="U7" s="4"/>
      <c r="V7" s="36">
        <v>39230</v>
      </c>
      <c r="W7" s="36">
        <v>74230</v>
      </c>
      <c r="X7" s="12"/>
      <c r="Y7" s="12">
        <f t="shared" si="0"/>
        <v>113460</v>
      </c>
      <c r="Z7" s="12">
        <f>10528+4343+3+446+8857+13412</f>
        <v>37589</v>
      </c>
      <c r="AA7" s="12">
        <f t="shared" si="1"/>
        <v>151049</v>
      </c>
      <c r="AB7" s="12">
        <v>45966</v>
      </c>
      <c r="AC7" s="12">
        <v>83887</v>
      </c>
      <c r="AD7" s="12"/>
      <c r="AE7" s="12">
        <f t="shared" si="2"/>
        <v>129853</v>
      </c>
      <c r="AF7" s="12">
        <v>13264</v>
      </c>
      <c r="AG7" s="12">
        <f t="shared" si="3"/>
        <v>143117</v>
      </c>
      <c r="AH7" s="12">
        <v>53818</v>
      </c>
      <c r="AI7" s="12">
        <v>91209</v>
      </c>
      <c r="AJ7" s="12"/>
      <c r="AK7" s="12">
        <f t="shared" si="4"/>
        <v>145027</v>
      </c>
      <c r="AL7" s="12">
        <v>20119</v>
      </c>
      <c r="AM7" s="12">
        <f t="shared" si="5"/>
        <v>165146</v>
      </c>
      <c r="AN7" s="12">
        <v>56521</v>
      </c>
      <c r="AO7" s="12">
        <v>104350</v>
      </c>
      <c r="AP7" s="12"/>
      <c r="AQ7" s="12">
        <f t="shared" si="6"/>
        <v>160871</v>
      </c>
      <c r="AR7" s="12">
        <v>19089</v>
      </c>
      <c r="AS7" s="12">
        <f t="shared" si="7"/>
        <v>179960</v>
      </c>
      <c r="AT7" s="12">
        <v>55709</v>
      </c>
      <c r="AU7" s="12">
        <v>111825</v>
      </c>
      <c r="AV7" s="12"/>
      <c r="AW7" s="12">
        <f t="shared" si="8"/>
        <v>167534</v>
      </c>
      <c r="AX7" s="12">
        <v>17345</v>
      </c>
      <c r="AY7" s="12">
        <f t="shared" si="9"/>
        <v>184879</v>
      </c>
      <c r="AZ7" t="s">
        <v>0</v>
      </c>
      <c r="BA7" s="18" t="s">
        <v>77</v>
      </c>
      <c r="BD7" s="42"/>
    </row>
    <row r="8" spans="1:56" ht="51">
      <c r="A8" t="s">
        <v>78</v>
      </c>
      <c r="B8" s="21" t="s">
        <v>482</v>
      </c>
      <c r="C8" t="s">
        <v>2</v>
      </c>
      <c r="D8" s="4" t="s">
        <v>79</v>
      </c>
      <c r="E8" s="5">
        <v>161857000000</v>
      </c>
      <c r="F8" s="5" t="str">
        <f>IF(ISNUMBER(Table1[[#This Row],[2019 Scope 3 ]]),IF(Table1[[#This Row],[Net Earnings/Income (2019)]]-k_cost*Table1[[#This Row],[2019 Total Scope 1, 2 + 3]]&lt;0,"Y","N"),"NA")</f>
        <v>N</v>
      </c>
      <c r="G8" s="54" t="str">
        <f>IF(ISNUMBER(Table1[[#This Row],[2019 Scope 3 ]]),IF(k_cost*Table1[[#This Row],[2019 Total Scope 1, 2 + 3]]/Table1[[#This Row],[Size (2019 Revenue)]]&gt;k_rev_max,"Y","N"),"NA")</f>
        <v>N</v>
      </c>
      <c r="H8" s="54" t="str">
        <f>IF(OR(Table1[[#This Row],[Net earnings post carbon price @85/t]]="Y",Table1[[#This Row],[Carbon costs in % revenue]] = "Y"),"Y",IF(OR(Table1[[#This Row],[Net earnings post carbon price @85/t]]="NA",Table1[[#This Row],[Carbon costs in % revenue]]="NA"),"NA","N"))</f>
        <v>N</v>
      </c>
      <c r="I8" s="5">
        <v>34340000000</v>
      </c>
      <c r="J8" s="9">
        <v>2004</v>
      </c>
      <c r="K8" s="5" t="s">
        <v>1</v>
      </c>
      <c r="L8" t="s">
        <v>1</v>
      </c>
      <c r="M8" t="s">
        <v>0</v>
      </c>
      <c r="N8">
        <v>2007</v>
      </c>
      <c r="O8">
        <v>2007</v>
      </c>
      <c r="P8" s="15"/>
      <c r="Q8" t="s">
        <v>1</v>
      </c>
      <c r="R8" t="s">
        <v>1</v>
      </c>
      <c r="S8">
        <v>2017</v>
      </c>
      <c r="T8" s="51">
        <f>IFERROR((Table1[[#This Row],[2019 Total Scope 1, 2 + 3]])/Table1[[#This Row],[2018 Total Scope 1, 2 + Scope 3]]-1,"NA")</f>
        <v>-0.70896402721482343</v>
      </c>
      <c r="V8" s="36">
        <v>66686</v>
      </c>
      <c r="W8" s="36">
        <v>794267</v>
      </c>
      <c r="X8" s="12"/>
      <c r="Y8" s="12">
        <f t="shared" si="0"/>
        <v>860953</v>
      </c>
      <c r="Z8" s="12">
        <f>2158000+460000+369000+173000</f>
        <v>3160000</v>
      </c>
      <c r="AA8" s="12">
        <f t="shared" si="1"/>
        <v>4020953</v>
      </c>
      <c r="AB8" s="12">
        <v>63521</v>
      </c>
      <c r="AC8" s="12">
        <v>684236</v>
      </c>
      <c r="AD8" s="12">
        <v>1211224</v>
      </c>
      <c r="AE8" s="12">
        <f t="shared" si="2"/>
        <v>-463467</v>
      </c>
      <c r="AF8" s="12">
        <v>14279467</v>
      </c>
      <c r="AG8" s="12">
        <f t="shared" si="3"/>
        <v>13816000</v>
      </c>
      <c r="AH8" s="12">
        <v>66546</v>
      </c>
      <c r="AI8" s="12">
        <v>509334</v>
      </c>
      <c r="AJ8" s="12">
        <v>931943</v>
      </c>
      <c r="AK8" s="12">
        <f t="shared" si="4"/>
        <v>-356063</v>
      </c>
      <c r="AL8" s="12">
        <v>2719024</v>
      </c>
      <c r="AM8" s="12">
        <f t="shared" si="5"/>
        <v>2362961</v>
      </c>
      <c r="AN8" s="12">
        <v>66218</v>
      </c>
      <c r="AO8" s="12">
        <v>1518643</v>
      </c>
      <c r="AP8" s="12">
        <v>1898889</v>
      </c>
      <c r="AQ8" s="12">
        <f t="shared" si="6"/>
        <v>-314028</v>
      </c>
      <c r="AR8" s="12">
        <v>1292267</v>
      </c>
      <c r="AS8" s="12">
        <f t="shared" si="7"/>
        <v>978239</v>
      </c>
      <c r="AT8" s="12">
        <v>66991</v>
      </c>
      <c r="AU8" s="12">
        <v>1384427</v>
      </c>
      <c r="AV8" s="12">
        <v>2686101</v>
      </c>
      <c r="AW8" s="12">
        <f t="shared" si="8"/>
        <v>-1234683</v>
      </c>
      <c r="AX8" s="12">
        <v>1234683</v>
      </c>
      <c r="AY8" s="12">
        <f t="shared" si="9"/>
        <v>0</v>
      </c>
      <c r="AZ8" t="s">
        <v>1</v>
      </c>
      <c r="BA8" s="18" t="s">
        <v>80</v>
      </c>
      <c r="BC8" s="3"/>
      <c r="BD8" s="42"/>
    </row>
    <row r="9" spans="1:56" ht="63.75">
      <c r="A9" t="s">
        <v>81</v>
      </c>
      <c r="B9" s="21" t="s">
        <v>474</v>
      </c>
      <c r="C9" s="4" t="s">
        <v>4</v>
      </c>
      <c r="D9" t="s">
        <v>82</v>
      </c>
      <c r="E9" s="11">
        <v>25364000000</v>
      </c>
      <c r="F9" s="5" t="str">
        <f>IF(ISNUMBER(Table1[[#This Row],[2019 Scope 3 ]]),IF(Table1[[#This Row],[Net Earnings/Income (2019)]]-k_cost*Table1[[#This Row],[2019 Total Scope 1, 2 + 3]]&lt;0,"Y","N"),"NA")</f>
        <v>NA</v>
      </c>
      <c r="G9" s="54" t="str">
        <f>IF(ISNUMBER(Table1[[#This Row],[2019 Scope 3 ]]),IF(k_cost*Table1[[#This Row],[2019 Total Scope 1, 2 + 3]]/Table1[[#This Row],[Size (2019 Revenue)]]&gt;k_rev_max,"Y","N"),"NA")</f>
        <v>NA</v>
      </c>
      <c r="H9" s="54" t="str">
        <f>IF(OR(Table1[[#This Row],[Net earnings post carbon price @85/t]]="Y",Table1[[#This Row],[Carbon costs in % revenue]] = "Y"),"Y",IF(OR(Table1[[#This Row],[Net earnings post carbon price @85/t]]="NA",Table1[[#This Row],[Carbon costs in % revenue]]="NA"),"NA","N"))</f>
        <v>NA</v>
      </c>
      <c r="I9" s="11">
        <v>6963000000</v>
      </c>
      <c r="J9" s="10">
        <v>1985</v>
      </c>
      <c r="K9" s="4" t="s">
        <v>1</v>
      </c>
      <c r="L9" s="4" t="s">
        <v>0</v>
      </c>
      <c r="M9" t="s">
        <v>0</v>
      </c>
      <c r="P9" s="17">
        <v>4468432</v>
      </c>
      <c r="Q9" t="s">
        <v>0</v>
      </c>
      <c r="R9" s="4" t="s">
        <v>1</v>
      </c>
      <c r="S9">
        <v>2030</v>
      </c>
      <c r="T9" s="51" t="str">
        <f>IFERROR((Table1[[#This Row],[2019 Total Scope 1, 2 + 3]])/Table1[[#This Row],[2018 Total Scope 1, 2 + Scope 3]]-1,"NA")</f>
        <v>NA</v>
      </c>
      <c r="V9" s="12">
        <v>154507</v>
      </c>
      <c r="W9" s="12">
        <v>146909</v>
      </c>
      <c r="X9" s="12"/>
      <c r="Y9" s="12">
        <f t="shared" si="0"/>
        <v>301416</v>
      </c>
      <c r="Z9" s="12" t="s">
        <v>401</v>
      </c>
      <c r="AA9" s="12" t="str">
        <f t="shared" si="1"/>
        <v/>
      </c>
      <c r="AB9" s="12">
        <v>162139</v>
      </c>
      <c r="AC9" s="12">
        <v>166706</v>
      </c>
      <c r="AD9" s="12"/>
      <c r="AE9" s="12">
        <f t="shared" si="2"/>
        <v>328845</v>
      </c>
      <c r="AF9" s="12">
        <v>5078448</v>
      </c>
      <c r="AG9" s="12">
        <f t="shared" si="3"/>
        <v>5407293</v>
      </c>
      <c r="AH9" s="12">
        <v>167695</v>
      </c>
      <c r="AI9" s="12">
        <v>168889</v>
      </c>
      <c r="AJ9" s="12"/>
      <c r="AK9" s="12">
        <f t="shared" si="4"/>
        <v>336584</v>
      </c>
      <c r="AL9" s="12">
        <v>5264365</v>
      </c>
      <c r="AM9" s="12">
        <f t="shared" si="5"/>
        <v>5600949</v>
      </c>
      <c r="AN9" s="12">
        <v>170442</v>
      </c>
      <c r="AO9" s="12">
        <v>206622</v>
      </c>
      <c r="AP9" s="12"/>
      <c r="AQ9" s="12">
        <f t="shared" si="6"/>
        <v>377064</v>
      </c>
      <c r="AR9" s="12">
        <f>1941444+126828+98679+165673+18158+10951+18622+243900+76389+172681</f>
        <v>2873325</v>
      </c>
      <c r="AS9" s="12">
        <f t="shared" si="7"/>
        <v>3250389</v>
      </c>
      <c r="AT9" s="12">
        <v>192293</v>
      </c>
      <c r="AU9" s="12">
        <v>204900</v>
      </c>
      <c r="AV9" s="12"/>
      <c r="AW9" s="12">
        <f t="shared" si="8"/>
        <v>397193</v>
      </c>
      <c r="AX9" s="12">
        <f>1946817+127179+59481+97537+30299+10641+19468+244575+76601+173159</f>
        <v>2785757</v>
      </c>
      <c r="AY9" s="12">
        <f t="shared" si="9"/>
        <v>3182950</v>
      </c>
      <c r="AZ9" t="s">
        <v>0</v>
      </c>
      <c r="BA9" s="3" t="s">
        <v>83</v>
      </c>
      <c r="BD9" s="42"/>
    </row>
    <row r="10" spans="1:56" ht="140.25">
      <c r="A10" t="s">
        <v>84</v>
      </c>
      <c r="B10" s="21" t="s">
        <v>408</v>
      </c>
      <c r="C10" s="4" t="s">
        <v>3</v>
      </c>
      <c r="D10" s="4" t="s">
        <v>85</v>
      </c>
      <c r="E10" s="5">
        <v>280000000000</v>
      </c>
      <c r="F10" s="5" t="str">
        <f>IF(ISNUMBER(Table1[[#This Row],[2019 Scope 3 ]]),IF(Table1[[#This Row],[Net Earnings/Income (2019)]]-k_cost*Table1[[#This Row],[2019 Total Scope 1, 2 + 3]]&lt;0,"Y","N"),"NA")</f>
        <v>N</v>
      </c>
      <c r="G10" s="54" t="str">
        <f>IF(ISNUMBER(Table1[[#This Row],[2019 Scope 3 ]]),IF(k_cost*Table1[[#This Row],[2019 Total Scope 1, 2 + 3]]/Table1[[#This Row],[Size (2019 Revenue)]]&gt;k_rev_max,"Y","N"),"NA")</f>
        <v>N</v>
      </c>
      <c r="H10" s="54" t="str">
        <f>IF(OR(Table1[[#This Row],[Net earnings post carbon price @85/t]]="Y",Table1[[#This Row],[Carbon costs in % revenue]] = "Y"),"Y",IF(OR(Table1[[#This Row],[Net earnings post carbon price @85/t]]="NA",Table1[[#This Row],[Carbon costs in % revenue]]="NA"),"NA","N"))</f>
        <v>N</v>
      </c>
      <c r="I10" s="5">
        <v>11588000000</v>
      </c>
      <c r="J10" s="9">
        <v>1997</v>
      </c>
      <c r="K10" s="5" t="s">
        <v>1</v>
      </c>
      <c r="L10" t="s">
        <v>1</v>
      </c>
      <c r="M10" s="4" t="s">
        <v>1</v>
      </c>
      <c r="N10">
        <v>2040</v>
      </c>
      <c r="O10">
        <v>2020</v>
      </c>
      <c r="R10" t="s">
        <v>1</v>
      </c>
      <c r="S10">
        <v>2025</v>
      </c>
      <c r="T10" s="51">
        <f>IFERROR((Table1[[#This Row],[2019 Total Scope 1, 2 + 3]])/Table1[[#This Row],[2018 Total Scope 1, 2 + Scope 3]]-1,"NA")</f>
        <v>0.15247747747747753</v>
      </c>
      <c r="V10" s="12">
        <v>5760000</v>
      </c>
      <c r="W10" s="12">
        <v>5500000</v>
      </c>
      <c r="X10" s="12"/>
      <c r="Y10" s="12">
        <f t="shared" si="0"/>
        <v>11260000</v>
      </c>
      <c r="Z10" s="12">
        <v>39910000</v>
      </c>
      <c r="AA10" s="12">
        <f t="shared" si="1"/>
        <v>51170000</v>
      </c>
      <c r="AB10" s="12">
        <v>4980000</v>
      </c>
      <c r="AC10" s="12">
        <v>4710000</v>
      </c>
      <c r="AD10" s="12"/>
      <c r="AE10" s="12">
        <f t="shared" si="2"/>
        <v>9690000</v>
      </c>
      <c r="AF10" s="12">
        <v>34710000</v>
      </c>
      <c r="AG10" s="12">
        <f t="shared" si="3"/>
        <v>44400000</v>
      </c>
      <c r="AH10" s="12" t="s">
        <v>401</v>
      </c>
      <c r="AI10" s="12" t="s">
        <v>401</v>
      </c>
      <c r="AJ10" s="12"/>
      <c r="AK10" s="12" t="str">
        <f t="shared" si="4"/>
        <v/>
      </c>
      <c r="AL10" s="12" t="s">
        <v>401</v>
      </c>
      <c r="AM10" s="12" t="str">
        <f t="shared" si="5"/>
        <v/>
      </c>
      <c r="AN10" s="12" t="s">
        <v>401</v>
      </c>
      <c r="AO10" s="12" t="s">
        <v>401</v>
      </c>
      <c r="AP10" s="12"/>
      <c r="AQ10" s="12" t="str">
        <f t="shared" si="6"/>
        <v/>
      </c>
      <c r="AR10" s="12" t="s">
        <v>401</v>
      </c>
      <c r="AS10" s="12" t="str">
        <f t="shared" si="7"/>
        <v/>
      </c>
      <c r="AT10" s="12" t="s">
        <v>401</v>
      </c>
      <c r="AU10" s="12" t="s">
        <v>401</v>
      </c>
      <c r="AV10" s="12"/>
      <c r="AW10" s="12" t="str">
        <f t="shared" si="8"/>
        <v/>
      </c>
      <c r="AX10" s="12" t="s">
        <v>401</v>
      </c>
      <c r="AY10" s="12" t="str">
        <f t="shared" si="9"/>
        <v/>
      </c>
      <c r="AZ10" t="s">
        <v>1</v>
      </c>
      <c r="BA10" s="3" t="s">
        <v>86</v>
      </c>
      <c r="BB10" s="3"/>
      <c r="BC10" s="3" t="s">
        <v>87</v>
      </c>
      <c r="BD10" s="42"/>
    </row>
    <row r="11" spans="1:56">
      <c r="A11" t="s">
        <v>88</v>
      </c>
      <c r="B11" t="s">
        <v>88</v>
      </c>
      <c r="C11" t="s">
        <v>6</v>
      </c>
      <c r="D11" t="s">
        <v>89</v>
      </c>
      <c r="E11" s="11">
        <v>43556000000</v>
      </c>
      <c r="F11" s="5" t="str">
        <f>IF(ISNUMBER(Table1[[#This Row],[2019 Scope 3 ]]),IF(Table1[[#This Row],[Net Earnings/Income (2019)]]-k_cost*Table1[[#This Row],[2019 Total Scope 1, 2 + 3]]&lt;0,"Y","N"),"NA")</f>
        <v>N</v>
      </c>
      <c r="G11" s="54" t="str">
        <f>IF(ISNUMBER(Table1[[#This Row],[2019 Scope 3 ]]),IF(k_cost*Table1[[#This Row],[2019 Total Scope 1, 2 + 3]]/Table1[[#This Row],[Size (2019 Revenue)]]&gt;k_rev_max,"Y","N"),"NA")</f>
        <v>N</v>
      </c>
      <c r="H11" s="54" t="str">
        <f>IF(OR(Table1[[#This Row],[Net earnings post carbon price @85/t]]="Y",Table1[[#This Row],[Carbon costs in % revenue]] = "Y"),"Y",IF(OR(Table1[[#This Row],[Net earnings post carbon price @85/t]]="NA",Table1[[#This Row],[Carbon costs in % revenue]]="NA"),"NA","N"))</f>
        <v>N</v>
      </c>
      <c r="I11" s="11">
        <v>6921000000</v>
      </c>
      <c r="J11" s="10">
        <v>1850</v>
      </c>
      <c r="K11" s="4" t="s">
        <v>1</v>
      </c>
      <c r="L11" s="4" t="s">
        <v>1</v>
      </c>
      <c r="M11" t="s">
        <v>0</v>
      </c>
      <c r="N11">
        <v>2018</v>
      </c>
      <c r="O11">
        <v>2018</v>
      </c>
      <c r="P11" s="17" t="s">
        <v>0</v>
      </c>
      <c r="Q11" t="s">
        <v>1</v>
      </c>
      <c r="R11" s="4" t="s">
        <v>1</v>
      </c>
      <c r="S11" s="4">
        <v>2018</v>
      </c>
      <c r="T11" s="52">
        <f>IFERROR((Table1[[#This Row],[2019 Total Scope 1, 2 + 3]])/Table1[[#This Row],[2018 Total Scope 1, 2 + Scope 3]]-1,"NA")</f>
        <v>-7.2535066712715257E-2</v>
      </c>
      <c r="U11" s="4"/>
      <c r="V11" s="12">
        <v>24363</v>
      </c>
      <c r="W11" s="12">
        <v>3153</v>
      </c>
      <c r="X11" s="12"/>
      <c r="Y11" s="12">
        <f t="shared" si="0"/>
        <v>27516</v>
      </c>
      <c r="Z11" s="12">
        <f>1956901+24863+30305+1719+51.679+138358+8000+9000</f>
        <v>2169197.679</v>
      </c>
      <c r="AA11" s="12">
        <f t="shared" si="1"/>
        <v>2196713.679</v>
      </c>
      <c r="AB11" s="12">
        <v>23981</v>
      </c>
      <c r="AC11" s="12">
        <v>2994</v>
      </c>
      <c r="AD11" s="12"/>
      <c r="AE11" s="12">
        <f t="shared" si="2"/>
        <v>26975</v>
      </c>
      <c r="AF11" s="12">
        <f>2090113+36041+28946+1710+47285+120309+8000+9000+135</f>
        <v>2341539</v>
      </c>
      <c r="AG11" s="12">
        <f t="shared" si="3"/>
        <v>2368514</v>
      </c>
      <c r="AH11" s="12">
        <v>24162</v>
      </c>
      <c r="AI11" s="12">
        <v>55273</v>
      </c>
      <c r="AJ11" s="12"/>
      <c r="AK11" s="12">
        <f t="shared" si="4"/>
        <v>79435</v>
      </c>
      <c r="AL11" s="12">
        <f>2028571+23807+30677+1314+34224+107396+8000+20000+156</f>
        <v>2254145</v>
      </c>
      <c r="AM11" s="12">
        <f t="shared" si="5"/>
        <v>2333580</v>
      </c>
      <c r="AN11" s="12">
        <v>25438</v>
      </c>
      <c r="AO11" s="12">
        <v>59115</v>
      </c>
      <c r="AP11" s="12"/>
      <c r="AQ11" s="12">
        <f t="shared" si="6"/>
        <v>84553</v>
      </c>
      <c r="AR11" s="12">
        <f>2110677+22382+30852+724+38364+122106+8000+22000+777</f>
        <v>2355882</v>
      </c>
      <c r="AS11" s="12">
        <f t="shared" si="7"/>
        <v>2440435</v>
      </c>
      <c r="AT11" s="12">
        <v>27352</v>
      </c>
      <c r="AU11" s="12">
        <v>98452</v>
      </c>
      <c r="AV11" s="12"/>
      <c r="AW11" s="12">
        <f t="shared" si="8"/>
        <v>125804</v>
      </c>
      <c r="AX11" s="12">
        <f>1128675+25937+34489+3230+1347+43092+118926+1800</f>
        <v>1357496</v>
      </c>
      <c r="AY11" s="12">
        <f t="shared" si="9"/>
        <v>1483300</v>
      </c>
      <c r="AZ11" t="s">
        <v>0</v>
      </c>
      <c r="BA11" s="3"/>
      <c r="BD11" s="42"/>
    </row>
    <row r="12" spans="1:56" ht="25.5">
      <c r="A12" s="4" t="s">
        <v>414</v>
      </c>
      <c r="B12" s="21" t="s">
        <v>390</v>
      </c>
      <c r="C12" s="4" t="s">
        <v>6</v>
      </c>
      <c r="D12" s="4" t="s">
        <v>76</v>
      </c>
      <c r="E12" s="11">
        <v>49750000000</v>
      </c>
      <c r="F12" s="5" t="str">
        <f>IF(ISNUMBER(Table1[[#This Row],[2019 Scope 3 ]]),IF(Table1[[#This Row],[Net Earnings/Income (2019)]]-k_cost*Table1[[#This Row],[2019 Total Scope 1, 2 + 3]]&lt;0,"Y","N"),"NA")</f>
        <v>NA</v>
      </c>
      <c r="G12" s="54" t="str">
        <f>IF(ISNUMBER(Table1[[#This Row],[2019 Scope 3 ]]),IF(k_cost*Table1[[#This Row],[2019 Total Scope 1, 2 + 3]]/Table1[[#This Row],[Size (2019 Revenue)]]&gt;k_rev_max,"Y","N"),"NA")</f>
        <v>NA</v>
      </c>
      <c r="H12" s="54" t="str">
        <f>IF(OR(Table1[[#This Row],[Net earnings post carbon price @85/t]]="Y",Table1[[#This Row],[Carbon costs in % revenue]] = "Y"),"Y",IF(OR(Table1[[#This Row],[Net earnings post carbon price @85/t]]="NA",Table1[[#This Row],[Carbon costs in % revenue]]="NA"),"NA","N"))</f>
        <v>NA</v>
      </c>
      <c r="I12" s="11">
        <v>3300000000</v>
      </c>
      <c r="J12" s="10">
        <v>1969</v>
      </c>
      <c r="K12" s="4" t="s">
        <v>1</v>
      </c>
      <c r="L12" s="4" t="s">
        <v>0</v>
      </c>
      <c r="M12" t="s">
        <v>0</v>
      </c>
      <c r="P12" s="17" t="s">
        <v>0</v>
      </c>
      <c r="Q12" t="s">
        <v>0</v>
      </c>
      <c r="R12" s="4" t="s">
        <v>0</v>
      </c>
      <c r="S12" s="4" t="s">
        <v>0</v>
      </c>
      <c r="T12" s="52" t="str">
        <f>IFERROR((Table1[[#This Row],[2019 Total Scope 1, 2 + 3]])/Table1[[#This Row],[2018 Total Scope 1, 2 + Scope 3]]-1,"NA")</f>
        <v>NA</v>
      </c>
      <c r="U12" s="4"/>
      <c r="V12" s="12">
        <v>17121</v>
      </c>
      <c r="W12" s="12">
        <v>93781</v>
      </c>
      <c r="X12" s="12"/>
      <c r="Y12" s="12">
        <f t="shared" si="0"/>
        <v>110902</v>
      </c>
      <c r="Z12" s="12" t="s">
        <v>401</v>
      </c>
      <c r="AA12" s="12" t="str">
        <f t="shared" si="1"/>
        <v/>
      </c>
      <c r="AB12" s="12" t="s">
        <v>401</v>
      </c>
      <c r="AC12" s="12">
        <v>8824</v>
      </c>
      <c r="AD12" s="12"/>
      <c r="AE12" s="12" t="str">
        <f t="shared" si="2"/>
        <v/>
      </c>
      <c r="AF12" s="12" t="s">
        <v>401</v>
      </c>
      <c r="AG12" s="12" t="str">
        <f t="shared" si="3"/>
        <v/>
      </c>
      <c r="AH12" s="12" t="s">
        <v>401</v>
      </c>
      <c r="AI12" s="12">
        <v>9781</v>
      </c>
      <c r="AJ12" s="12"/>
      <c r="AK12" s="12" t="str">
        <f t="shared" si="4"/>
        <v/>
      </c>
      <c r="AL12" s="12" t="s">
        <v>401</v>
      </c>
      <c r="AM12" s="12" t="str">
        <f t="shared" si="5"/>
        <v/>
      </c>
      <c r="AN12" s="12" t="s">
        <v>401</v>
      </c>
      <c r="AO12" s="12">
        <v>12135</v>
      </c>
      <c r="AP12" s="12"/>
      <c r="AQ12" s="12" t="str">
        <f t="shared" si="6"/>
        <v/>
      </c>
      <c r="AR12" s="12" t="s">
        <v>401</v>
      </c>
      <c r="AS12" s="12" t="str">
        <f t="shared" si="7"/>
        <v/>
      </c>
      <c r="AT12" s="12" t="s">
        <v>401</v>
      </c>
      <c r="AU12" s="12" t="s">
        <v>401</v>
      </c>
      <c r="AV12" s="12"/>
      <c r="AW12" s="12" t="str">
        <f t="shared" si="8"/>
        <v/>
      </c>
      <c r="AX12" s="12" t="s">
        <v>401</v>
      </c>
      <c r="AY12" s="12" t="str">
        <f t="shared" si="9"/>
        <v/>
      </c>
      <c r="AZ12" s="13" t="s">
        <v>0</v>
      </c>
      <c r="BA12" s="18" t="s">
        <v>90</v>
      </c>
      <c r="BB12" s="14" t="s">
        <v>415</v>
      </c>
      <c r="BD12" s="42"/>
    </row>
    <row r="13" spans="1:56" ht="51">
      <c r="A13" s="21" t="s">
        <v>91</v>
      </c>
      <c r="B13" s="21" t="s">
        <v>91</v>
      </c>
      <c r="C13" s="21" t="s">
        <v>10</v>
      </c>
      <c r="D13" t="s">
        <v>10</v>
      </c>
      <c r="E13" s="11">
        <v>7580000000</v>
      </c>
      <c r="F13" s="5" t="str">
        <f>IF(ISNUMBER(Table1[[#This Row],[2019 Scope 3 ]]),IF(Table1[[#This Row],[Net Earnings/Income (2019)]]-k_cost*Table1[[#This Row],[2019 Total Scope 1, 2 + 3]]&lt;0,"Y","N"),"NA")</f>
        <v>NA</v>
      </c>
      <c r="G13" s="54" t="str">
        <f>IF(ISNUMBER(Table1[[#This Row],[2019 Scope 3 ]]),IF(k_cost*Table1[[#This Row],[2019 Total Scope 1, 2 + 3]]/Table1[[#This Row],[Size (2019 Revenue)]]&gt;k_rev_max,"Y","N"),"NA")</f>
        <v>NA</v>
      </c>
      <c r="H13" s="54" t="str">
        <f>IF(OR(Table1[[#This Row],[Net earnings post carbon price @85/t]]="Y",Table1[[#This Row],[Carbon costs in % revenue]] = "Y"),"Y",IF(OR(Table1[[#This Row],[Net earnings post carbon price @85/t]]="NA",Table1[[#This Row],[Carbon costs in % revenue]]="NA"),"NA","N"))</f>
        <v>NA</v>
      </c>
      <c r="I13" s="11">
        <v>1888000000</v>
      </c>
      <c r="J13" s="10">
        <v>1995</v>
      </c>
      <c r="K13" s="4" t="s">
        <v>1</v>
      </c>
      <c r="L13" s="41" t="s">
        <v>0</v>
      </c>
      <c r="M13" s="4" t="s">
        <v>0</v>
      </c>
      <c r="P13" s="17" t="s">
        <v>0</v>
      </c>
      <c r="R13" s="4" t="s">
        <v>0</v>
      </c>
      <c r="S13" s="4" t="s">
        <v>0</v>
      </c>
      <c r="T13" s="52" t="str">
        <f>IFERROR((Table1[[#This Row],[2019 Total Scope 1, 2 + 3]])/Table1[[#This Row],[2018 Total Scope 1, 2 + Scope 3]]-1,"NA")</f>
        <v>NA</v>
      </c>
      <c r="U13" s="4"/>
      <c r="V13" s="12">
        <v>556281</v>
      </c>
      <c r="W13" s="12">
        <v>1780621</v>
      </c>
      <c r="X13" s="12">
        <v>92145</v>
      </c>
      <c r="Y13" s="12">
        <f t="shared" si="0"/>
        <v>2244757</v>
      </c>
      <c r="Z13" s="12" t="s">
        <v>401</v>
      </c>
      <c r="AA13" s="12" t="str">
        <f t="shared" si="1"/>
        <v/>
      </c>
      <c r="AB13" s="12">
        <v>615347</v>
      </c>
      <c r="AC13" s="12">
        <v>1796960</v>
      </c>
      <c r="AD13" s="12"/>
      <c r="AE13" s="12">
        <f t="shared" si="2"/>
        <v>2412307</v>
      </c>
      <c r="AF13" s="12" t="s">
        <v>401</v>
      </c>
      <c r="AG13" s="12" t="str">
        <f t="shared" si="3"/>
        <v/>
      </c>
      <c r="AH13" s="12">
        <v>650755</v>
      </c>
      <c r="AI13" s="12">
        <v>1617395</v>
      </c>
      <c r="AJ13" s="12"/>
      <c r="AK13" s="12">
        <f t="shared" si="4"/>
        <v>2268150</v>
      </c>
      <c r="AL13" s="12" t="s">
        <v>401</v>
      </c>
      <c r="AM13" s="12" t="str">
        <f t="shared" si="5"/>
        <v/>
      </c>
      <c r="AN13" s="12" t="s">
        <v>401</v>
      </c>
      <c r="AO13" s="12" t="s">
        <v>401</v>
      </c>
      <c r="AP13" s="12"/>
      <c r="AQ13" s="12" t="str">
        <f t="shared" si="6"/>
        <v/>
      </c>
      <c r="AR13" s="12" t="s">
        <v>401</v>
      </c>
      <c r="AS13" s="12" t="str">
        <f t="shared" si="7"/>
        <v/>
      </c>
      <c r="AT13" s="12" t="s">
        <v>401</v>
      </c>
      <c r="AU13" s="12" t="s">
        <v>401</v>
      </c>
      <c r="AV13" s="12"/>
      <c r="AW13" s="12" t="str">
        <f t="shared" si="8"/>
        <v/>
      </c>
      <c r="AX13" s="12" t="s">
        <v>401</v>
      </c>
      <c r="AY13" s="12" t="str">
        <f t="shared" si="9"/>
        <v/>
      </c>
      <c r="AZ13" t="s">
        <v>0</v>
      </c>
      <c r="BA13" s="14" t="s">
        <v>92</v>
      </c>
      <c r="BD13" s="42" t="s">
        <v>485</v>
      </c>
    </row>
    <row r="14" spans="1:56" ht="25.5">
      <c r="A14" t="s">
        <v>93</v>
      </c>
      <c r="B14" s="21" t="s">
        <v>456</v>
      </c>
      <c r="C14" t="s">
        <v>7</v>
      </c>
      <c r="D14" t="s">
        <v>69</v>
      </c>
      <c r="E14" s="11">
        <v>23400000000</v>
      </c>
      <c r="F14" s="5" t="str">
        <f>IF(ISNUMBER(Table1[[#This Row],[2019 Scope 3 ]]),IF(Table1[[#This Row],[Net Earnings/Income (2019)]]-k_cost*Table1[[#This Row],[2019 Total Scope 1, 2 + 3]]&lt;0,"Y","N"),"NA")</f>
        <v>N</v>
      </c>
      <c r="G14" s="54" t="str">
        <f>IF(ISNUMBER(Table1[[#This Row],[2019 Scope 3 ]]),IF(k_cost*Table1[[#This Row],[2019 Total Scope 1, 2 + 3]]/Table1[[#This Row],[Size (2019 Revenue)]]&gt;k_rev_max,"Y","N"),"NA")</f>
        <v>N</v>
      </c>
      <c r="H14" s="54" t="str">
        <f>IF(OR(Table1[[#This Row],[Net earnings post carbon price @85/t]]="Y",Table1[[#This Row],[Carbon costs in % revenue]] = "Y"),"Y",IF(OR(Table1[[#This Row],[Net earnings post carbon price @85/t]]="NA",Table1[[#This Row],[Carbon costs in % revenue]]="NA"),"NA","N"))</f>
        <v>N</v>
      </c>
      <c r="I14" s="11">
        <v>7840000000</v>
      </c>
      <c r="J14" s="10">
        <v>1983</v>
      </c>
      <c r="K14" s="4" t="s">
        <v>1</v>
      </c>
      <c r="L14" s="4" t="s">
        <v>0</v>
      </c>
      <c r="M14" t="s">
        <v>0</v>
      </c>
      <c r="P14" s="17"/>
      <c r="Q14" t="s">
        <v>0</v>
      </c>
      <c r="R14" s="4" t="s">
        <v>0</v>
      </c>
      <c r="S14" s="4" t="s">
        <v>0</v>
      </c>
      <c r="T14" s="52">
        <f>IFERROR((Table1[[#This Row],[2019 Total Scope 1, 2 + 3]])/Table1[[#This Row],[2018 Total Scope 1, 2 + Scope 3]]-1,"NA")</f>
        <v>-1.6012735893901953E-2</v>
      </c>
      <c r="U14" s="4"/>
      <c r="V14" s="12">
        <v>135954</v>
      </c>
      <c r="W14" s="12">
        <v>160360</v>
      </c>
      <c r="X14" s="12"/>
      <c r="Y14" s="12">
        <f t="shared" si="0"/>
        <v>296314</v>
      </c>
      <c r="Z14" s="12">
        <f>2323917+258132+52554+22572+3454+56478+56210+52991+3047</f>
        <v>2829355</v>
      </c>
      <c r="AA14" s="12">
        <f t="shared" si="1"/>
        <v>3125669</v>
      </c>
      <c r="AB14" s="12">
        <v>160184</v>
      </c>
      <c r="AC14" s="12">
        <v>159848</v>
      </c>
      <c r="AD14" s="12"/>
      <c r="AE14" s="12">
        <f t="shared" si="2"/>
        <v>320032</v>
      </c>
      <c r="AF14" s="12">
        <f>2413684+263202+29187+33207+1405+59334+56483</f>
        <v>2856502</v>
      </c>
      <c r="AG14" s="12">
        <f t="shared" si="3"/>
        <v>3176534</v>
      </c>
      <c r="AH14" s="12">
        <v>163362</v>
      </c>
      <c r="AI14" s="12">
        <v>139035</v>
      </c>
      <c r="AJ14" s="12"/>
      <c r="AK14" s="12">
        <f t="shared" si="4"/>
        <v>302397</v>
      </c>
      <c r="AL14" s="12" t="s">
        <v>401</v>
      </c>
      <c r="AM14" s="12" t="str">
        <f t="shared" si="5"/>
        <v/>
      </c>
      <c r="AN14" s="12">
        <v>116643</v>
      </c>
      <c r="AO14" s="12">
        <v>196000</v>
      </c>
      <c r="AP14" s="12"/>
      <c r="AQ14" s="12">
        <f t="shared" si="6"/>
        <v>312643</v>
      </c>
      <c r="AR14" s="12" t="s">
        <v>401</v>
      </c>
      <c r="AS14" s="12" t="str">
        <f t="shared" si="7"/>
        <v/>
      </c>
      <c r="AT14" s="12">
        <v>125674</v>
      </c>
      <c r="AU14" s="12">
        <v>281940</v>
      </c>
      <c r="AV14" s="12"/>
      <c r="AW14" s="12">
        <f t="shared" si="8"/>
        <v>407614</v>
      </c>
      <c r="AX14" s="12" t="s">
        <v>401</v>
      </c>
      <c r="AY14" s="12" t="str">
        <f t="shared" si="9"/>
        <v/>
      </c>
      <c r="AZ14" t="s">
        <v>0</v>
      </c>
      <c r="BA14" s="18" t="s">
        <v>94</v>
      </c>
      <c r="BD14" s="42"/>
    </row>
    <row r="15" spans="1:56">
      <c r="A15" t="s">
        <v>95</v>
      </c>
      <c r="B15" s="21" t="s">
        <v>402</v>
      </c>
      <c r="C15" t="s">
        <v>11</v>
      </c>
      <c r="D15" s="4" t="s">
        <v>96</v>
      </c>
      <c r="E15" s="5">
        <v>260174000000</v>
      </c>
      <c r="F15" s="5" t="str">
        <f>IF(ISNUMBER(Table1[[#This Row],[2019 Scope 3 ]]),IF(Table1[[#This Row],[Net Earnings/Income (2019)]]-k_cost*Table1[[#This Row],[2019 Total Scope 1, 2 + 3]]&lt;0,"Y","N"),"NA")</f>
        <v>N</v>
      </c>
      <c r="G15" s="54" t="str">
        <f>IF(ISNUMBER(Table1[[#This Row],[2019 Scope 3 ]]),IF(k_cost*Table1[[#This Row],[2019 Total Scope 1, 2 + 3]]/Table1[[#This Row],[Size (2019 Revenue)]]&gt;k_rev_max,"Y","N"),"NA")</f>
        <v>N</v>
      </c>
      <c r="H15" s="54" t="str">
        <f>IF(OR(Table1[[#This Row],[Net earnings post carbon price @85/t]]="Y",Table1[[#This Row],[Carbon costs in % revenue]] = "Y"),"Y",IF(OR(Table1[[#This Row],[Net earnings post carbon price @85/t]]="NA",Table1[[#This Row],[Carbon costs in % revenue]]="NA"),"NA","N"))</f>
        <v>N</v>
      </c>
      <c r="I15" s="5">
        <v>55256000000</v>
      </c>
      <c r="J15" s="9">
        <v>1980</v>
      </c>
      <c r="K15" s="5" t="s">
        <v>1</v>
      </c>
      <c r="L15" t="s">
        <v>1</v>
      </c>
      <c r="M15" t="s">
        <v>0</v>
      </c>
      <c r="N15">
        <v>2030</v>
      </c>
      <c r="O15">
        <v>2020</v>
      </c>
      <c r="P15" s="17">
        <v>1083243</v>
      </c>
      <c r="Q15" t="s">
        <v>0</v>
      </c>
      <c r="R15" t="s">
        <v>1</v>
      </c>
      <c r="S15">
        <v>2018</v>
      </c>
      <c r="T15" s="51">
        <f>IFERROR((Table1[[#This Row],[2019 Total Scope 1, 2 + 3]])/Table1[[#This Row],[2018 Total Scope 1, 2 + Scope 3]]-1,"NA")</f>
        <v>1.8344205078635101E-2</v>
      </c>
      <c r="V15" s="12">
        <v>50549</v>
      </c>
      <c r="W15" s="12">
        <v>0</v>
      </c>
      <c r="X15" s="12"/>
      <c r="Y15" s="12">
        <f t="shared" si="0"/>
        <v>50549</v>
      </c>
      <c r="Z15" s="12">
        <f>18900000+486000+325500+194700+999000+4100000+60000</f>
        <v>25065200</v>
      </c>
      <c r="AA15" s="12">
        <f t="shared" si="1"/>
        <v>25115749</v>
      </c>
      <c r="AB15" s="12">
        <v>54590</v>
      </c>
      <c r="AC15" s="12">
        <v>8730</v>
      </c>
      <c r="AD15" s="12"/>
      <c r="AE15" s="12">
        <f t="shared" si="2"/>
        <v>63320</v>
      </c>
      <c r="AF15" s="12">
        <v>24600000</v>
      </c>
      <c r="AG15" s="12">
        <f t="shared" si="3"/>
        <v>24663320</v>
      </c>
      <c r="AH15" s="12">
        <v>45400</v>
      </c>
      <c r="AI15" s="12">
        <v>36250</v>
      </c>
      <c r="AJ15" s="12"/>
      <c r="AK15" s="12">
        <f t="shared" si="4"/>
        <v>81650</v>
      </c>
      <c r="AL15" s="12">
        <v>293440</v>
      </c>
      <c r="AM15" s="12">
        <f t="shared" si="5"/>
        <v>375090</v>
      </c>
      <c r="AN15" s="12">
        <v>34370</v>
      </c>
      <c r="AO15" s="12">
        <v>31000</v>
      </c>
      <c r="AP15" s="12"/>
      <c r="AQ15" s="12">
        <f t="shared" si="6"/>
        <v>65370</v>
      </c>
      <c r="AR15" s="12">
        <f>22800000+350000+117500+186400+830000+5000000+300000</f>
        <v>29583900</v>
      </c>
      <c r="AS15" s="12">
        <f t="shared" si="7"/>
        <v>29649270</v>
      </c>
      <c r="AT15" s="12">
        <v>28100</v>
      </c>
      <c r="AU15" s="12">
        <v>42460</v>
      </c>
      <c r="AV15" s="12"/>
      <c r="AW15" s="12">
        <f t="shared" si="8"/>
        <v>70560</v>
      </c>
      <c r="AX15" s="12" t="s">
        <v>401</v>
      </c>
      <c r="AY15" s="12" t="str">
        <f t="shared" si="9"/>
        <v/>
      </c>
      <c r="AZ15" t="s">
        <v>1</v>
      </c>
      <c r="BC15" s="34" t="s">
        <v>97</v>
      </c>
      <c r="BD15" s="42"/>
    </row>
    <row r="16" spans="1:56" ht="89.25">
      <c r="A16" t="s">
        <v>98</v>
      </c>
      <c r="B16" s="21" t="s">
        <v>404</v>
      </c>
      <c r="C16" t="s">
        <v>2</v>
      </c>
      <c r="D16" t="s">
        <v>99</v>
      </c>
      <c r="E16" s="5">
        <v>181200000000</v>
      </c>
      <c r="F16" s="5" t="str">
        <f>IF(ISNUMBER(Table1[[#This Row],[2019 Scope 3 ]]),IF(Table1[[#This Row],[Net Earnings/Income (2019)]]-k_cost*Table1[[#This Row],[2019 Total Scope 1, 2 + 3]]&lt;0,"Y","N"),"NA")</f>
        <v>N</v>
      </c>
      <c r="G16" s="54" t="str">
        <f>IF(ISNUMBER(Table1[[#This Row],[2019 Scope 3 ]]),IF(k_cost*Table1[[#This Row],[2019 Total Scope 1, 2 + 3]]/Table1[[#This Row],[Size (2019 Revenue)]]&gt;k_rev_max,"Y","N"),"NA")</f>
        <v>N</v>
      </c>
      <c r="H16" s="54" t="str">
        <f>IF(OR(Table1[[#This Row],[Net earnings post carbon price @85/t]]="Y",Table1[[#This Row],[Carbon costs in % revenue]] = "Y"),"Y",IF(OR(Table1[[#This Row],[Net earnings post carbon price @85/t]]="NA",Table1[[#This Row],[Carbon costs in % revenue]]="NA"),"NA","N"))</f>
        <v>N</v>
      </c>
      <c r="I16" s="5">
        <v>13900000000</v>
      </c>
      <c r="J16" s="9">
        <v>1983</v>
      </c>
      <c r="K16" s="5" t="s">
        <v>1</v>
      </c>
      <c r="L16" t="s">
        <v>1</v>
      </c>
      <c r="M16" t="s">
        <v>1</v>
      </c>
      <c r="N16">
        <v>2035</v>
      </c>
      <c r="O16">
        <v>2020</v>
      </c>
      <c r="P16" t="s">
        <v>0</v>
      </c>
      <c r="Q16" t="s">
        <v>1</v>
      </c>
      <c r="R16" t="s">
        <v>0</v>
      </c>
      <c r="S16" t="s">
        <v>0</v>
      </c>
      <c r="T16" s="51">
        <f>IFERROR((Table1[[#This Row],[2019 Total Scope 1, 2 + 3]])/Table1[[#This Row],[2018 Total Scope 1, 2 + Scope 3]]-1,"NA")</f>
        <v>-0.13466334164588534</v>
      </c>
      <c r="V16" s="12">
        <v>990000</v>
      </c>
      <c r="W16" s="12">
        <v>5530000</v>
      </c>
      <c r="X16" s="12"/>
      <c r="Y16" s="12">
        <f t="shared" si="0"/>
        <v>6520000</v>
      </c>
      <c r="Z16" s="12">
        <v>3890000</v>
      </c>
      <c r="AA16" s="12">
        <f t="shared" si="1"/>
        <v>10410000</v>
      </c>
      <c r="AB16" s="12">
        <v>1020000</v>
      </c>
      <c r="AC16" s="12">
        <v>6660000</v>
      </c>
      <c r="AD16" s="12"/>
      <c r="AE16" s="12">
        <f t="shared" si="2"/>
        <v>7680000</v>
      </c>
      <c r="AF16" s="12">
        <v>4350000</v>
      </c>
      <c r="AG16" s="12">
        <f t="shared" si="3"/>
        <v>12030000</v>
      </c>
      <c r="AH16" s="12">
        <v>1070000</v>
      </c>
      <c r="AI16" s="12">
        <v>6950000</v>
      </c>
      <c r="AJ16" s="12"/>
      <c r="AK16" s="12">
        <f t="shared" si="4"/>
        <v>8020000</v>
      </c>
      <c r="AL16" s="12">
        <v>3620000</v>
      </c>
      <c r="AM16" s="12">
        <f t="shared" si="5"/>
        <v>11640000</v>
      </c>
      <c r="AN16" s="12">
        <v>1080000</v>
      </c>
      <c r="AO16" s="12">
        <v>7810000</v>
      </c>
      <c r="AP16" s="12"/>
      <c r="AQ16" s="12">
        <f t="shared" si="6"/>
        <v>8890000</v>
      </c>
      <c r="AR16" s="12">
        <v>3400000</v>
      </c>
      <c r="AS16" s="12">
        <f t="shared" si="7"/>
        <v>12290000</v>
      </c>
      <c r="AT16" s="12">
        <v>1070000</v>
      </c>
      <c r="AU16" s="12">
        <v>7690000</v>
      </c>
      <c r="AV16" s="12"/>
      <c r="AW16" s="12">
        <f t="shared" si="8"/>
        <v>8760000</v>
      </c>
      <c r="AX16" s="12">
        <v>3030000</v>
      </c>
      <c r="AY16" s="12">
        <f t="shared" si="9"/>
        <v>11790000</v>
      </c>
      <c r="AZ16" t="s">
        <v>0</v>
      </c>
      <c r="BA16" s="18" t="s">
        <v>100</v>
      </c>
      <c r="BC16" s="35" t="s">
        <v>101</v>
      </c>
      <c r="BD16" s="42"/>
    </row>
    <row r="17" spans="1:56" ht="102">
      <c r="A17" t="s">
        <v>102</v>
      </c>
      <c r="B17" s="21" t="s">
        <v>102</v>
      </c>
      <c r="C17" t="s">
        <v>6</v>
      </c>
      <c r="D17" s="4" t="s">
        <v>103</v>
      </c>
      <c r="E17" s="5">
        <v>91240000000</v>
      </c>
      <c r="F17" s="5" t="str">
        <f>IF(ISNUMBER(Table1[[#This Row],[2019 Scope 3 ]]),IF(Table1[[#This Row],[Net Earnings/Income (2019)]]-k_cost*Table1[[#This Row],[2019 Total Scope 1, 2 + 3]]&lt;0,"Y","N"),"NA")</f>
        <v>N</v>
      </c>
      <c r="G17" s="54" t="str">
        <f>IF(ISNUMBER(Table1[[#This Row],[2019 Scope 3 ]]),IF(k_cost*Table1[[#This Row],[2019 Total Scope 1, 2 + 3]]/Table1[[#This Row],[Size (2019 Revenue)]]&gt;k_rev_max,"Y","N"),"NA")</f>
        <v>N</v>
      </c>
      <c r="H17" s="54" t="str">
        <f>IF(OR(Table1[[#This Row],[Net earnings post carbon price @85/t]]="Y",Table1[[#This Row],[Carbon costs in % revenue]] = "Y"),"Y",IF(OR(Table1[[#This Row],[Net earnings post carbon price @85/t]]="NA",Table1[[#This Row],[Carbon costs in % revenue]]="NA"),"NA","N"))</f>
        <v>N</v>
      </c>
      <c r="I17" s="5">
        <v>25998000000</v>
      </c>
      <c r="J17" s="9">
        <v>1998</v>
      </c>
      <c r="K17" s="5" t="s">
        <v>1</v>
      </c>
      <c r="L17" t="s">
        <v>1</v>
      </c>
      <c r="M17" t="s">
        <v>0</v>
      </c>
      <c r="N17">
        <v>2020</v>
      </c>
      <c r="O17">
        <v>2016</v>
      </c>
      <c r="Q17" t="s">
        <v>1</v>
      </c>
      <c r="R17" s="49" t="s">
        <v>1</v>
      </c>
      <c r="S17">
        <v>2020</v>
      </c>
      <c r="T17" s="51">
        <f>IFERROR((Table1[[#This Row],[2019 Total Scope 1, 2 + 3]])/Table1[[#This Row],[2018 Total Scope 1, 2 + Scope 3]]-1,"NA")</f>
        <v>-1.2940486012808616E-2</v>
      </c>
      <c r="V17" s="12">
        <v>62639</v>
      </c>
      <c r="W17" s="12">
        <v>17523</v>
      </c>
      <c r="X17" s="12"/>
      <c r="Y17" s="12">
        <f t="shared" si="0"/>
        <v>80162</v>
      </c>
      <c r="Z17" s="12">
        <f>2329208+251336+161151+140215+22386+162457+378088+1400000+4000+19000</f>
        <v>4867841</v>
      </c>
      <c r="AA17" s="12">
        <f t="shared" si="1"/>
        <v>4948003</v>
      </c>
      <c r="AB17" s="12">
        <v>85145</v>
      </c>
      <c r="AC17" s="12">
        <v>108614</v>
      </c>
      <c r="AD17" s="12"/>
      <c r="AE17" s="12">
        <f t="shared" si="2"/>
        <v>193759</v>
      </c>
      <c r="AF17" s="12">
        <v>4819113</v>
      </c>
      <c r="AG17" s="12">
        <f t="shared" si="3"/>
        <v>5012872</v>
      </c>
      <c r="AH17" s="12">
        <v>82298</v>
      </c>
      <c r="AI17" s="12">
        <v>173512</v>
      </c>
      <c r="AJ17" s="12"/>
      <c r="AK17" s="12">
        <f t="shared" si="4"/>
        <v>255810</v>
      </c>
      <c r="AL17" s="12"/>
      <c r="AM17" s="12">
        <f t="shared" si="5"/>
        <v>255810</v>
      </c>
      <c r="AN17" s="12">
        <v>83473</v>
      </c>
      <c r="AO17" s="12">
        <v>369084</v>
      </c>
      <c r="AP17" s="12"/>
      <c r="AQ17" s="12">
        <f t="shared" si="6"/>
        <v>452557</v>
      </c>
      <c r="AR17" s="12">
        <f>1944781+312588+208087+15968+10761+154531+373481+1500000+5000+18000</f>
        <v>4543197</v>
      </c>
      <c r="AS17" s="12">
        <f t="shared" si="7"/>
        <v>4995754</v>
      </c>
      <c r="AT17" s="12">
        <v>98911</v>
      </c>
      <c r="AU17" s="12">
        <v>1036822</v>
      </c>
      <c r="AV17" s="12"/>
      <c r="AW17" s="12">
        <f t="shared" si="8"/>
        <v>1135733</v>
      </c>
      <c r="AX17" s="12">
        <f>1674213+85933+215561+14818+16525+184613+388595+900000+9000+24000</f>
        <v>3513258</v>
      </c>
      <c r="AY17" s="12">
        <f t="shared" si="9"/>
        <v>4648991</v>
      </c>
      <c r="AZ17" t="s">
        <v>0</v>
      </c>
      <c r="BA17" s="3" t="s">
        <v>104</v>
      </c>
      <c r="BB17" s="30" t="s">
        <v>416</v>
      </c>
      <c r="BC17" s="3" t="s">
        <v>105</v>
      </c>
      <c r="BD17" s="42" t="s">
        <v>493</v>
      </c>
    </row>
    <row r="18" spans="1:56">
      <c r="A18" s="21" t="s">
        <v>106</v>
      </c>
      <c r="B18" s="21" t="s">
        <v>395</v>
      </c>
      <c r="C18" s="21" t="s">
        <v>6</v>
      </c>
      <c r="D18" s="4" t="s">
        <v>76</v>
      </c>
      <c r="E18" s="5">
        <v>254616000000</v>
      </c>
      <c r="F18" s="5" t="str">
        <f>IF(ISNUMBER(Table1[[#This Row],[2019 Scope 3 ]]),IF(Table1[[#This Row],[Net Earnings/Income (2019)]]-k_cost*Table1[[#This Row],[2019 Total Scope 1, 2 + 3]]&lt;0,"Y","N"),"NA")</f>
        <v>NA</v>
      </c>
      <c r="G18" s="54" t="str">
        <f>IF(ISNUMBER(Table1[[#This Row],[2019 Scope 3 ]]),IF(k_cost*Table1[[#This Row],[2019 Total Scope 1, 2 + 3]]/Table1[[#This Row],[Size (2019 Revenue)]]&gt;k_rev_max,"Y","N"),"NA")</f>
        <v>NA</v>
      </c>
      <c r="H18" s="54" t="str">
        <f>IF(OR(Table1[[#This Row],[Net earnings post carbon price @85/t]]="Y",Table1[[#This Row],[Carbon costs in % revenue]] = "Y"),"Y",IF(OR(Table1[[#This Row],[Net earnings post carbon price @85/t]]="NA",Table1[[#This Row],[Carbon costs in % revenue]]="NA"),"NA","N"))</f>
        <v>NA</v>
      </c>
      <c r="I18" s="5">
        <v>81417000000</v>
      </c>
      <c r="J18" s="9">
        <v>1839</v>
      </c>
      <c r="K18" s="5" t="s">
        <v>1</v>
      </c>
      <c r="L18" t="s">
        <v>0</v>
      </c>
      <c r="M18" t="s">
        <v>0</v>
      </c>
      <c r="P18" t="s">
        <v>0</v>
      </c>
      <c r="Q18" t="s">
        <v>0</v>
      </c>
      <c r="R18" t="s">
        <v>0</v>
      </c>
      <c r="S18" t="s">
        <v>0</v>
      </c>
      <c r="T18" s="51" t="str">
        <f>IFERROR((Table1[[#This Row],[2019 Total Scope 1, 2 + 3]])/Table1[[#This Row],[2018 Total Scope 1, 2 + Scope 3]]-1,"NA")</f>
        <v>NA</v>
      </c>
      <c r="V18" s="12" t="s">
        <v>401</v>
      </c>
      <c r="W18" s="12" t="s">
        <v>401</v>
      </c>
      <c r="X18" s="12"/>
      <c r="Y18" s="12" t="str">
        <f t="shared" si="0"/>
        <v/>
      </c>
      <c r="Z18" s="12" t="s">
        <v>401</v>
      </c>
      <c r="AA18" s="12" t="str">
        <f t="shared" si="1"/>
        <v/>
      </c>
      <c r="AB18" s="12" t="s">
        <v>401</v>
      </c>
      <c r="AC18" s="12" t="s">
        <v>401</v>
      </c>
      <c r="AD18" s="12"/>
      <c r="AE18" s="12" t="str">
        <f t="shared" si="2"/>
        <v/>
      </c>
      <c r="AF18" s="12" t="s">
        <v>401</v>
      </c>
      <c r="AG18" s="12" t="str">
        <f t="shared" si="3"/>
        <v/>
      </c>
      <c r="AH18" s="12" t="s">
        <v>401</v>
      </c>
      <c r="AI18" s="12" t="s">
        <v>401</v>
      </c>
      <c r="AJ18" s="12"/>
      <c r="AK18" s="12" t="str">
        <f t="shared" si="4"/>
        <v/>
      </c>
      <c r="AL18" s="12" t="s">
        <v>401</v>
      </c>
      <c r="AM18" s="12" t="str">
        <f t="shared" si="5"/>
        <v/>
      </c>
      <c r="AN18" s="12" t="s">
        <v>401</v>
      </c>
      <c r="AO18" s="12" t="s">
        <v>401</v>
      </c>
      <c r="AP18" s="12"/>
      <c r="AQ18" s="12" t="str">
        <f t="shared" si="6"/>
        <v/>
      </c>
      <c r="AR18" s="12" t="s">
        <v>401</v>
      </c>
      <c r="AS18" s="12" t="str">
        <f t="shared" si="7"/>
        <v/>
      </c>
      <c r="AT18" s="12" t="s">
        <v>401</v>
      </c>
      <c r="AU18" s="12" t="s">
        <v>401</v>
      </c>
      <c r="AV18" s="12"/>
      <c r="AW18" s="12" t="str">
        <f t="shared" si="8"/>
        <v/>
      </c>
      <c r="AX18" s="12" t="s">
        <v>401</v>
      </c>
      <c r="AY18" s="12" t="str">
        <f t="shared" si="9"/>
        <v/>
      </c>
      <c r="AZ18" t="s">
        <v>0</v>
      </c>
      <c r="BD18" s="42"/>
    </row>
    <row r="19" spans="1:56">
      <c r="A19" s="21" t="s">
        <v>107</v>
      </c>
      <c r="B19" s="21" t="s">
        <v>460</v>
      </c>
      <c r="C19" s="21" t="s">
        <v>7</v>
      </c>
      <c r="D19" t="s">
        <v>69</v>
      </c>
      <c r="E19" s="5">
        <v>13500000000</v>
      </c>
      <c r="F19" s="5" t="str">
        <f>IF(ISNUMBER(Table1[[#This Row],[2019 Scope 3 ]]),IF(Table1[[#This Row],[Net Earnings/Income (2019)]]-k_cost*Table1[[#This Row],[2019 Total Scope 1, 2 + 3]]&lt;0,"Y","N"),"NA")</f>
        <v>N</v>
      </c>
      <c r="G19" s="54" t="str">
        <f>IF(ISNUMBER(Table1[[#This Row],[2019 Scope 3 ]]),IF(k_cost*Table1[[#This Row],[2019 Total Scope 1, 2 + 3]]/Table1[[#This Row],[Size (2019 Revenue)]]&gt;k_rev_max,"Y","N"),"NA")</f>
        <v>N</v>
      </c>
      <c r="H19" s="54" t="str">
        <f>IF(OR(Table1[[#This Row],[Net earnings post carbon price @85/t]]="Y",Table1[[#This Row],[Carbon costs in % revenue]] = "Y"),"Y",IF(OR(Table1[[#This Row],[Net earnings post carbon price @85/t]]="NA",Table1[[#This Row],[Carbon costs in % revenue]]="NA"),"NA","N"))</f>
        <v>N</v>
      </c>
      <c r="I19" s="5">
        <v>4400000000</v>
      </c>
      <c r="J19" s="9">
        <v>1978</v>
      </c>
      <c r="K19" s="5" t="s">
        <v>1</v>
      </c>
      <c r="L19" t="s">
        <v>1</v>
      </c>
      <c r="M19" t="s">
        <v>1</v>
      </c>
      <c r="N19">
        <v>2015</v>
      </c>
      <c r="O19">
        <v>2015</v>
      </c>
      <c r="P19" t="s">
        <v>0</v>
      </c>
      <c r="Q19" t="s">
        <v>1</v>
      </c>
      <c r="R19" t="s">
        <v>1</v>
      </c>
      <c r="S19">
        <v>2014</v>
      </c>
      <c r="T19" s="51">
        <f>IFERROR((Table1[[#This Row],[2019 Total Scope 1, 2 + 3]])/Table1[[#This Row],[2018 Total Scope 1, 2 + Scope 3]]-1,"NA")</f>
        <v>5.0040256875169442E-2</v>
      </c>
      <c r="V19" s="12">
        <v>67031</v>
      </c>
      <c r="W19" s="12">
        <v>106</v>
      </c>
      <c r="X19" s="12"/>
      <c r="Y19" s="12">
        <f t="shared" si="0"/>
        <v>67137</v>
      </c>
      <c r="Z19" s="12">
        <f>334954+32759+10515+645+24083+9516+12065</f>
        <v>424537</v>
      </c>
      <c r="AA19" s="12">
        <f t="shared" si="1"/>
        <v>491674</v>
      </c>
      <c r="AB19" s="12">
        <v>68448</v>
      </c>
      <c r="AC19" s="12">
        <v>40172</v>
      </c>
      <c r="AD19" s="12">
        <v>76642</v>
      </c>
      <c r="AE19" s="12">
        <f t="shared" si="2"/>
        <v>31978</v>
      </c>
      <c r="AF19" s="12">
        <v>436265</v>
      </c>
      <c r="AG19" s="12">
        <f t="shared" si="3"/>
        <v>468243</v>
      </c>
      <c r="AH19" s="12">
        <v>61616</v>
      </c>
      <c r="AI19" s="12">
        <v>42408</v>
      </c>
      <c r="AJ19" s="12">
        <v>69783</v>
      </c>
      <c r="AK19" s="12">
        <f t="shared" si="4"/>
        <v>34241</v>
      </c>
      <c r="AL19" s="12">
        <v>436265</v>
      </c>
      <c r="AM19" s="12">
        <f t="shared" si="5"/>
        <v>470506</v>
      </c>
      <c r="AN19" s="12">
        <v>61970</v>
      </c>
      <c r="AO19" s="12">
        <v>45899</v>
      </c>
      <c r="AP19" s="12">
        <v>316917</v>
      </c>
      <c r="AQ19" s="12">
        <f t="shared" si="6"/>
        <v>-209048</v>
      </c>
      <c r="AR19" s="12">
        <v>254791</v>
      </c>
      <c r="AS19" s="12">
        <f t="shared" si="7"/>
        <v>45743</v>
      </c>
      <c r="AT19" s="12">
        <v>60179</v>
      </c>
      <c r="AU19" s="12">
        <v>38173</v>
      </c>
      <c r="AV19" s="12">
        <v>322563</v>
      </c>
      <c r="AW19" s="12">
        <f t="shared" si="8"/>
        <v>-224211</v>
      </c>
      <c r="AX19" s="12">
        <v>262358</v>
      </c>
      <c r="AY19" s="12">
        <f t="shared" si="9"/>
        <v>38147</v>
      </c>
      <c r="AZ19" t="s">
        <v>0</v>
      </c>
      <c r="BD19" s="42"/>
    </row>
    <row r="20" spans="1:56">
      <c r="A20" s="21" t="s">
        <v>108</v>
      </c>
      <c r="B20" s="21" t="s">
        <v>396</v>
      </c>
      <c r="C20" s="21" t="s">
        <v>6</v>
      </c>
      <c r="D20" s="4" t="s">
        <v>109</v>
      </c>
      <c r="E20" s="5">
        <v>14539000000</v>
      </c>
      <c r="F20" s="5" t="str">
        <f>IF(ISNUMBER(Table1[[#This Row],[2019 Scope 3 ]]),IF(Table1[[#This Row],[Net Earnings/Income (2019)]]-k_cost*Table1[[#This Row],[2019 Total Scope 1, 2 + 3]]&lt;0,"Y","N"),"NA")</f>
        <v>N</v>
      </c>
      <c r="G20" s="54" t="str">
        <f>IF(ISNUMBER(Table1[[#This Row],[2019 Scope 3 ]]),IF(k_cost*Table1[[#This Row],[2019 Total Scope 1, 2 + 3]]/Table1[[#This Row],[Size (2019 Revenue)]]&gt;k_rev_max,"Y","N"),"NA")</f>
        <v>N</v>
      </c>
      <c r="H20" s="54" t="str">
        <f>IF(OR(Table1[[#This Row],[Net earnings post carbon price @85/t]]="Y",Table1[[#This Row],[Carbon costs in % revenue]] = "Y"),"Y",IF(OR(Table1[[#This Row],[Net earnings post carbon price @85/t]]="NA",Table1[[#This Row],[Carbon costs in % revenue]]="NA"),"NA","N"))</f>
        <v>N</v>
      </c>
      <c r="I20" s="5">
        <v>4484000000</v>
      </c>
      <c r="J20" s="9">
        <v>1988</v>
      </c>
      <c r="K20" s="5" t="s">
        <v>1</v>
      </c>
      <c r="L20" t="s">
        <v>0</v>
      </c>
      <c r="M20" t="s">
        <v>0</v>
      </c>
      <c r="R20" t="s">
        <v>1</v>
      </c>
      <c r="S20">
        <v>2020</v>
      </c>
      <c r="T20" s="51">
        <f>IFERROR((Table1[[#This Row],[2019 Total Scope 1, 2 + 3]])/Table1[[#This Row],[2018 Total Scope 1, 2 + Scope 3]]-1,"NA")</f>
        <v>4.9639920910399216</v>
      </c>
      <c r="V20" s="12">
        <v>5589</v>
      </c>
      <c r="W20" s="12">
        <v>0</v>
      </c>
      <c r="X20" s="12"/>
      <c r="Y20" s="12">
        <f t="shared" si="0"/>
        <v>5589</v>
      </c>
      <c r="Z20" s="12">
        <f>351950+15521+7865+2462+1162+39116+1161+777</f>
        <v>420014</v>
      </c>
      <c r="AA20" s="12">
        <f t="shared" si="1"/>
        <v>425603</v>
      </c>
      <c r="AB20" s="12">
        <v>4807</v>
      </c>
      <c r="AC20" s="12">
        <v>22043</v>
      </c>
      <c r="AD20" s="12">
        <v>0</v>
      </c>
      <c r="AE20" s="12">
        <f t="shared" si="2"/>
        <v>26850</v>
      </c>
      <c r="AF20" s="12">
        <f>2.9*15349</f>
        <v>44512.1</v>
      </c>
      <c r="AG20" s="12">
        <f t="shared" si="3"/>
        <v>71362.100000000006</v>
      </c>
      <c r="AH20" s="12">
        <v>5016</v>
      </c>
      <c r="AI20" s="12">
        <v>22135</v>
      </c>
      <c r="AJ20" s="12">
        <v>0</v>
      </c>
      <c r="AK20" s="12">
        <f t="shared" si="4"/>
        <v>27151</v>
      </c>
      <c r="AL20" s="12">
        <f>2.8*13816</f>
        <v>38684.799999999996</v>
      </c>
      <c r="AM20" s="12">
        <f t="shared" si="5"/>
        <v>65835.799999999988</v>
      </c>
      <c r="AN20" s="12">
        <v>4281</v>
      </c>
      <c r="AO20" s="12">
        <v>26086</v>
      </c>
      <c r="AP20" s="12">
        <v>0</v>
      </c>
      <c r="AQ20" s="12">
        <f t="shared" si="6"/>
        <v>30367</v>
      </c>
      <c r="AR20" s="12">
        <f>3*13337</f>
        <v>40011</v>
      </c>
      <c r="AS20" s="12">
        <f t="shared" si="7"/>
        <v>70378</v>
      </c>
      <c r="AT20" s="12">
        <v>4846</v>
      </c>
      <c r="AU20" s="12">
        <v>28700</v>
      </c>
      <c r="AV20" s="12"/>
      <c r="AW20" s="12">
        <f t="shared" si="8"/>
        <v>33546</v>
      </c>
      <c r="AX20" s="12">
        <f>3.1*12994</f>
        <v>40281.4</v>
      </c>
      <c r="AY20" s="12">
        <f t="shared" si="9"/>
        <v>73827.399999999994</v>
      </c>
      <c r="AZ20" t="s">
        <v>0</v>
      </c>
      <c r="BB20" t="s">
        <v>110</v>
      </c>
      <c r="BD20" s="42"/>
    </row>
    <row r="21" spans="1:56" ht="51">
      <c r="A21" s="21" t="s">
        <v>111</v>
      </c>
      <c r="B21" s="21" t="s">
        <v>111</v>
      </c>
      <c r="C21" s="21" t="s">
        <v>8</v>
      </c>
      <c r="D21" t="s">
        <v>112</v>
      </c>
      <c r="E21" s="5">
        <v>76559000000</v>
      </c>
      <c r="F21" s="5" t="str">
        <f>IF(ISNUMBER(Table1[[#This Row],[2019 Scope 3 ]]),IF(Table1[[#This Row],[Net Earnings/Income (2019)]]-k_cost*Table1[[#This Row],[2019 Total Scope 1, 2 + 3]]&lt;0,"Y","N"),"NA")</f>
        <v>Y</v>
      </c>
      <c r="G21" s="54" t="str">
        <f>IF(ISNUMBER(Table1[[#This Row],[2019 Scope 3 ]]),IF(k_cost*Table1[[#This Row],[2019 Total Scope 1, 2 + 3]]/Table1[[#This Row],[Size (2019 Revenue)]]&gt;k_rev_max,"Y","N"),"NA")</f>
        <v>N</v>
      </c>
      <c r="H21" s="54" t="str">
        <f>IF(OR(Table1[[#This Row],[Net earnings post carbon price @85/t]]="Y",Table1[[#This Row],[Carbon costs in % revenue]] = "Y"),"Y",IF(OR(Table1[[#This Row],[Net earnings post carbon price @85/t]]="NA",Table1[[#This Row],[Carbon costs in % revenue]]="NA"),"NA","N"))</f>
        <v>Y</v>
      </c>
      <c r="I21" s="11">
        <v>-636000000</v>
      </c>
      <c r="J21" s="9">
        <v>1962</v>
      </c>
      <c r="K21" s="5" t="s">
        <v>1</v>
      </c>
      <c r="L21" t="s">
        <v>0</v>
      </c>
      <c r="M21" t="s">
        <v>0</v>
      </c>
      <c r="P21" s="28">
        <v>0.5</v>
      </c>
      <c r="Q21" t="s">
        <v>1</v>
      </c>
      <c r="R21" t="s">
        <v>0</v>
      </c>
      <c r="S21" t="s">
        <v>0</v>
      </c>
      <c r="T21" s="51">
        <f>IFERROR((Table1[[#This Row],[2019 Total Scope 1, 2 + 3]])/Table1[[#This Row],[2018 Total Scope 1, 2 + Scope 3]]-1,"NA")</f>
        <v>-0.11948331539289558</v>
      </c>
      <c r="V21" s="12">
        <v>613000</v>
      </c>
      <c r="W21" s="12">
        <v>733000</v>
      </c>
      <c r="X21" s="12"/>
      <c r="Y21" s="12">
        <f t="shared" si="0"/>
        <v>1346000</v>
      </c>
      <c r="Z21" s="12">
        <v>290000</v>
      </c>
      <c r="AA21" s="12">
        <f t="shared" si="1"/>
        <v>1636000</v>
      </c>
      <c r="AB21" s="12">
        <v>646000</v>
      </c>
      <c r="AC21" s="12">
        <v>892000</v>
      </c>
      <c r="AD21" s="12">
        <v>0</v>
      </c>
      <c r="AE21" s="12">
        <f t="shared" si="2"/>
        <v>1538000</v>
      </c>
      <c r="AF21" s="12">
        <v>320000</v>
      </c>
      <c r="AG21" s="12">
        <f t="shared" si="3"/>
        <v>1858000</v>
      </c>
      <c r="AH21" s="12">
        <v>626000</v>
      </c>
      <c r="AI21" s="12">
        <v>896000</v>
      </c>
      <c r="AJ21" s="12"/>
      <c r="AK21" s="12">
        <f t="shared" si="4"/>
        <v>1522000</v>
      </c>
      <c r="AL21" s="12">
        <v>285000</v>
      </c>
      <c r="AM21" s="12">
        <f t="shared" si="5"/>
        <v>1807000</v>
      </c>
      <c r="AN21" s="12">
        <v>593000</v>
      </c>
      <c r="AO21" s="12">
        <v>937000</v>
      </c>
      <c r="AP21" s="12"/>
      <c r="AQ21" s="12">
        <f t="shared" si="6"/>
        <v>1530000</v>
      </c>
      <c r="AR21" s="12">
        <v>244000</v>
      </c>
      <c r="AS21" s="12">
        <f t="shared" si="7"/>
        <v>1774000</v>
      </c>
      <c r="AT21" s="12">
        <v>601000</v>
      </c>
      <c r="AU21" s="12">
        <v>902000</v>
      </c>
      <c r="AV21" s="12"/>
      <c r="AW21" s="12">
        <f t="shared" si="8"/>
        <v>1503000</v>
      </c>
      <c r="AX21" s="12">
        <v>297000</v>
      </c>
      <c r="AY21" s="12">
        <f t="shared" si="9"/>
        <v>1800000</v>
      </c>
      <c r="AZ21" t="s">
        <v>1</v>
      </c>
      <c r="BA21" s="14" t="s">
        <v>418</v>
      </c>
      <c r="BB21" s="30" t="s">
        <v>417</v>
      </c>
      <c r="BD21" s="42"/>
    </row>
    <row r="22" spans="1:56">
      <c r="A22" s="21" t="s">
        <v>113</v>
      </c>
      <c r="B22" s="21" t="s">
        <v>461</v>
      </c>
      <c r="C22" s="4" t="s">
        <v>3</v>
      </c>
      <c r="D22" s="4" t="s">
        <v>114</v>
      </c>
      <c r="E22" s="5">
        <v>15066000000</v>
      </c>
      <c r="F22" s="5" t="str">
        <f>IF(ISNUMBER(Table1[[#This Row],[2019 Scope 3 ]]),IF(Table1[[#This Row],[Net Earnings/Income (2019)]]-k_cost*Table1[[#This Row],[2019 Total Scope 1, 2 + 3]]&lt;0,"Y","N"),"NA")</f>
        <v>NA</v>
      </c>
      <c r="G22" s="54" t="str">
        <f>IF(ISNUMBER(Table1[[#This Row],[2019 Scope 3 ]]),IF(k_cost*Table1[[#This Row],[2019 Total Scope 1, 2 + 3]]/Table1[[#This Row],[Size (2019 Revenue)]]&gt;k_rev_max,"Y","N"),"NA")</f>
        <v>NA</v>
      </c>
      <c r="H22" s="54" t="str">
        <f>IF(OR(Table1[[#This Row],[Net earnings post carbon price @85/t]]="Y",Table1[[#This Row],[Carbon costs in % revenue]] = "Y"),"Y",IF(OR(Table1[[#This Row],[Net earnings post carbon price @85/t]]="NA",Table1[[#This Row],[Carbon costs in % revenue]]="NA"),"NA","N"))</f>
        <v>NA</v>
      </c>
      <c r="I22" s="5">
        <v>4865000000</v>
      </c>
      <c r="J22" s="9">
        <v>1999</v>
      </c>
      <c r="K22" s="5" t="s">
        <v>1</v>
      </c>
      <c r="L22" t="s">
        <v>0</v>
      </c>
      <c r="M22" t="s">
        <v>0</v>
      </c>
      <c r="P22" t="s">
        <v>0</v>
      </c>
      <c r="Q22" t="s">
        <v>0</v>
      </c>
      <c r="R22" t="s">
        <v>0</v>
      </c>
      <c r="S22" t="s">
        <v>0</v>
      </c>
      <c r="T22" s="51" t="str">
        <f>IFERROR((Table1[[#This Row],[2019 Total Scope 1, 2 + 3]])/Table1[[#This Row],[2018 Total Scope 1, 2 + Scope 3]]-1,"NA")</f>
        <v>NA</v>
      </c>
      <c r="V22" s="12" t="s">
        <v>401</v>
      </c>
      <c r="W22" s="12" t="s">
        <v>401</v>
      </c>
      <c r="X22" s="12"/>
      <c r="Y22" s="12" t="str">
        <f t="shared" si="0"/>
        <v/>
      </c>
      <c r="Z22" s="12" t="s">
        <v>401</v>
      </c>
      <c r="AA22" s="12" t="str">
        <f t="shared" si="1"/>
        <v/>
      </c>
      <c r="AB22" s="12">
        <v>4811.67</v>
      </c>
      <c r="AC22" s="12">
        <v>57517.74</v>
      </c>
      <c r="AD22" s="12">
        <v>0</v>
      </c>
      <c r="AE22" s="12">
        <f t="shared" si="2"/>
        <v>62329.409999999996</v>
      </c>
      <c r="AF22" s="12" t="s">
        <v>401</v>
      </c>
      <c r="AG22" s="12" t="str">
        <f t="shared" si="3"/>
        <v/>
      </c>
      <c r="AH22" s="12">
        <v>3372</v>
      </c>
      <c r="AI22" s="12">
        <v>47963</v>
      </c>
      <c r="AJ22" s="12">
        <v>0</v>
      </c>
      <c r="AK22" s="12">
        <f t="shared" si="4"/>
        <v>51335</v>
      </c>
      <c r="AL22" s="12" t="s">
        <v>401</v>
      </c>
      <c r="AM22" s="12" t="str">
        <f t="shared" si="5"/>
        <v/>
      </c>
      <c r="AN22" s="12" t="s">
        <v>401</v>
      </c>
      <c r="AO22" s="12" t="s">
        <v>401</v>
      </c>
      <c r="AP22" s="12"/>
      <c r="AQ22" s="12" t="str">
        <f t="shared" si="6"/>
        <v/>
      </c>
      <c r="AR22" s="12" t="s">
        <v>401</v>
      </c>
      <c r="AS22" s="12" t="str">
        <f t="shared" si="7"/>
        <v/>
      </c>
      <c r="AT22" s="12" t="s">
        <v>401</v>
      </c>
      <c r="AU22" s="12" t="s">
        <v>401</v>
      </c>
      <c r="AV22" s="12"/>
      <c r="AW22" s="12" t="str">
        <f t="shared" si="8"/>
        <v/>
      </c>
      <c r="AX22" s="12" t="s">
        <v>401</v>
      </c>
      <c r="AY22" s="12" t="str">
        <f t="shared" si="9"/>
        <v/>
      </c>
      <c r="AZ22" t="s">
        <v>0</v>
      </c>
      <c r="BD22" s="42"/>
    </row>
    <row r="23" spans="1:56" ht="38.25">
      <c r="A23" s="21" t="s">
        <v>115</v>
      </c>
      <c r="B23" s="21" t="s">
        <v>115</v>
      </c>
      <c r="C23" s="21" t="s">
        <v>7</v>
      </c>
      <c r="D23" t="s">
        <v>69</v>
      </c>
      <c r="E23" s="5">
        <v>26145000000</v>
      </c>
      <c r="F23" s="5" t="str">
        <f>IF(ISNUMBER(Table1[[#This Row],[2019 Scope 3 ]]),IF(Table1[[#This Row],[Net Earnings/Income (2019)]]-k_cost*Table1[[#This Row],[2019 Total Scope 1, 2 + 3]]&lt;0,"Y","N"),"NA")</f>
        <v>NA</v>
      </c>
      <c r="G23" s="54" t="str">
        <f>IF(ISNUMBER(Table1[[#This Row],[2019 Scope 3 ]]),IF(k_cost*Table1[[#This Row],[2019 Total Scope 1, 2 + 3]]/Table1[[#This Row],[Size (2019 Revenue)]]&gt;k_rev_max,"Y","N"),"NA")</f>
        <v>NA</v>
      </c>
      <c r="H23" s="54" t="str">
        <f>IF(OR(Table1[[#This Row],[Net earnings post carbon price @85/t]]="Y",Table1[[#This Row],[Carbon costs in % revenue]] = "Y"),"Y",IF(OR(Table1[[#This Row],[Net earnings post carbon price @85/t]]="NA",Table1[[#This Row],[Carbon costs in % revenue]]="NA"),"NA","N"))</f>
        <v>NA</v>
      </c>
      <c r="I23" s="5">
        <v>3439000000</v>
      </c>
      <c r="J23" s="9">
        <v>1887</v>
      </c>
      <c r="K23" s="5" t="s">
        <v>1</v>
      </c>
      <c r="L23" t="s">
        <v>0</v>
      </c>
      <c r="M23" t="s">
        <v>0</v>
      </c>
      <c r="P23" s="15">
        <v>400000</v>
      </c>
      <c r="Q23" t="s">
        <v>0</v>
      </c>
      <c r="R23" t="s">
        <v>0</v>
      </c>
      <c r="S23" t="s">
        <v>0</v>
      </c>
      <c r="T23" s="51" t="str">
        <f>IFERROR((Table1[[#This Row],[2019 Total Scope 1, 2 + 3]])/Table1[[#This Row],[2018 Total Scope 1, 2 + Scope 3]]-1,"NA")</f>
        <v>NA</v>
      </c>
      <c r="V23" s="12" t="s">
        <v>401</v>
      </c>
      <c r="W23" s="12" t="s">
        <v>401</v>
      </c>
      <c r="X23" s="12"/>
      <c r="Y23" s="12" t="str">
        <f t="shared" si="0"/>
        <v/>
      </c>
      <c r="Z23" s="12" t="s">
        <v>401</v>
      </c>
      <c r="AA23" s="12" t="str">
        <f t="shared" si="1"/>
        <v/>
      </c>
      <c r="AB23" s="12">
        <v>130000</v>
      </c>
      <c r="AC23" s="12">
        <v>230000</v>
      </c>
      <c r="AD23" s="12"/>
      <c r="AE23" s="12">
        <f t="shared" si="2"/>
        <v>360000</v>
      </c>
      <c r="AF23" s="12" t="s">
        <v>401</v>
      </c>
      <c r="AG23" s="12" t="str">
        <f t="shared" si="3"/>
        <v/>
      </c>
      <c r="AH23" s="12">
        <v>125000</v>
      </c>
      <c r="AI23" s="12">
        <v>250000</v>
      </c>
      <c r="AJ23" s="12"/>
      <c r="AK23" s="12">
        <f t="shared" si="4"/>
        <v>375000</v>
      </c>
      <c r="AL23" s="12"/>
      <c r="AM23" s="12">
        <f t="shared" si="5"/>
        <v>375000</v>
      </c>
      <c r="AN23" s="12">
        <v>130000</v>
      </c>
      <c r="AO23" s="12">
        <v>250000</v>
      </c>
      <c r="AP23" s="12"/>
      <c r="AQ23" s="12">
        <f t="shared" si="6"/>
        <v>380000</v>
      </c>
      <c r="AR23" s="12"/>
      <c r="AS23" s="12">
        <f t="shared" si="7"/>
        <v>380000</v>
      </c>
      <c r="AT23" s="12" t="s">
        <v>401</v>
      </c>
      <c r="AU23" s="12" t="s">
        <v>401</v>
      </c>
      <c r="AV23" s="12"/>
      <c r="AW23" s="12" t="str">
        <f t="shared" si="8"/>
        <v/>
      </c>
      <c r="AX23" s="12" t="s">
        <v>401</v>
      </c>
      <c r="AY23" s="12" t="str">
        <f t="shared" si="9"/>
        <v/>
      </c>
      <c r="AZ23" t="s">
        <v>0</v>
      </c>
      <c r="BA23" s="18" t="s">
        <v>116</v>
      </c>
      <c r="BD23" s="42"/>
    </row>
    <row r="24" spans="1:56" ht="25.5">
      <c r="A24" s="21" t="s">
        <v>117</v>
      </c>
      <c r="B24" s="21" t="s">
        <v>466</v>
      </c>
      <c r="C24" s="21" t="s">
        <v>6</v>
      </c>
      <c r="D24" s="4" t="s">
        <v>89</v>
      </c>
      <c r="E24" s="5">
        <v>28600000000</v>
      </c>
      <c r="F24" s="5" t="str">
        <f>IF(ISNUMBER(Table1[[#This Row],[2019 Scope 3 ]]),IF(Table1[[#This Row],[Net Earnings/Income (2019)]]-k_cost*Table1[[#This Row],[2019 Total Scope 1, 2 + 3]]&lt;0,"Y","N"),"NA")</f>
        <v>N</v>
      </c>
      <c r="G24" s="54" t="str">
        <f>IF(ISNUMBER(Table1[[#This Row],[2019 Scope 3 ]]),IF(k_cost*Table1[[#This Row],[2019 Total Scope 1, 2 + 3]]/Table1[[#This Row],[Size (2019 Revenue)]]&gt;k_rev_max,"Y","N"),"NA")</f>
        <v>N</v>
      </c>
      <c r="H24" s="54" t="str">
        <f>IF(OR(Table1[[#This Row],[Net earnings post carbon price @85/t]]="Y",Table1[[#This Row],[Carbon costs in % revenue]] = "Y"),"Y",IF(OR(Table1[[#This Row],[Net earnings post carbon price @85/t]]="NA",Table1[[#This Row],[Carbon costs in % revenue]]="NA"),"NA","N"))</f>
        <v>N</v>
      </c>
      <c r="I24" s="5">
        <v>5192000000</v>
      </c>
      <c r="J24" s="9">
        <v>1994</v>
      </c>
      <c r="K24" s="5" t="s">
        <v>1</v>
      </c>
      <c r="L24" t="s">
        <v>1</v>
      </c>
      <c r="M24" t="s">
        <v>0</v>
      </c>
      <c r="N24">
        <v>2018</v>
      </c>
      <c r="O24">
        <v>2018</v>
      </c>
      <c r="P24" s="15"/>
      <c r="Q24" t="s">
        <v>1</v>
      </c>
      <c r="R24" t="s">
        <v>1</v>
      </c>
      <c r="S24">
        <v>2017</v>
      </c>
      <c r="T24" s="51">
        <f>IFERROR((Table1[[#This Row],[2019 Total Scope 1, 2 + 3]])/Table1[[#This Row],[2018 Total Scope 1, 2 + Scope 3]]-1,"NA")</f>
        <v>4.1818720382228225E-2</v>
      </c>
      <c r="V24" s="12">
        <v>9495</v>
      </c>
      <c r="W24" s="12">
        <v>135</v>
      </c>
      <c r="X24" s="12"/>
      <c r="Y24" s="12">
        <f t="shared" si="0"/>
        <v>9630</v>
      </c>
      <c r="Z24" s="12">
        <f>165571+8156+67870+4762+37500+101249+5866.51</f>
        <v>390974.51</v>
      </c>
      <c r="AA24" s="12">
        <f t="shared" si="1"/>
        <v>400604.51</v>
      </c>
      <c r="AB24" s="12">
        <v>9815</v>
      </c>
      <c r="AC24" s="12">
        <v>0</v>
      </c>
      <c r="AD24" s="12"/>
      <c r="AE24" s="12">
        <f t="shared" si="2"/>
        <v>9815</v>
      </c>
      <c r="AF24" s="12">
        <f>157487+9106.99+56982+3601+34539+105860+7133.21</f>
        <v>374709.2</v>
      </c>
      <c r="AG24" s="12">
        <f t="shared" si="3"/>
        <v>384524.2</v>
      </c>
      <c r="AH24" s="12">
        <v>11624</v>
      </c>
      <c r="AI24" s="12">
        <v>150</v>
      </c>
      <c r="AJ24" s="12"/>
      <c r="AK24" s="12">
        <f t="shared" si="4"/>
        <v>11774</v>
      </c>
      <c r="AL24" s="12">
        <f>49982.23+62340.64+103444.88</f>
        <v>215767.75</v>
      </c>
      <c r="AM24" s="12">
        <f t="shared" si="5"/>
        <v>227541.75</v>
      </c>
      <c r="AN24" s="12">
        <v>13061</v>
      </c>
      <c r="AO24" s="12">
        <v>176444</v>
      </c>
      <c r="AP24" s="12"/>
      <c r="AQ24" s="12">
        <f t="shared" si="6"/>
        <v>189505</v>
      </c>
      <c r="AR24" s="12">
        <f>53010.86+55239.85+105093.4</f>
        <v>213344.11</v>
      </c>
      <c r="AS24" s="12">
        <f t="shared" si="7"/>
        <v>402849.11</v>
      </c>
      <c r="AT24" s="12">
        <v>14421</v>
      </c>
      <c r="AU24" s="12">
        <v>181088</v>
      </c>
      <c r="AV24" s="12"/>
      <c r="AW24" s="12">
        <f t="shared" si="8"/>
        <v>195509</v>
      </c>
      <c r="AX24" s="12">
        <f>51042.88+32022</f>
        <v>83064.88</v>
      </c>
      <c r="AY24" s="12">
        <f t="shared" si="9"/>
        <v>278573.88</v>
      </c>
      <c r="AZ24" t="s">
        <v>0</v>
      </c>
      <c r="BA24" s="7" t="s">
        <v>118</v>
      </c>
      <c r="BB24" s="4" t="s">
        <v>419</v>
      </c>
      <c r="BC24" s="20" t="s">
        <v>119</v>
      </c>
      <c r="BD24" s="42"/>
    </row>
    <row r="25" spans="1:56" ht="63.75">
      <c r="A25" s="21" t="s">
        <v>120</v>
      </c>
      <c r="B25" s="21" t="s">
        <v>447</v>
      </c>
      <c r="C25" s="21" t="s">
        <v>8</v>
      </c>
      <c r="D25" s="4" t="s">
        <v>121</v>
      </c>
      <c r="E25" s="5">
        <v>53800000000</v>
      </c>
      <c r="F25" s="5" t="str">
        <f>IF(ISNUMBER(Table1[[#This Row],[2019 Scope 3 ]]),IF(Table1[[#This Row],[Net Earnings/Income (2019)]]-k_cost*Table1[[#This Row],[2019 Total Scope 1, 2 + 3]]&lt;0,"Y","N"),"NA")</f>
        <v>NA</v>
      </c>
      <c r="G25" s="54" t="str">
        <f>IF(ISNUMBER(Table1[[#This Row],[2019 Scope 3 ]]),IF(k_cost*Table1[[#This Row],[2019 Total Scope 1, 2 + 3]]/Table1[[#This Row],[Size (2019 Revenue)]]&gt;k_rev_max,"Y","N"),"NA")</f>
        <v>NA</v>
      </c>
      <c r="H25" s="54" t="str">
        <f>IF(OR(Table1[[#This Row],[Net earnings post carbon price @85/t]]="Y",Table1[[#This Row],[Carbon costs in % revenue]] = "Y"),"Y",IF(OR(Table1[[#This Row],[Net earnings post carbon price @85/t]]="NA",Table1[[#This Row],[Carbon costs in % revenue]]="NA"),"NA","N"))</f>
        <v>NA</v>
      </c>
      <c r="I25" s="5">
        <v>6093000000</v>
      </c>
      <c r="J25" s="9">
        <v>1925</v>
      </c>
      <c r="K25" s="5" t="s">
        <v>1</v>
      </c>
      <c r="L25" t="s">
        <v>0</v>
      </c>
      <c r="M25" t="s">
        <v>0</v>
      </c>
      <c r="P25" s="15" t="s">
        <v>0</v>
      </c>
      <c r="Q25" t="s">
        <v>0</v>
      </c>
      <c r="R25" t="s">
        <v>0</v>
      </c>
      <c r="S25" t="s">
        <v>0</v>
      </c>
      <c r="T25" s="51" t="str">
        <f>IFERROR((Table1[[#This Row],[2019 Total Scope 1, 2 + 3]])/Table1[[#This Row],[2018 Total Scope 1, 2 + Scope 3]]-1,"NA")</f>
        <v>NA</v>
      </c>
      <c r="V25" s="12">
        <v>905000</v>
      </c>
      <c r="W25" s="12">
        <v>869000</v>
      </c>
      <c r="X25" s="12">
        <v>0</v>
      </c>
      <c r="Y25" s="12">
        <f t="shared" si="0"/>
        <v>1774000</v>
      </c>
      <c r="Z25" s="12" t="s">
        <v>401</v>
      </c>
      <c r="AA25" s="12" t="str">
        <f t="shared" si="1"/>
        <v/>
      </c>
      <c r="AB25" s="12">
        <v>927000</v>
      </c>
      <c r="AC25" s="12">
        <v>1280000</v>
      </c>
      <c r="AD25" s="12">
        <v>0</v>
      </c>
      <c r="AE25" s="12">
        <f t="shared" si="2"/>
        <v>2207000</v>
      </c>
      <c r="AF25" s="12" t="s">
        <v>401</v>
      </c>
      <c r="AG25" s="12" t="str">
        <f t="shared" si="3"/>
        <v/>
      </c>
      <c r="AH25" s="12">
        <v>863000</v>
      </c>
      <c r="AI25" s="12">
        <v>1256000</v>
      </c>
      <c r="AJ25" s="12">
        <v>0</v>
      </c>
      <c r="AK25" s="12">
        <f t="shared" si="4"/>
        <v>2119000</v>
      </c>
      <c r="AL25" s="12" t="s">
        <v>401</v>
      </c>
      <c r="AM25" s="12" t="str">
        <f t="shared" si="5"/>
        <v/>
      </c>
      <c r="AN25" s="12">
        <v>863000</v>
      </c>
      <c r="AO25" s="12">
        <v>1265000</v>
      </c>
      <c r="AP25" s="12">
        <v>0</v>
      </c>
      <c r="AQ25" s="12">
        <f t="shared" si="6"/>
        <v>2128000</v>
      </c>
      <c r="AR25" s="12" t="s">
        <v>401</v>
      </c>
      <c r="AS25" s="12" t="str">
        <f t="shared" si="7"/>
        <v/>
      </c>
      <c r="AT25" s="12" t="s">
        <v>401</v>
      </c>
      <c r="AU25" s="12" t="s">
        <v>401</v>
      </c>
      <c r="AV25" s="12"/>
      <c r="AW25" s="12" t="str">
        <f t="shared" si="8"/>
        <v/>
      </c>
      <c r="AX25" s="12" t="s">
        <v>401</v>
      </c>
      <c r="AY25" s="12" t="str">
        <f t="shared" si="9"/>
        <v/>
      </c>
      <c r="AZ25" t="s">
        <v>0</v>
      </c>
      <c r="BA25" s="18" t="s">
        <v>122</v>
      </c>
      <c r="BC25" s="20"/>
      <c r="BD25" s="42"/>
    </row>
    <row r="26" spans="1:56">
      <c r="A26" s="21" t="s">
        <v>123</v>
      </c>
      <c r="B26" s="21" t="s">
        <v>397</v>
      </c>
      <c r="C26" t="s">
        <v>2</v>
      </c>
      <c r="D26" s="4" t="s">
        <v>124</v>
      </c>
      <c r="E26" s="5">
        <v>45764000000</v>
      </c>
      <c r="F26" s="5" t="str">
        <f>IF(ISNUMBER(Table1[[#This Row],[2019 Scope 3 ]]),IF(Table1[[#This Row],[Net Earnings/Income (2019)]]-k_cost*Table1[[#This Row],[2019 Total Scope 1, 2 + 3]]&lt;0,"Y","N"),"NA")</f>
        <v>NA</v>
      </c>
      <c r="G26" s="54" t="str">
        <f>IF(ISNUMBER(Table1[[#This Row],[2019 Scope 3 ]]),IF(k_cost*Table1[[#This Row],[2019 Total Scope 1, 2 + 3]]/Table1[[#This Row],[Size (2019 Revenue)]]&gt;k_rev_max,"Y","N"),"NA")</f>
        <v>NA</v>
      </c>
      <c r="H26" s="54" t="str">
        <f>IF(OR(Table1[[#This Row],[Net earnings post carbon price @85/t]]="Y",Table1[[#This Row],[Carbon costs in % revenue]] = "Y"),"Y",IF(OR(Table1[[#This Row],[Net earnings post carbon price @85/t]]="NA",Table1[[#This Row],[Carbon costs in % revenue]]="NA"),"NA","N"))</f>
        <v>NA</v>
      </c>
      <c r="I26" s="5">
        <v>1668000000</v>
      </c>
      <c r="J26" s="9">
        <v>1999</v>
      </c>
      <c r="K26" s="5" t="s">
        <v>1</v>
      </c>
      <c r="L26" t="s">
        <v>0</v>
      </c>
      <c r="M26" t="s">
        <v>0</v>
      </c>
      <c r="P26" s="15" t="s">
        <v>0</v>
      </c>
      <c r="Q26" t="s">
        <v>0</v>
      </c>
      <c r="R26" t="s">
        <v>0</v>
      </c>
      <c r="S26" t="s">
        <v>0</v>
      </c>
      <c r="T26" s="51" t="str">
        <f>IFERROR((Table1[[#This Row],[2019 Total Scope 1, 2 + 3]])/Table1[[#This Row],[2018 Total Scope 1, 2 + Scope 3]]-1,"NA")</f>
        <v>NA</v>
      </c>
      <c r="V26" s="12" t="s">
        <v>401</v>
      </c>
      <c r="W26" s="12" t="s">
        <v>401</v>
      </c>
      <c r="X26" s="12"/>
      <c r="Y26" s="12" t="str">
        <f t="shared" si="0"/>
        <v/>
      </c>
      <c r="Z26" s="12" t="s">
        <v>401</v>
      </c>
      <c r="AA26" s="12" t="str">
        <f t="shared" si="1"/>
        <v/>
      </c>
      <c r="AB26" s="12" t="s">
        <v>401</v>
      </c>
      <c r="AC26" s="12" t="s">
        <v>401</v>
      </c>
      <c r="AD26" s="12"/>
      <c r="AE26" s="12" t="str">
        <f t="shared" si="2"/>
        <v/>
      </c>
      <c r="AF26" s="12" t="s">
        <v>401</v>
      </c>
      <c r="AG26" s="12" t="str">
        <f t="shared" si="3"/>
        <v/>
      </c>
      <c r="AH26" s="12" t="s">
        <v>401</v>
      </c>
      <c r="AI26" s="12" t="s">
        <v>401</v>
      </c>
      <c r="AJ26" s="12"/>
      <c r="AK26" s="12" t="str">
        <f t="shared" si="4"/>
        <v/>
      </c>
      <c r="AL26" s="12" t="s">
        <v>401</v>
      </c>
      <c r="AM26" s="12" t="str">
        <f t="shared" si="5"/>
        <v/>
      </c>
      <c r="AN26" s="12" t="s">
        <v>401</v>
      </c>
      <c r="AO26" s="12" t="s">
        <v>401</v>
      </c>
      <c r="AP26" s="12"/>
      <c r="AQ26" s="12" t="str">
        <f t="shared" si="6"/>
        <v/>
      </c>
      <c r="AR26" s="12" t="s">
        <v>401</v>
      </c>
      <c r="AS26" s="12" t="str">
        <f t="shared" si="7"/>
        <v/>
      </c>
      <c r="AT26" s="12" t="s">
        <v>401</v>
      </c>
      <c r="AU26" s="12" t="s">
        <v>401</v>
      </c>
      <c r="AV26" s="12"/>
      <c r="AW26" s="12" t="str">
        <f t="shared" si="8"/>
        <v/>
      </c>
      <c r="AX26" s="12" t="s">
        <v>401</v>
      </c>
      <c r="AY26" s="12" t="str">
        <f t="shared" si="9"/>
        <v/>
      </c>
      <c r="AZ26" t="s">
        <v>0</v>
      </c>
      <c r="BA26" s="7" t="s">
        <v>118</v>
      </c>
      <c r="BC26" s="20"/>
      <c r="BD26" s="42"/>
    </row>
    <row r="27" spans="1:56">
      <c r="A27" s="21" t="s">
        <v>125</v>
      </c>
      <c r="B27" s="21" t="s">
        <v>125</v>
      </c>
      <c r="C27" t="s">
        <v>5</v>
      </c>
      <c r="D27" s="4" t="s">
        <v>126</v>
      </c>
      <c r="E27" s="5">
        <v>146516000000</v>
      </c>
      <c r="F27" s="5" t="str">
        <f>IF(ISNUMBER(Table1[[#This Row],[2019 Scope 3 ]]),IF(Table1[[#This Row],[Net Earnings/Income (2019)]]-k_cost*Table1[[#This Row],[2019 Total Scope 1, 2 + 3]]&lt;0,"Y","N"),"NA")</f>
        <v>Y</v>
      </c>
      <c r="G27" s="54" t="str">
        <f>IF(ISNUMBER(Table1[[#This Row],[2019 Scope 3 ]]),IF(k_cost*Table1[[#This Row],[2019 Total Scope 1, 2 + 3]]/Table1[[#This Row],[Size (2019 Revenue)]]&gt;k_rev_max,"Y","N"),"NA")</f>
        <v>Y</v>
      </c>
      <c r="H27" s="54" t="str">
        <f>IF(OR(Table1[[#This Row],[Net earnings post carbon price @85/t]]="Y",Table1[[#This Row],[Carbon costs in % revenue]] = "Y"),"Y",IF(OR(Table1[[#This Row],[Net earnings post carbon price @85/t]]="NA",Table1[[#This Row],[Carbon costs in % revenue]]="NA"),"NA","N"))</f>
        <v>Y</v>
      </c>
      <c r="I27" s="5">
        <v>2924000000</v>
      </c>
      <c r="J27" s="9">
        <v>1879</v>
      </c>
      <c r="K27" s="5" t="s">
        <v>1</v>
      </c>
      <c r="L27" t="s">
        <v>0</v>
      </c>
      <c r="M27" t="s">
        <v>0</v>
      </c>
      <c r="P27" s="15" t="s">
        <v>0</v>
      </c>
      <c r="Q27" t="s">
        <v>0</v>
      </c>
      <c r="R27" t="s">
        <v>0</v>
      </c>
      <c r="T27" s="51">
        <f>IFERROR((Table1[[#This Row],[2019 Total Scope 1, 2 + 3]])/Table1[[#This Row],[2018 Total Scope 1, 2 + Scope 3]]-1,"NA")</f>
        <v>2.3965141612200425E-2</v>
      </c>
      <c r="V27" s="12">
        <v>55000000</v>
      </c>
      <c r="W27" s="12">
        <v>2000000</v>
      </c>
      <c r="X27" s="12">
        <v>0</v>
      </c>
      <c r="Y27" s="12">
        <f t="shared" si="0"/>
        <v>57000000</v>
      </c>
      <c r="Z27" s="12">
        <v>413000000</v>
      </c>
      <c r="AA27" s="12">
        <f t="shared" si="1"/>
        <v>470000000</v>
      </c>
      <c r="AB27" s="12">
        <v>59000000</v>
      </c>
      <c r="AC27" s="12">
        <v>3000000</v>
      </c>
      <c r="AD27" s="12">
        <v>0</v>
      </c>
      <c r="AE27" s="12">
        <f t="shared" si="2"/>
        <v>62000000</v>
      </c>
      <c r="AF27" s="12">
        <v>397000000</v>
      </c>
      <c r="AG27" s="12">
        <f t="shared" si="3"/>
        <v>459000000</v>
      </c>
      <c r="AH27" s="12">
        <v>56000000</v>
      </c>
      <c r="AI27" s="12">
        <v>3000000</v>
      </c>
      <c r="AJ27" s="12">
        <v>0</v>
      </c>
      <c r="AK27" s="12">
        <f t="shared" si="4"/>
        <v>59000000</v>
      </c>
      <c r="AL27" s="12">
        <v>377000000</v>
      </c>
      <c r="AM27" s="12">
        <f t="shared" si="5"/>
        <v>436000000</v>
      </c>
      <c r="AN27" s="12">
        <v>58000000</v>
      </c>
      <c r="AO27" s="12">
        <v>3000000</v>
      </c>
      <c r="AP27" s="12">
        <v>0</v>
      </c>
      <c r="AQ27" s="12">
        <f t="shared" si="6"/>
        <v>61000000</v>
      </c>
      <c r="AR27" s="12">
        <v>365000000</v>
      </c>
      <c r="AS27" s="12">
        <f t="shared" si="7"/>
        <v>426000000</v>
      </c>
      <c r="AT27" s="12">
        <v>58000000</v>
      </c>
      <c r="AU27" s="12">
        <v>3000000</v>
      </c>
      <c r="AV27" s="12">
        <v>0</v>
      </c>
      <c r="AW27" s="12">
        <f t="shared" si="8"/>
        <v>61000000</v>
      </c>
      <c r="AX27" s="12">
        <v>367000000</v>
      </c>
      <c r="AY27" s="12">
        <f t="shared" si="9"/>
        <v>428000000</v>
      </c>
      <c r="AZ27" t="s">
        <v>1</v>
      </c>
      <c r="BA27" s="7" t="s">
        <v>127</v>
      </c>
      <c r="BC27" s="20"/>
      <c r="BD27" s="42"/>
    </row>
    <row r="28" spans="1:56" ht="63.75">
      <c r="A28" s="21" t="s">
        <v>128</v>
      </c>
      <c r="B28" s="21" t="s">
        <v>407</v>
      </c>
      <c r="C28" s="32" t="s">
        <v>11</v>
      </c>
      <c r="D28" s="4" t="s">
        <v>96</v>
      </c>
      <c r="E28" s="5">
        <v>51900000000</v>
      </c>
      <c r="F28" s="5" t="str">
        <f>IF(ISNUMBER(Table1[[#This Row],[2019 Scope 3 ]]),IF(Table1[[#This Row],[Net Earnings/Income (2019)]]-k_cost*Table1[[#This Row],[2019 Total Scope 1, 2 + 3]]&lt;0,"Y","N"),"NA")</f>
        <v>N</v>
      </c>
      <c r="G28" s="54" t="str">
        <f>IF(ISNUMBER(Table1[[#This Row],[2019 Scope 3 ]]),IF(k_cost*Table1[[#This Row],[2019 Total Scope 1, 2 + 3]]/Table1[[#This Row],[Size (2019 Revenue)]]&gt;k_rev_max,"Y","N"),"NA")</f>
        <v>N</v>
      </c>
      <c r="H28" s="54" t="str">
        <f>IF(OR(Table1[[#This Row],[Net earnings post carbon price @85/t]]="Y",Table1[[#This Row],[Carbon costs in % revenue]] = "Y"),"Y",IF(OR(Table1[[#This Row],[Net earnings post carbon price @85/t]]="NA",Table1[[#This Row],[Carbon costs in % revenue]]="NA"),"NA","N"))</f>
        <v>N</v>
      </c>
      <c r="I28" s="5">
        <v>11620000000</v>
      </c>
      <c r="J28" s="9">
        <v>1990</v>
      </c>
      <c r="K28" s="5" t="s">
        <v>1</v>
      </c>
      <c r="L28" t="s">
        <v>0</v>
      </c>
      <c r="M28" t="s">
        <v>1</v>
      </c>
      <c r="P28" s="15">
        <v>180000</v>
      </c>
      <c r="Q28" t="s">
        <v>1</v>
      </c>
      <c r="R28" t="s">
        <v>0</v>
      </c>
      <c r="S28" t="s">
        <v>0</v>
      </c>
      <c r="T28" s="51">
        <f>IFERROR((Table1[[#This Row],[2019 Total Scope 1, 2 + 3]])/Table1[[#This Row],[2018 Total Scope 1, 2 + Scope 3]]-1,"NA")</f>
        <v>-0.32608208792897209</v>
      </c>
      <c r="V28" s="12">
        <v>41181</v>
      </c>
      <c r="W28" s="12">
        <v>187428</v>
      </c>
      <c r="X28" s="12">
        <v>0</v>
      </c>
      <c r="Y28" s="12">
        <f t="shared" si="0"/>
        <v>228609</v>
      </c>
      <c r="Z28" s="12">
        <f>1154682+40020+39054+36598+779+207323+79699+83396+24929174+272</f>
        <v>26570997</v>
      </c>
      <c r="AA28" s="12">
        <f t="shared" si="1"/>
        <v>26799606</v>
      </c>
      <c r="AB28" s="12">
        <v>41171</v>
      </c>
      <c r="AC28" s="12">
        <v>205141</v>
      </c>
      <c r="AD28" s="12">
        <v>0</v>
      </c>
      <c r="AE28" s="12">
        <f t="shared" si="2"/>
        <v>246312</v>
      </c>
      <c r="AF28" s="12">
        <f>1154682+40020+40002+36598+1096+217500+81394+83396+37865598+272</f>
        <v>39520558</v>
      </c>
      <c r="AG28" s="12">
        <f t="shared" si="3"/>
        <v>39766870</v>
      </c>
      <c r="AH28" s="12">
        <v>41926</v>
      </c>
      <c r="AI28" s="12">
        <v>223558</v>
      </c>
      <c r="AJ28" s="12">
        <v>0</v>
      </c>
      <c r="AK28" s="12">
        <f t="shared" si="4"/>
        <v>265484</v>
      </c>
      <c r="AL28" s="12">
        <f>1283704+57607+44164+16509+177210+80506+38521+32847245+349</f>
        <v>34545815</v>
      </c>
      <c r="AM28" s="12">
        <f t="shared" si="5"/>
        <v>34811299</v>
      </c>
      <c r="AN28" s="12">
        <v>53123</v>
      </c>
      <c r="AO28" s="12">
        <v>247933</v>
      </c>
      <c r="AP28" s="12">
        <v>0</v>
      </c>
      <c r="AQ28" s="12">
        <f t="shared" si="6"/>
        <v>301056</v>
      </c>
      <c r="AR28" s="12">
        <f>1373745+67405+43897+20062+184901+91586+46810+33466582+1138</f>
        <v>35296126</v>
      </c>
      <c r="AS28" s="12">
        <f t="shared" si="7"/>
        <v>35597182</v>
      </c>
      <c r="AT28" s="12">
        <v>53123</v>
      </c>
      <c r="AU28" s="12">
        <v>247933</v>
      </c>
      <c r="AV28" s="12">
        <v>0</v>
      </c>
      <c r="AW28" s="12">
        <f t="shared" si="8"/>
        <v>301056</v>
      </c>
      <c r="AX28" s="12">
        <f>3105862+81700+46354+196595+191573+96937+458722+33753281+6800</f>
        <v>37937824</v>
      </c>
      <c r="AY28" s="12">
        <f t="shared" si="9"/>
        <v>38238880</v>
      </c>
      <c r="AZ28" t="s">
        <v>1</v>
      </c>
      <c r="BA28" s="18" t="s">
        <v>129</v>
      </c>
      <c r="BB28" s="4" t="s">
        <v>420</v>
      </c>
      <c r="BD28" s="42"/>
    </row>
    <row r="29" spans="1:56">
      <c r="A29" s="21" t="s">
        <v>130</v>
      </c>
      <c r="B29" s="21" t="s">
        <v>453</v>
      </c>
      <c r="C29" s="21" t="s">
        <v>6</v>
      </c>
      <c r="D29" s="4" t="s">
        <v>103</v>
      </c>
      <c r="E29" s="5">
        <v>103449000000</v>
      </c>
      <c r="F29" s="5" t="str">
        <f>IF(ISNUMBER(Table1[[#This Row],[2019 Scope 3 ]]),IF(Table1[[#This Row],[Net Earnings/Income (2019)]]-k_cost*Table1[[#This Row],[2019 Total Scope 1, 2 + 3]]&lt;0,"Y","N"),"NA")</f>
        <v>N</v>
      </c>
      <c r="G29" s="54" t="str">
        <f>IF(ISNUMBER(Table1[[#This Row],[2019 Scope 3 ]]),IF(k_cost*Table1[[#This Row],[2019 Total Scope 1, 2 + 3]]/Table1[[#This Row],[Size (2019 Revenue)]]&gt;k_rev_max,"Y","N"),"NA")</f>
        <v>N</v>
      </c>
      <c r="H29" s="54" t="str">
        <f>IF(OR(Table1[[#This Row],[Net earnings post carbon price @85/t]]="Y",Table1[[#This Row],[Carbon costs in % revenue]] = "Y"),"Y",IF(OR(Table1[[#This Row],[Net earnings post carbon price @85/t]]="NA",Table1[[#This Row],[Carbon costs in % revenue]]="NA"),"NA","N"))</f>
        <v>N</v>
      </c>
      <c r="I29" s="5">
        <v>18171000000</v>
      </c>
      <c r="J29" s="9">
        <v>1998</v>
      </c>
      <c r="K29" s="5" t="s">
        <v>1</v>
      </c>
      <c r="L29" t="s">
        <v>0</v>
      </c>
      <c r="M29" t="s">
        <v>0</v>
      </c>
      <c r="P29" t="s">
        <v>0</v>
      </c>
      <c r="Q29" t="s">
        <v>0</v>
      </c>
      <c r="R29" t="s">
        <v>1</v>
      </c>
      <c r="S29">
        <v>2020</v>
      </c>
      <c r="T29" s="51">
        <f>IFERROR((Table1[[#This Row],[2019 Total Scope 1, 2 + 3]])/Table1[[#This Row],[2018 Total Scope 1, 2 + Scope 3]]-1,"NA")</f>
        <v>-0.87976057981829026</v>
      </c>
      <c r="V29" s="12">
        <v>23289</v>
      </c>
      <c r="W29" s="12">
        <v>593611</v>
      </c>
      <c r="X29" s="12">
        <v>0</v>
      </c>
      <c r="Y29" s="12">
        <f t="shared" si="0"/>
        <v>616900</v>
      </c>
      <c r="Z29" s="12">
        <f>3057.83+365372.29+170626.34+126229+82627.85</f>
        <v>747913.30999999994</v>
      </c>
      <c r="AA29" s="12">
        <f t="shared" si="1"/>
        <v>1364813.31</v>
      </c>
      <c r="AB29" s="12">
        <v>24132</v>
      </c>
      <c r="AC29" s="12">
        <v>623233</v>
      </c>
      <c r="AD29" s="12">
        <v>0</v>
      </c>
      <c r="AE29" s="12">
        <f t="shared" si="2"/>
        <v>647365</v>
      </c>
      <c r="AF29" s="12">
        <f>4090.86+284991.97+187586+149815+86948.67+9990000</f>
        <v>10703432.5</v>
      </c>
      <c r="AG29" s="12">
        <f t="shared" si="3"/>
        <v>11350797.5</v>
      </c>
      <c r="AH29" s="12">
        <v>20951</v>
      </c>
      <c r="AI29" s="12">
        <v>677636</v>
      </c>
      <c r="AJ29" s="12">
        <v>0</v>
      </c>
      <c r="AK29" s="12">
        <f t="shared" si="4"/>
        <v>698587</v>
      </c>
      <c r="AL29" s="12">
        <f>4245.09+227593.23+196748.31+151321+90709.34+18100000</f>
        <v>18770616.969999999</v>
      </c>
      <c r="AM29" s="12">
        <f t="shared" si="5"/>
        <v>19469203.969999999</v>
      </c>
      <c r="AN29" s="12">
        <v>23141</v>
      </c>
      <c r="AO29" s="12">
        <v>747748</v>
      </c>
      <c r="AP29" s="12">
        <v>0</v>
      </c>
      <c r="AQ29" s="12">
        <f t="shared" si="6"/>
        <v>770889</v>
      </c>
      <c r="AR29" s="12">
        <f>22105+210958+137860+95034+7760665</f>
        <v>8226622</v>
      </c>
      <c r="AS29" s="12">
        <f t="shared" si="7"/>
        <v>8997511</v>
      </c>
      <c r="AT29" s="12">
        <v>25742</v>
      </c>
      <c r="AU29" s="12">
        <v>789002</v>
      </c>
      <c r="AV29" s="12">
        <v>0</v>
      </c>
      <c r="AW29" s="12">
        <f t="shared" si="8"/>
        <v>814744</v>
      </c>
      <c r="AX29" s="12">
        <f>28214+111292+9600000</f>
        <v>9739506</v>
      </c>
      <c r="AY29" s="12">
        <f t="shared" si="9"/>
        <v>10554250</v>
      </c>
      <c r="AZ29" t="s">
        <v>1</v>
      </c>
      <c r="BA29" s="7" t="s">
        <v>131</v>
      </c>
      <c r="BB29" s="4" t="s">
        <v>421</v>
      </c>
      <c r="BD29" s="42"/>
    </row>
    <row r="30" spans="1:56" ht="63.75">
      <c r="A30" s="21" t="s">
        <v>132</v>
      </c>
      <c r="B30" s="21" t="s">
        <v>477</v>
      </c>
      <c r="C30" s="4" t="s">
        <v>4</v>
      </c>
      <c r="D30" s="4" t="s">
        <v>133</v>
      </c>
      <c r="E30" s="5">
        <v>37266000000</v>
      </c>
      <c r="F30" s="5" t="str">
        <f>IF(ISNUMBER(Table1[[#This Row],[2019 Scope 3 ]]),IF(Table1[[#This Row],[Net Earnings/Income (2019)]]-k_cost*Table1[[#This Row],[2019 Total Scope 1, 2 + 3]]&lt;0,"Y","N"),"NA")</f>
        <v>NA</v>
      </c>
      <c r="G30" s="54" t="str">
        <f>IF(ISNUMBER(Table1[[#This Row],[2019 Scope 3 ]]),IF(k_cost*Table1[[#This Row],[2019 Total Scope 1, 2 + 3]]/Table1[[#This Row],[Size (2019 Revenue)]]&gt;k_rev_max,"Y","N"),"NA")</f>
        <v>NA</v>
      </c>
      <c r="H30" s="54" t="str">
        <f>IF(OR(Table1[[#This Row],[Net earnings post carbon price @85/t]]="Y",Table1[[#This Row],[Carbon costs in % revenue]] = "Y"),"Y",IF(OR(Table1[[#This Row],[Net earnings post carbon price @85/t]]="NA",Table1[[#This Row],[Carbon costs in % revenue]]="NA"),"NA","N"))</f>
        <v>NA</v>
      </c>
      <c r="I30" s="5">
        <v>38640000000</v>
      </c>
      <c r="J30" s="9">
        <v>1892</v>
      </c>
      <c r="K30" s="5" t="s">
        <v>1</v>
      </c>
      <c r="L30" t="s">
        <v>0</v>
      </c>
      <c r="M30" t="s">
        <v>1</v>
      </c>
      <c r="P30" s="15">
        <v>4125000</v>
      </c>
      <c r="Q30" t="s">
        <v>0</v>
      </c>
      <c r="R30" t="s">
        <v>0</v>
      </c>
      <c r="S30" t="s">
        <v>0</v>
      </c>
      <c r="T30" s="51" t="str">
        <f>IFERROR((Table1[[#This Row],[2019 Total Scope 1, 2 + 3]])/Table1[[#This Row],[2018 Total Scope 1, 2 + Scope 3]]-1,"NA")</f>
        <v>NA</v>
      </c>
      <c r="V30" s="12">
        <v>1830000</v>
      </c>
      <c r="W30" s="12">
        <v>3730000</v>
      </c>
      <c r="X30" s="12">
        <v>0</v>
      </c>
      <c r="Y30" s="12">
        <f t="shared" si="0"/>
        <v>5560000</v>
      </c>
      <c r="Z30" s="12" t="s">
        <v>401</v>
      </c>
      <c r="AA30" s="12" t="str">
        <f t="shared" si="1"/>
        <v/>
      </c>
      <c r="AB30" s="12">
        <v>1790000</v>
      </c>
      <c r="AC30" s="12">
        <v>3760000</v>
      </c>
      <c r="AD30" s="12">
        <v>0</v>
      </c>
      <c r="AE30" s="12">
        <f t="shared" si="2"/>
        <v>5550000</v>
      </c>
      <c r="AF30" s="12" t="s">
        <v>401</v>
      </c>
      <c r="AG30" s="12" t="str">
        <f t="shared" si="3"/>
        <v/>
      </c>
      <c r="AH30" s="12">
        <v>1780000</v>
      </c>
      <c r="AI30" s="12">
        <v>3760000</v>
      </c>
      <c r="AJ30" s="12">
        <v>0</v>
      </c>
      <c r="AK30" s="12">
        <f t="shared" si="4"/>
        <v>5540000</v>
      </c>
      <c r="AL30" s="12" t="s">
        <v>401</v>
      </c>
      <c r="AM30" s="12" t="str">
        <f t="shared" si="5"/>
        <v/>
      </c>
      <c r="AN30" s="12">
        <v>1600000</v>
      </c>
      <c r="AO30" s="12">
        <v>3800000</v>
      </c>
      <c r="AP30" s="12">
        <v>0</v>
      </c>
      <c r="AQ30" s="12">
        <f t="shared" si="6"/>
        <v>5400000</v>
      </c>
      <c r="AR30" s="12" t="s">
        <v>401</v>
      </c>
      <c r="AS30" s="12" t="str">
        <f t="shared" si="7"/>
        <v/>
      </c>
      <c r="AT30" s="12">
        <v>1700000</v>
      </c>
      <c r="AU30" s="12">
        <v>3800000</v>
      </c>
      <c r="AV30" s="12">
        <v>0</v>
      </c>
      <c r="AW30" s="12">
        <f t="shared" si="8"/>
        <v>5500000</v>
      </c>
      <c r="AX30" s="12" t="s">
        <v>401</v>
      </c>
      <c r="AY30" s="12" t="str">
        <f t="shared" si="9"/>
        <v/>
      </c>
      <c r="AZ30" t="s">
        <v>1</v>
      </c>
      <c r="BA30" s="18" t="s">
        <v>134</v>
      </c>
      <c r="BD30" s="42"/>
    </row>
    <row r="31" spans="1:56" ht="25.5">
      <c r="A31" s="29" t="s">
        <v>135</v>
      </c>
      <c r="B31" s="21" t="s">
        <v>135</v>
      </c>
      <c r="C31" s="4" t="s">
        <v>4</v>
      </c>
      <c r="D31" s="4" t="s">
        <v>136</v>
      </c>
      <c r="E31" s="5">
        <v>15693000000</v>
      </c>
      <c r="F31" s="5" t="str">
        <f>IF(ISNUMBER(Table1[[#This Row],[2019 Scope 3 ]]),IF(Table1[[#This Row],[Net Earnings/Income (2019)]]-k_cost*Table1[[#This Row],[2019 Total Scope 1, 2 + 3]]&lt;0,"Y","N"),"NA")</f>
        <v>Y</v>
      </c>
      <c r="G31" s="54" t="str">
        <f>IF(ISNUMBER(Table1[[#This Row],[2019 Scope 3 ]]),IF(k_cost*Table1[[#This Row],[2019 Total Scope 1, 2 + 3]]/Table1[[#This Row],[Size (2019 Revenue)]]&gt;k_rev_max,"Y","N"),"NA")</f>
        <v>Y</v>
      </c>
      <c r="H31" s="54" t="str">
        <f>IF(OR(Table1[[#This Row],[Net earnings post carbon price @85/t]]="Y",Table1[[#This Row],[Carbon costs in % revenue]] = "Y"),"Y",IF(OR(Table1[[#This Row],[Net earnings post carbon price @85/t]]="NA",Table1[[#This Row],[Carbon costs in % revenue]]="NA"),"NA","N"))</f>
        <v>Y</v>
      </c>
      <c r="I31" s="5">
        <v>2367000000</v>
      </c>
      <c r="J31" s="9">
        <v>1806</v>
      </c>
      <c r="K31" s="5" t="s">
        <v>1</v>
      </c>
      <c r="L31" t="s">
        <v>0</v>
      </c>
      <c r="M31" t="s">
        <v>1</v>
      </c>
      <c r="P31" s="15">
        <v>525000</v>
      </c>
      <c r="Q31" t="s">
        <v>0</v>
      </c>
      <c r="R31" t="s">
        <v>0</v>
      </c>
      <c r="S31" t="s">
        <v>0</v>
      </c>
      <c r="T31" s="51">
        <f>IFERROR((Table1[[#This Row],[2019 Total Scope 1, 2 + 3]])/Table1[[#This Row],[2018 Total Scope 1, 2 + Scope 3]]-1,"NA")</f>
        <v>7.4398967022606399E-3</v>
      </c>
      <c r="V31" s="12">
        <v>191000</v>
      </c>
      <c r="W31" s="12">
        <v>283000</v>
      </c>
      <c r="X31" s="12">
        <v>0</v>
      </c>
      <c r="Y31" s="12">
        <f t="shared" si="0"/>
        <v>474000</v>
      </c>
      <c r="Z31" s="12">
        <v>48680000</v>
      </c>
      <c r="AA31" s="12">
        <f t="shared" si="1"/>
        <v>49154000</v>
      </c>
      <c r="AB31" s="12">
        <v>190000</v>
      </c>
      <c r="AC31" s="12">
        <v>302000</v>
      </c>
      <c r="AD31" s="12">
        <v>0</v>
      </c>
      <c r="AE31" s="12">
        <f t="shared" si="2"/>
        <v>492000</v>
      </c>
      <c r="AF31" s="12">
        <v>48299000</v>
      </c>
      <c r="AG31" s="12">
        <f t="shared" si="3"/>
        <v>48791000</v>
      </c>
      <c r="AH31" s="12">
        <v>195000</v>
      </c>
      <c r="AI31" s="12">
        <v>316000</v>
      </c>
      <c r="AJ31" s="12">
        <v>0</v>
      </c>
      <c r="AK31" s="12">
        <f t="shared" si="4"/>
        <v>511000</v>
      </c>
      <c r="AL31" s="12">
        <v>51570000</v>
      </c>
      <c r="AM31" s="12">
        <f t="shared" si="5"/>
        <v>52081000</v>
      </c>
      <c r="AN31" s="12">
        <v>203000</v>
      </c>
      <c r="AO31" s="12">
        <v>324000</v>
      </c>
      <c r="AP31" s="12">
        <v>0</v>
      </c>
      <c r="AQ31" s="12">
        <f t="shared" si="6"/>
        <v>527000</v>
      </c>
      <c r="AR31" s="12">
        <v>54710000</v>
      </c>
      <c r="AS31" s="12">
        <f t="shared" si="7"/>
        <v>55237000</v>
      </c>
      <c r="AT31" s="12">
        <v>203000</v>
      </c>
      <c r="AU31" s="12">
        <v>389000</v>
      </c>
      <c r="AV31" s="12">
        <v>0</v>
      </c>
      <c r="AW31" s="12">
        <f t="shared" si="8"/>
        <v>592000</v>
      </c>
      <c r="AX31" s="12">
        <v>54155000</v>
      </c>
      <c r="AY31" s="12">
        <f t="shared" si="9"/>
        <v>54747000</v>
      </c>
      <c r="AZ31" t="s">
        <v>0</v>
      </c>
      <c r="BA31" s="18" t="s">
        <v>137</v>
      </c>
      <c r="BD31" s="42"/>
    </row>
    <row r="32" spans="1:56" ht="25.5">
      <c r="A32" s="29" t="s">
        <v>138</v>
      </c>
      <c r="B32" s="21" t="s">
        <v>138</v>
      </c>
      <c r="C32" t="s">
        <v>2</v>
      </c>
      <c r="D32" s="4" t="s">
        <v>124</v>
      </c>
      <c r="E32" s="5">
        <v>108942000000</v>
      </c>
      <c r="F32" s="5" t="str">
        <f>IF(ISNUMBER(Table1[[#This Row],[2019 Scope 3 ]]),IF(Table1[[#This Row],[Net Earnings/Income (2019)]]-k_cost*Table1[[#This Row],[2019 Total Scope 1, 2 + 3]]&lt;0,"Y","N"),"NA")</f>
        <v>NA</v>
      </c>
      <c r="G32" s="54" t="str">
        <f>IF(ISNUMBER(Table1[[#This Row],[2019 Scope 3 ]]),IF(k_cost*Table1[[#This Row],[2019 Total Scope 1, 2 + 3]]/Table1[[#This Row],[Size (2019 Revenue)]]&gt;k_rev_max,"Y","N"),"NA")</f>
        <v>NA</v>
      </c>
      <c r="H32" s="54" t="str">
        <f>IF(OR(Table1[[#This Row],[Net earnings post carbon price @85/t]]="Y",Table1[[#This Row],[Carbon costs in % revenue]] = "Y"),"Y",IF(OR(Table1[[#This Row],[Net earnings post carbon price @85/t]]="NA",Table1[[#This Row],[Carbon costs in % revenue]]="NA"),"NA","N"))</f>
        <v>NA</v>
      </c>
      <c r="I32" s="5">
        <v>13057000000</v>
      </c>
      <c r="J32" s="9">
        <v>1963</v>
      </c>
      <c r="K32" s="5" t="s">
        <v>1</v>
      </c>
      <c r="L32" t="s">
        <v>0</v>
      </c>
      <c r="M32" t="s">
        <v>0</v>
      </c>
      <c r="P32" t="s">
        <v>0</v>
      </c>
      <c r="Q32" t="s">
        <v>0</v>
      </c>
      <c r="R32" t="s">
        <v>0</v>
      </c>
      <c r="S32" t="s">
        <v>0</v>
      </c>
      <c r="T32" s="51" t="str">
        <f>IFERROR((Table1[[#This Row],[2019 Total Scope 1, 2 + 3]])/Table1[[#This Row],[2018 Total Scope 1, 2 + Scope 3]]-1,"NA")</f>
        <v>NA</v>
      </c>
      <c r="V32" s="12">
        <v>498455</v>
      </c>
      <c r="W32" s="12">
        <v>1496771</v>
      </c>
      <c r="X32" s="12"/>
      <c r="Y32" s="12">
        <f t="shared" si="0"/>
        <v>1995226</v>
      </c>
      <c r="Z32" s="12" t="s">
        <v>401</v>
      </c>
      <c r="AA32" s="12" t="str">
        <f t="shared" si="1"/>
        <v/>
      </c>
      <c r="AB32" s="12">
        <v>505483</v>
      </c>
      <c r="AC32" s="12">
        <v>1458463</v>
      </c>
      <c r="AD32" s="12"/>
      <c r="AE32" s="12">
        <f t="shared" si="2"/>
        <v>1963946</v>
      </c>
      <c r="AF32" s="12" t="s">
        <v>401</v>
      </c>
      <c r="AG32" s="12" t="str">
        <f t="shared" si="3"/>
        <v/>
      </c>
      <c r="AH32" s="12">
        <v>513316</v>
      </c>
      <c r="AI32" s="12">
        <v>1491298</v>
      </c>
      <c r="AJ32" s="12"/>
      <c r="AK32" s="12">
        <f t="shared" si="4"/>
        <v>2004614</v>
      </c>
      <c r="AL32" s="12" t="s">
        <v>401</v>
      </c>
      <c r="AM32" s="12" t="str">
        <f t="shared" si="5"/>
        <v/>
      </c>
      <c r="AN32" s="12">
        <v>364556</v>
      </c>
      <c r="AO32" s="12">
        <v>1380854</v>
      </c>
      <c r="AP32" s="12"/>
      <c r="AQ32" s="12">
        <f t="shared" si="6"/>
        <v>1745410</v>
      </c>
      <c r="AR32" s="12" t="s">
        <v>401</v>
      </c>
      <c r="AS32" s="12" t="str">
        <f t="shared" si="7"/>
        <v/>
      </c>
      <c r="AT32" s="12" t="s">
        <v>401</v>
      </c>
      <c r="AU32" s="12" t="s">
        <v>401</v>
      </c>
      <c r="AV32" s="12"/>
      <c r="AW32" s="12" t="str">
        <f t="shared" si="8"/>
        <v/>
      </c>
      <c r="AX32" s="12" t="s">
        <v>401</v>
      </c>
      <c r="AY32" s="12" t="str">
        <f t="shared" si="9"/>
        <v/>
      </c>
      <c r="AZ32" t="s">
        <v>0</v>
      </c>
      <c r="BA32" s="18" t="s">
        <v>422</v>
      </c>
      <c r="BB32" s="14" t="s">
        <v>410</v>
      </c>
      <c r="BD32" s="42"/>
    </row>
    <row r="33" spans="1:56" ht="25.5">
      <c r="A33" s="29" t="s">
        <v>139</v>
      </c>
      <c r="B33" s="29" t="s">
        <v>139</v>
      </c>
      <c r="C33" s="33" t="s">
        <v>5</v>
      </c>
      <c r="D33" s="4" t="s">
        <v>126</v>
      </c>
      <c r="E33" s="5">
        <v>36670000000</v>
      </c>
      <c r="F33" s="5" t="str">
        <f>IF(ISNUMBER(Table1[[#This Row],[2019 Scope 3 ]]),IF(Table1[[#This Row],[Net Earnings/Income (2019)]]-k_cost*Table1[[#This Row],[2019 Total Scope 1, 2 + 3]]&lt;0,"Y","N"),"NA")</f>
        <v>Y</v>
      </c>
      <c r="G33" s="54" t="str">
        <f>IF(ISNUMBER(Table1[[#This Row],[2019 Scope 3 ]]),IF(k_cost*Table1[[#This Row],[2019 Total Scope 1, 2 + 3]]/Table1[[#This Row],[Size (2019 Revenue)]]&gt;k_rev_max,"Y","N"),"NA")</f>
        <v>Y</v>
      </c>
      <c r="H33" s="54" t="str">
        <f>IF(OR(Table1[[#This Row],[Net earnings post carbon price @85/t]]="Y",Table1[[#This Row],[Carbon costs in % revenue]] = "Y"),"Y",IF(OR(Table1[[#This Row],[Net earnings post carbon price @85/t]]="NA",Table1[[#This Row],[Carbon costs in % revenue]]="NA"),"NA","N"))</f>
        <v>Y</v>
      </c>
      <c r="I33" s="5">
        <v>7189000000</v>
      </c>
      <c r="J33" s="9">
        <v>1875</v>
      </c>
      <c r="K33" s="5" t="s">
        <v>1</v>
      </c>
      <c r="L33" s="4" t="s">
        <v>1</v>
      </c>
      <c r="M33" t="s">
        <v>0</v>
      </c>
      <c r="N33">
        <v>2050</v>
      </c>
      <c r="O33">
        <v>2020</v>
      </c>
      <c r="P33" t="s">
        <v>0</v>
      </c>
      <c r="Q33" t="s">
        <v>0</v>
      </c>
      <c r="R33" t="s">
        <v>0</v>
      </c>
      <c r="S33" t="s">
        <v>0</v>
      </c>
      <c r="T33" s="51">
        <f>IFERROR((Table1[[#This Row],[2019 Total Scope 1, 2 + 3]])/Table1[[#This Row],[2018 Total Scope 1, 2 + Scope 3]]-1,"NA")</f>
        <v>7.7925455954955369E-2</v>
      </c>
      <c r="V33" s="12">
        <v>19500000</v>
      </c>
      <c r="W33" s="12">
        <v>1000000</v>
      </c>
      <c r="X33" s="12">
        <v>0</v>
      </c>
      <c r="Y33" s="12">
        <f t="shared" si="0"/>
        <v>20500000</v>
      </c>
      <c r="Z33" s="12">
        <v>173400000</v>
      </c>
      <c r="AA33" s="12">
        <f t="shared" si="1"/>
        <v>193900000</v>
      </c>
      <c r="AB33" s="12">
        <v>19700000</v>
      </c>
      <c r="AC33" s="12">
        <v>1100000</v>
      </c>
      <c r="AD33" s="12">
        <v>0</v>
      </c>
      <c r="AE33" s="12">
        <f t="shared" si="2"/>
        <v>20800000</v>
      </c>
      <c r="AF33" s="12">
        <f>Z33/1.09</f>
        <v>159082568.80733943</v>
      </c>
      <c r="AG33" s="12">
        <f t="shared" si="3"/>
        <v>179882568.80733943</v>
      </c>
      <c r="AH33" s="12">
        <v>19700000</v>
      </c>
      <c r="AI33" s="12">
        <v>1200000</v>
      </c>
      <c r="AJ33" s="12">
        <v>0</v>
      </c>
      <c r="AK33" s="12">
        <f t="shared" si="4"/>
        <v>20900000</v>
      </c>
      <c r="AL33" s="12" t="s">
        <v>401</v>
      </c>
      <c r="AM33" s="12" t="str">
        <f t="shared" si="5"/>
        <v/>
      </c>
      <c r="AN33" s="12">
        <v>25300000</v>
      </c>
      <c r="AO33" s="12">
        <v>1500000</v>
      </c>
      <c r="AP33" s="12">
        <v>0</v>
      </c>
      <c r="AQ33" s="12">
        <f t="shared" si="6"/>
        <v>26800000</v>
      </c>
      <c r="AR33" s="12" t="s">
        <v>401</v>
      </c>
      <c r="AS33" s="12" t="str">
        <f t="shared" si="7"/>
        <v/>
      </c>
      <c r="AT33" s="12">
        <v>24800000</v>
      </c>
      <c r="AU33" s="12">
        <v>1300000</v>
      </c>
      <c r="AV33" s="12">
        <v>0</v>
      </c>
      <c r="AW33" s="12">
        <f t="shared" si="8"/>
        <v>26100000</v>
      </c>
      <c r="AX33" s="12" t="s">
        <v>401</v>
      </c>
      <c r="AY33" s="12" t="str">
        <f t="shared" si="9"/>
        <v/>
      </c>
      <c r="AZ33" t="s">
        <v>1</v>
      </c>
      <c r="BA33" s="18" t="s">
        <v>140</v>
      </c>
      <c r="BB33" s="7" t="s">
        <v>423</v>
      </c>
      <c r="BD33" s="42"/>
    </row>
    <row r="34" spans="1:56" ht="25.5">
      <c r="A34" s="29" t="s">
        <v>141</v>
      </c>
      <c r="B34" s="21" t="s">
        <v>141</v>
      </c>
      <c r="C34" s="4" t="s">
        <v>4</v>
      </c>
      <c r="D34" s="4" t="s">
        <v>85</v>
      </c>
      <c r="E34" s="5">
        <v>152703000000</v>
      </c>
      <c r="F34" s="5" t="str">
        <f>IF(ISNUMBER(Table1[[#This Row],[2019 Scope 3 ]]),IF(Table1[[#This Row],[Net Earnings/Income (2019)]]-k_cost*Table1[[#This Row],[2019 Total Scope 1, 2 + 3]]&lt;0,"Y","N"),"NA")</f>
        <v>NA</v>
      </c>
      <c r="G34" s="54" t="str">
        <f>IF(ISNUMBER(Table1[[#This Row],[2019 Scope 3 ]]),IF(k_cost*Table1[[#This Row],[2019 Total Scope 1, 2 + 3]]/Table1[[#This Row],[Size (2019 Revenue)]]&gt;k_rev_max,"Y","N"),"NA")</f>
        <v>NA</v>
      </c>
      <c r="H34" s="54" t="str">
        <f>IF(OR(Table1[[#This Row],[Net earnings post carbon price @85/t]]="Y",Table1[[#This Row],[Carbon costs in % revenue]] = "Y"),"Y",IF(OR(Table1[[#This Row],[Net earnings post carbon price @85/t]]="NA",Table1[[#This Row],[Carbon costs in % revenue]]="NA"),"NA","N"))</f>
        <v>NA</v>
      </c>
      <c r="I34" s="5">
        <v>3659000000</v>
      </c>
      <c r="J34" s="9">
        <v>1976</v>
      </c>
      <c r="K34" s="5" t="s">
        <v>1</v>
      </c>
      <c r="L34" t="s">
        <v>0</v>
      </c>
      <c r="M34" t="s">
        <v>0</v>
      </c>
      <c r="P34" t="s">
        <v>0</v>
      </c>
      <c r="Q34" t="s">
        <v>0</v>
      </c>
      <c r="R34" t="s">
        <v>0</v>
      </c>
      <c r="S34" t="s">
        <v>0</v>
      </c>
      <c r="T34" s="51" t="str">
        <f>IFERROR((Table1[[#This Row],[2019 Total Scope 1, 2 + 3]])/Table1[[#This Row],[2018 Total Scope 1, 2 + Scope 3]]-1,"NA")</f>
        <v>NA</v>
      </c>
      <c r="V34" s="12">
        <v>1108562.25</v>
      </c>
      <c r="W34" s="12">
        <v>1473874.16</v>
      </c>
      <c r="X34" s="12"/>
      <c r="Y34" s="12">
        <f t="shared" ref="Y34:Y65" si="10">IFERROR(V34+W34-X34,"")</f>
        <v>2582436.41</v>
      </c>
      <c r="Z34" s="12" t="s">
        <v>401</v>
      </c>
      <c r="AA34" s="12" t="str">
        <f t="shared" ref="AA34:AA65" si="11">IFERROR(Y34+Z34,"")</f>
        <v/>
      </c>
      <c r="AB34" s="12">
        <v>1114966.57</v>
      </c>
      <c r="AC34" s="12">
        <v>1393452.84</v>
      </c>
      <c r="AD34" s="12"/>
      <c r="AE34" s="12">
        <f t="shared" ref="AE34:AE65" si="12">IFERROR(AB34+AC34-AD34,"")</f>
        <v>2508419.41</v>
      </c>
      <c r="AF34" s="12" t="s">
        <v>401</v>
      </c>
      <c r="AG34" s="12" t="str">
        <f t="shared" ref="AG34:AG65" si="13">IFERROR(AE34+AF34,"")</f>
        <v/>
      </c>
      <c r="AH34" s="12">
        <v>970138</v>
      </c>
      <c r="AI34" s="12">
        <v>1388491</v>
      </c>
      <c r="AJ34" s="12"/>
      <c r="AK34" s="12">
        <f t="shared" ref="AK34:AK65" si="14">IFERROR(AH34+AI34-AJ34,"")</f>
        <v>2358629</v>
      </c>
      <c r="AL34" s="12" t="s">
        <v>401</v>
      </c>
      <c r="AM34" s="12" t="str">
        <f t="shared" ref="AM34:AM65" si="15">IFERROR(AK34+AL34,"")</f>
        <v/>
      </c>
      <c r="AN34" s="12">
        <v>785682</v>
      </c>
      <c r="AO34" s="12">
        <v>1315361</v>
      </c>
      <c r="AP34" s="12"/>
      <c r="AQ34" s="12">
        <f t="shared" si="6"/>
        <v>2101043</v>
      </c>
      <c r="AR34" s="12" t="s">
        <v>401</v>
      </c>
      <c r="AS34" s="12" t="str">
        <f t="shared" ref="AS34:AS65" si="16">IFERROR(AQ34+AR34,"")</f>
        <v/>
      </c>
      <c r="AT34" s="12">
        <v>636727</v>
      </c>
      <c r="AU34" s="12">
        <v>1236737</v>
      </c>
      <c r="AV34" s="12"/>
      <c r="AW34" s="12">
        <f t="shared" si="8"/>
        <v>1873464</v>
      </c>
      <c r="AX34" s="12" t="s">
        <v>401</v>
      </c>
      <c r="AY34" s="12" t="str">
        <f t="shared" ref="AY34:AY65" si="17">IFERROR(AW34+AX34,"")</f>
        <v/>
      </c>
      <c r="AZ34" t="s">
        <v>0</v>
      </c>
      <c r="BA34" s="18" t="s">
        <v>142</v>
      </c>
      <c r="BB34" s="14" t="s">
        <v>411</v>
      </c>
      <c r="BD34" s="42"/>
    </row>
    <row r="35" spans="1:56">
      <c r="A35" s="21" t="s">
        <v>143</v>
      </c>
      <c r="B35" s="21" t="s">
        <v>391</v>
      </c>
      <c r="C35" s="21" t="s">
        <v>7</v>
      </c>
      <c r="D35" s="4" t="s">
        <v>85</v>
      </c>
      <c r="E35" s="5">
        <v>256776000000</v>
      </c>
      <c r="F35" s="5" t="str">
        <f>IF(ISNUMBER(Table1[[#This Row],[2019 Scope 3 ]]),IF(Table1[[#This Row],[Net Earnings/Income (2019)]]-k_cost*Table1[[#This Row],[2019 Total Scope 1, 2 + 3]]&lt;0,"Y","N"),"NA")</f>
        <v>N</v>
      </c>
      <c r="G35" s="54" t="str">
        <f>IF(ISNUMBER(Table1[[#This Row],[2019 Scope 3 ]]),IF(k_cost*Table1[[#This Row],[2019 Total Scope 1, 2 + 3]]/Table1[[#This Row],[Size (2019 Revenue)]]&gt;k_rev_max,"Y","N"),"NA")</f>
        <v>N</v>
      </c>
      <c r="H35" s="54" t="str">
        <f>IF(OR(Table1[[#This Row],[Net earnings post carbon price @85/t]]="Y",Table1[[#This Row],[Carbon costs in % revenue]] = "Y"),"Y",IF(OR(Table1[[#This Row],[Net earnings post carbon price @85/t]]="NA",Table1[[#This Row],[Carbon costs in % revenue]]="NA"),"NA","N"))</f>
        <v>N</v>
      </c>
      <c r="I35" s="5">
        <v>6634000000</v>
      </c>
      <c r="J35" s="9">
        <v>1963</v>
      </c>
      <c r="K35" s="5" t="s">
        <v>1</v>
      </c>
      <c r="L35" t="s">
        <v>0</v>
      </c>
      <c r="M35" t="s">
        <v>1</v>
      </c>
      <c r="P35" t="s">
        <v>0</v>
      </c>
      <c r="Q35" t="s">
        <v>0</v>
      </c>
      <c r="R35" t="s">
        <v>0</v>
      </c>
      <c r="S35" t="s">
        <v>0</v>
      </c>
      <c r="T35" s="51">
        <f>IFERROR((Table1[[#This Row],[2019 Total Scope 1, 2 + 3]])/Table1[[#This Row],[2018 Total Scope 1, 2 + Scope 3]]-1,"NA")</f>
        <v>0.25790198040724865</v>
      </c>
      <c r="V35" s="12">
        <v>157114</v>
      </c>
      <c r="W35" s="12">
        <v>1024682</v>
      </c>
      <c r="X35" s="12">
        <v>0</v>
      </c>
      <c r="Y35" s="12">
        <f t="shared" si="10"/>
        <v>1181796</v>
      </c>
      <c r="Z35" s="12">
        <f>14584739.12+1011729.83+51656.89+35236.88+106796.09+20400+46624.82</f>
        <v>15857183.630000001</v>
      </c>
      <c r="AA35" s="12">
        <f t="shared" si="11"/>
        <v>17038979.630000003</v>
      </c>
      <c r="AB35" s="12">
        <v>177347</v>
      </c>
      <c r="AC35" s="12">
        <v>1096724</v>
      </c>
      <c r="AD35" s="12">
        <v>0</v>
      </c>
      <c r="AE35" s="12">
        <f t="shared" si="12"/>
        <v>1274071</v>
      </c>
      <c r="AF35" s="12">
        <f>10986342.63+1091380.21+51836.83+31736+35855.55+20400+53932.12</f>
        <v>12271483.34</v>
      </c>
      <c r="AG35" s="12">
        <f t="shared" si="13"/>
        <v>13545554.34</v>
      </c>
      <c r="AH35" s="12">
        <v>206086</v>
      </c>
      <c r="AI35" s="12">
        <v>1131013</v>
      </c>
      <c r="AJ35" s="12">
        <v>0</v>
      </c>
      <c r="AK35" s="12">
        <f t="shared" si="14"/>
        <v>1337099</v>
      </c>
      <c r="AL35" s="12">
        <f>2400000+97000+31736+36636+53469</f>
        <v>2618841</v>
      </c>
      <c r="AM35" s="12">
        <f t="shared" si="15"/>
        <v>3955940</v>
      </c>
      <c r="AN35" s="12">
        <v>198055</v>
      </c>
      <c r="AO35" s="12">
        <v>1265480</v>
      </c>
      <c r="AP35" s="12"/>
      <c r="AQ35" s="12">
        <f t="shared" si="6"/>
        <v>1463535</v>
      </c>
      <c r="AR35" s="12">
        <f>2400000+119000+40280+50310</f>
        <v>2609590</v>
      </c>
      <c r="AS35" s="12">
        <f t="shared" si="16"/>
        <v>4073125</v>
      </c>
      <c r="AT35" s="12">
        <v>214156</v>
      </c>
      <c r="AU35" s="12">
        <v>1378660</v>
      </c>
      <c r="AV35" s="12"/>
      <c r="AW35" s="12">
        <f t="shared" si="8"/>
        <v>1592816</v>
      </c>
      <c r="AX35" s="12" t="s">
        <v>401</v>
      </c>
      <c r="AY35" s="12" t="str">
        <f t="shared" si="17"/>
        <v/>
      </c>
      <c r="AZ35" t="s">
        <v>0</v>
      </c>
      <c r="BA35" s="18" t="s">
        <v>144</v>
      </c>
      <c r="BD35" s="42"/>
    </row>
    <row r="36" spans="1:56" ht="25.5">
      <c r="A36" s="21" t="s">
        <v>145</v>
      </c>
      <c r="B36" s="21" t="s">
        <v>145</v>
      </c>
      <c r="C36" s="21" t="s">
        <v>7</v>
      </c>
      <c r="D36" s="4" t="s">
        <v>146</v>
      </c>
      <c r="E36" s="5">
        <v>17910000000</v>
      </c>
      <c r="F36" s="5" t="str">
        <f>IF(ISNUMBER(Table1[[#This Row],[2019 Scope 3 ]]),IF(Table1[[#This Row],[Net Earnings/Income (2019)]]-k_cost*Table1[[#This Row],[2019 Total Scope 1, 2 + 3]]&lt;0,"Y","N"),"NA")</f>
        <v>NA</v>
      </c>
      <c r="G36" s="54" t="str">
        <f>IF(ISNUMBER(Table1[[#This Row],[2019 Scope 3 ]]),IF(k_cost*Table1[[#This Row],[2019 Total Scope 1, 2 + 3]]/Table1[[#This Row],[Size (2019 Revenue)]]&gt;k_rev_max,"Y","N"),"NA")</f>
        <v>NA</v>
      </c>
      <c r="H36" s="54" t="str">
        <f>IF(OR(Table1[[#This Row],[Net earnings post carbon price @85/t]]="Y",Table1[[#This Row],[Carbon costs in % revenue]] = "Y"),"Y",IF(OR(Table1[[#This Row],[Net earnings post carbon price @85/t]]="NA",Table1[[#This Row],[Carbon costs in % revenue]]="NA"),"NA","N"))</f>
        <v>NA</v>
      </c>
      <c r="I36" s="5">
        <v>2940000000</v>
      </c>
      <c r="J36" s="9">
        <v>1969</v>
      </c>
      <c r="K36" s="5" t="s">
        <v>1</v>
      </c>
      <c r="L36" t="s">
        <v>0</v>
      </c>
      <c r="M36" t="s">
        <v>0</v>
      </c>
      <c r="P36" t="s">
        <v>0</v>
      </c>
      <c r="Q36" t="s">
        <v>0</v>
      </c>
      <c r="R36" t="s">
        <v>0</v>
      </c>
      <c r="S36" t="s">
        <v>0</v>
      </c>
      <c r="T36" s="51" t="str">
        <f>IFERROR((Table1[[#This Row],[2019 Total Scope 1, 2 + 3]])/Table1[[#This Row],[2018 Total Scope 1, 2 + Scope 3]]-1,"NA")</f>
        <v>NA</v>
      </c>
      <c r="V36" s="12" t="s">
        <v>401</v>
      </c>
      <c r="W36" s="12" t="s">
        <v>401</v>
      </c>
      <c r="X36" s="12"/>
      <c r="Y36" s="12" t="str">
        <f t="shared" si="10"/>
        <v/>
      </c>
      <c r="Z36" s="12" t="s">
        <v>401</v>
      </c>
      <c r="AA36" s="12" t="str">
        <f t="shared" si="11"/>
        <v/>
      </c>
      <c r="AB36" s="12">
        <f>7.13*E36/1000000</f>
        <v>127698.3</v>
      </c>
      <c r="AC36" s="12">
        <f>10.16*E36/1000000</f>
        <v>181965.6</v>
      </c>
      <c r="AD36" s="12">
        <v>0</v>
      </c>
      <c r="AE36" s="12">
        <f t="shared" si="12"/>
        <v>309663.90000000002</v>
      </c>
      <c r="AF36" s="12" t="s">
        <v>401</v>
      </c>
      <c r="AG36" s="12" t="str">
        <f t="shared" si="13"/>
        <v/>
      </c>
      <c r="AH36" s="12" t="s">
        <v>401</v>
      </c>
      <c r="AI36" s="12" t="s">
        <v>401</v>
      </c>
      <c r="AJ36" s="12"/>
      <c r="AK36" s="12" t="str">
        <f t="shared" si="14"/>
        <v/>
      </c>
      <c r="AL36" s="12" t="s">
        <v>401</v>
      </c>
      <c r="AM36" s="12" t="str">
        <f t="shared" si="15"/>
        <v/>
      </c>
      <c r="AN36" s="12" t="s">
        <v>401</v>
      </c>
      <c r="AO36" s="12" t="s">
        <v>401</v>
      </c>
      <c r="AP36" s="12"/>
      <c r="AQ36" s="12" t="str">
        <f t="shared" si="6"/>
        <v/>
      </c>
      <c r="AR36" s="12" t="s">
        <v>401</v>
      </c>
      <c r="AS36" s="12" t="str">
        <f t="shared" si="16"/>
        <v/>
      </c>
      <c r="AT36" s="12" t="s">
        <v>401</v>
      </c>
      <c r="AU36" s="12" t="s">
        <v>401</v>
      </c>
      <c r="AV36" s="12"/>
      <c r="AW36" s="12" t="str">
        <f t="shared" si="8"/>
        <v/>
      </c>
      <c r="AX36" s="12" t="s">
        <v>401</v>
      </c>
      <c r="AY36" s="12" t="str">
        <f t="shared" si="17"/>
        <v/>
      </c>
      <c r="AZ36" t="s">
        <v>0</v>
      </c>
      <c r="BA36" s="14" t="s">
        <v>424</v>
      </c>
      <c r="BD36" s="42"/>
    </row>
    <row r="37" spans="1:56" ht="51">
      <c r="A37" s="21" t="s">
        <v>147</v>
      </c>
      <c r="B37" s="21" t="s">
        <v>440</v>
      </c>
      <c r="C37" t="s">
        <v>9</v>
      </c>
      <c r="D37" s="4" t="s">
        <v>148</v>
      </c>
      <c r="E37" s="5">
        <v>42951000000</v>
      </c>
      <c r="F37" s="5" t="str">
        <f>IF(ISNUMBER(Table1[[#This Row],[2019 Scope 3 ]]),IF(Table1[[#This Row],[Net Earnings/Income (2019)]]-k_cost*Table1[[#This Row],[2019 Total Scope 1, 2 + 3]]&lt;0,"Y","N"),"NA")</f>
        <v>Y</v>
      </c>
      <c r="G37" s="54" t="str">
        <f>IF(ISNUMBER(Table1[[#This Row],[2019 Scope 3 ]]),IF(k_cost*Table1[[#This Row],[2019 Total Scope 1, 2 + 3]]/Table1[[#This Row],[Size (2019 Revenue)]]&gt;k_rev_max,"Y","N"),"NA")</f>
        <v>Y</v>
      </c>
      <c r="H37" s="54" t="str">
        <f>IF(OR(Table1[[#This Row],[Net earnings post carbon price @85/t]]="Y",Table1[[#This Row],[Carbon costs in % revenue]] = "Y"),"Y",IF(OR(Table1[[#This Row],[Net earnings post carbon price @85/t]]="NA",Table1[[#This Row],[Carbon costs in % revenue]]="NA"),"NA","N"))</f>
        <v>Y</v>
      </c>
      <c r="I37" s="11">
        <v>-1359000000</v>
      </c>
      <c r="J37" s="9">
        <v>1897</v>
      </c>
      <c r="K37" s="5" t="s">
        <v>1</v>
      </c>
      <c r="L37" t="s">
        <v>1</v>
      </c>
      <c r="M37" t="s">
        <v>0</v>
      </c>
      <c r="N37">
        <v>2050</v>
      </c>
      <c r="O37">
        <v>2020</v>
      </c>
      <c r="P37" t="s">
        <v>0</v>
      </c>
      <c r="Q37" t="s">
        <v>0</v>
      </c>
      <c r="R37" t="s">
        <v>0</v>
      </c>
      <c r="S37" t="s">
        <v>0</v>
      </c>
      <c r="T37" s="51">
        <f>IFERROR((Table1[[#This Row],[2019 Total Scope 1, 2 + 3]])/Table1[[#This Row],[2018 Total Scope 1, 2 + Scope 3]]-1,"NA")</f>
        <v>0.11831514934716503</v>
      </c>
      <c r="V37" s="12">
        <v>27600000</v>
      </c>
      <c r="W37" s="12">
        <v>6050000</v>
      </c>
      <c r="X37" s="12">
        <v>0</v>
      </c>
      <c r="Y37" s="12">
        <f t="shared" si="10"/>
        <v>33650000</v>
      </c>
      <c r="Z37" s="12">
        <v>91400000</v>
      </c>
      <c r="AA37" s="12">
        <f t="shared" si="11"/>
        <v>125050000</v>
      </c>
      <c r="AB37" s="12">
        <v>28700000</v>
      </c>
      <c r="AC37" s="12">
        <v>6820000</v>
      </c>
      <c r="AD37" s="12">
        <v>0</v>
      </c>
      <c r="AE37" s="12">
        <f t="shared" si="12"/>
        <v>35520000</v>
      </c>
      <c r="AF37" s="12">
        <v>76300000</v>
      </c>
      <c r="AG37" s="12">
        <f t="shared" si="13"/>
        <v>111820000</v>
      </c>
      <c r="AH37" s="12">
        <v>25760540</v>
      </c>
      <c r="AI37" s="12">
        <v>8814966</v>
      </c>
      <c r="AJ37" s="12"/>
      <c r="AK37" s="12">
        <f t="shared" si="14"/>
        <v>34575506</v>
      </c>
      <c r="AL37" s="12">
        <f>39700000+2400000+800000+2000000+260000+74000+200000+60000+2000000+3000000+24500000+200000+3700000</f>
        <v>78894000</v>
      </c>
      <c r="AM37" s="12">
        <f t="shared" si="15"/>
        <v>113469506</v>
      </c>
      <c r="AN37" s="12">
        <v>25570000</v>
      </c>
      <c r="AO37" s="12">
        <v>9840000</v>
      </c>
      <c r="AP37" s="12"/>
      <c r="AQ37" s="12">
        <f t="shared" si="6"/>
        <v>35410000</v>
      </c>
      <c r="AR37" s="12">
        <f>36500000+2400000+2500000+2000000+260000+820000+110000+60000+2000000+2900000+25000000+1800000</f>
        <v>76350000</v>
      </c>
      <c r="AS37" s="12">
        <f t="shared" si="16"/>
        <v>111760000</v>
      </c>
      <c r="AT37" s="12">
        <v>25240000</v>
      </c>
      <c r="AU37" s="12">
        <v>9710000</v>
      </c>
      <c r="AV37" s="12"/>
      <c r="AW37" s="12">
        <f t="shared" si="8"/>
        <v>34950000</v>
      </c>
      <c r="AX37" s="12">
        <f>48800000+2200000+10300000+3000000+150000+670000+100000+60000+3400000+7400000+20900000+3400000</f>
        <v>100380000</v>
      </c>
      <c r="AY37" s="12">
        <f t="shared" si="17"/>
        <v>135330000</v>
      </c>
      <c r="AZ37" t="s">
        <v>1</v>
      </c>
      <c r="BA37" s="18" t="s">
        <v>149</v>
      </c>
      <c r="BB37" s="16" t="s">
        <v>425</v>
      </c>
      <c r="BD37" s="42"/>
    </row>
    <row r="38" spans="1:56" ht="38.25">
      <c r="A38" s="21" t="s">
        <v>150</v>
      </c>
      <c r="B38" s="21" t="s">
        <v>150</v>
      </c>
      <c r="C38" t="s">
        <v>12</v>
      </c>
      <c r="D38" t="s">
        <v>12</v>
      </c>
      <c r="E38" s="5">
        <v>25079000000</v>
      </c>
      <c r="F38" s="5" t="str">
        <f>IF(ISNUMBER(Table1[[#This Row],[2019 Scope 3 ]]),IF(Table1[[#This Row],[Net Earnings/Income (2019)]]-k_cost*Table1[[#This Row],[2019 Total Scope 1, 2 + 3]]&lt;0,"Y","N"),"NA")</f>
        <v>Y</v>
      </c>
      <c r="G38" s="54" t="str">
        <f>IF(ISNUMBER(Table1[[#This Row],[2019 Scope 3 ]]),IF(k_cost*Table1[[#This Row],[2019 Total Scope 1, 2 + 3]]/Table1[[#This Row],[Size (2019 Revenue)]]&gt;k_rev_max,"Y","N"),"NA")</f>
        <v>Y</v>
      </c>
      <c r="H38" s="54" t="str">
        <f>IF(OR(Table1[[#This Row],[Net earnings post carbon price @85/t]]="Y",Table1[[#This Row],[Carbon costs in % revenue]] = "Y"),"Y",IF(OR(Table1[[#This Row],[Net earnings post carbon price @85/t]]="NA",Table1[[#This Row],[Carbon costs in % revenue]]="NA"),"NA","N"))</f>
        <v>Y</v>
      </c>
      <c r="I38" s="5">
        <v>3707000000</v>
      </c>
      <c r="J38" s="9">
        <v>1900</v>
      </c>
      <c r="K38" s="5" t="s">
        <v>1</v>
      </c>
      <c r="L38" t="s">
        <v>1</v>
      </c>
      <c r="M38" t="s">
        <v>0</v>
      </c>
      <c r="N38">
        <v>2050</v>
      </c>
      <c r="O38">
        <v>2019</v>
      </c>
      <c r="P38" t="s">
        <v>0</v>
      </c>
      <c r="Q38" t="s">
        <v>0</v>
      </c>
      <c r="R38" t="s">
        <v>0</v>
      </c>
      <c r="S38" t="s">
        <v>0</v>
      </c>
      <c r="T38" s="51">
        <f>IFERROR((Table1[[#This Row],[2019 Total Scope 1, 2 + 3]])/Table1[[#This Row],[2018 Total Scope 1, 2 + Scope 3]]-1,"NA")</f>
        <v>-5.749250366880343E-3</v>
      </c>
      <c r="V38" s="12">
        <v>93000000</v>
      </c>
      <c r="W38" s="12">
        <v>11122000</v>
      </c>
      <c r="X38" s="12">
        <v>0</v>
      </c>
      <c r="Y38" s="12">
        <f t="shared" si="10"/>
        <v>104122000</v>
      </c>
      <c r="Z38" s="12">
        <v>19811000</v>
      </c>
      <c r="AA38" s="12">
        <f t="shared" si="11"/>
        <v>123933000</v>
      </c>
      <c r="AB38" s="12">
        <v>96548800</v>
      </c>
      <c r="AC38" s="12">
        <v>23200</v>
      </c>
      <c r="AD38" s="12"/>
      <c r="AE38" s="12">
        <f t="shared" si="12"/>
        <v>96572000</v>
      </c>
      <c r="AF38" s="12">
        <f>10100000+17977642</f>
        <v>28077642</v>
      </c>
      <c r="AG38" s="12">
        <f t="shared" si="13"/>
        <v>124649642</v>
      </c>
      <c r="AH38" s="12">
        <v>95213400</v>
      </c>
      <c r="AI38" s="12">
        <v>0</v>
      </c>
      <c r="AJ38" s="12"/>
      <c r="AK38" s="12">
        <f t="shared" si="14"/>
        <v>95213400</v>
      </c>
      <c r="AL38" s="12">
        <f>15948080</f>
        <v>15948080</v>
      </c>
      <c r="AM38" s="12">
        <f t="shared" si="15"/>
        <v>111161480</v>
      </c>
      <c r="AN38" s="12">
        <v>96837200</v>
      </c>
      <c r="AO38" s="12">
        <v>0</v>
      </c>
      <c r="AP38" s="12"/>
      <c r="AQ38" s="12">
        <f t="shared" si="6"/>
        <v>96837200</v>
      </c>
      <c r="AR38" s="12">
        <f>16640509</f>
        <v>16640509</v>
      </c>
      <c r="AS38" s="12">
        <f t="shared" si="16"/>
        <v>113477709</v>
      </c>
      <c r="AT38" s="12">
        <v>100238000</v>
      </c>
      <c r="AU38" s="12">
        <v>0</v>
      </c>
      <c r="AV38" s="12"/>
      <c r="AW38" s="12">
        <f t="shared" si="8"/>
        <v>100238000</v>
      </c>
      <c r="AX38" s="12" t="s">
        <v>401</v>
      </c>
      <c r="AY38" s="12" t="str">
        <f t="shared" si="17"/>
        <v/>
      </c>
      <c r="AZ38" s="13" t="s">
        <v>0</v>
      </c>
      <c r="BA38" s="18" t="s">
        <v>151</v>
      </c>
      <c r="BB38" s="16" t="s">
        <v>426</v>
      </c>
      <c r="BD38" s="42"/>
    </row>
    <row r="39" spans="1:56" ht="76.5">
      <c r="A39" s="21" t="s">
        <v>152</v>
      </c>
      <c r="B39" s="21" t="s">
        <v>152</v>
      </c>
      <c r="C39" s="21" t="s">
        <v>9</v>
      </c>
      <c r="D39" s="4" t="s">
        <v>148</v>
      </c>
      <c r="E39" s="5">
        <v>21570000000</v>
      </c>
      <c r="F39" s="5" t="str">
        <f>IF(ISNUMBER(Table1[[#This Row],[2019 Scope 3 ]]),IF(Table1[[#This Row],[Net Earnings/Income (2019)]]-k_cost*Table1[[#This Row],[2019 Total Scope 1, 2 + 3]]&lt;0,"Y","N"),"NA")</f>
        <v>Y</v>
      </c>
      <c r="G39" s="54" t="str">
        <f>IF(ISNUMBER(Table1[[#This Row],[2019 Scope 3 ]]),IF(k_cost*Table1[[#This Row],[2019 Total Scope 1, 2 + 3]]/Table1[[#This Row],[Size (2019 Revenue)]]&gt;k_rev_max,"Y","N"),"NA")</f>
        <v>N</v>
      </c>
      <c r="H39" s="54" t="str">
        <f>IF(OR(Table1[[#This Row],[Net earnings post carbon price @85/t]]="Y",Table1[[#This Row],[Carbon costs in % revenue]] = "Y"),"Y",IF(OR(Table1[[#This Row],[Net earnings post carbon price @85/t]]="NA",Table1[[#This Row],[Carbon costs in % revenue]]="NA"),"NA","N"))</f>
        <v>Y</v>
      </c>
      <c r="I39" s="5">
        <v>498000000</v>
      </c>
      <c r="J39" s="9">
        <v>1802</v>
      </c>
      <c r="K39" s="5" t="s">
        <v>1</v>
      </c>
      <c r="L39" t="s">
        <v>1</v>
      </c>
      <c r="M39" t="s">
        <v>0</v>
      </c>
      <c r="N39">
        <v>2050</v>
      </c>
      <c r="O39">
        <v>2018</v>
      </c>
      <c r="P39" t="s">
        <v>0</v>
      </c>
      <c r="Q39" t="s">
        <v>0</v>
      </c>
      <c r="R39" t="s">
        <v>0</v>
      </c>
      <c r="S39" t="s">
        <v>0</v>
      </c>
      <c r="T39" s="51" t="str">
        <f>IFERROR((Table1[[#This Row],[2019 Total Scope 1, 2 + 3]])/Table1[[#This Row],[2018 Total Scope 1, 2 + Scope 3]]-1,"NA")</f>
        <v>NA</v>
      </c>
      <c r="V39" s="12">
        <v>3057000</v>
      </c>
      <c r="W39" s="12">
        <v>2323000</v>
      </c>
      <c r="X39" s="12">
        <v>0</v>
      </c>
      <c r="Y39" s="12">
        <f t="shared" si="10"/>
        <v>5380000</v>
      </c>
      <c r="Z39" s="12">
        <f>1207243+23037+72464</f>
        <v>1302744</v>
      </c>
      <c r="AA39" s="12">
        <f t="shared" si="11"/>
        <v>6682744</v>
      </c>
      <c r="AB39" s="12" t="s">
        <v>401</v>
      </c>
      <c r="AC39" s="12" t="s">
        <v>401</v>
      </c>
      <c r="AD39" s="12"/>
      <c r="AE39" s="12" t="str">
        <f t="shared" si="12"/>
        <v/>
      </c>
      <c r="AF39" s="12" t="s">
        <v>401</v>
      </c>
      <c r="AG39" s="12" t="str">
        <f t="shared" si="13"/>
        <v/>
      </c>
      <c r="AH39" s="12" t="s">
        <v>401</v>
      </c>
      <c r="AI39" s="12" t="s">
        <v>401</v>
      </c>
      <c r="AJ39" s="12"/>
      <c r="AK39" s="12" t="str">
        <f t="shared" si="14"/>
        <v/>
      </c>
      <c r="AL39" s="12" t="s">
        <v>401</v>
      </c>
      <c r="AM39" s="12" t="str">
        <f t="shared" si="15"/>
        <v/>
      </c>
      <c r="AN39" s="12" t="s">
        <v>401</v>
      </c>
      <c r="AO39" s="12" t="s">
        <v>401</v>
      </c>
      <c r="AP39" s="12"/>
      <c r="AQ39" s="12" t="str">
        <f t="shared" si="6"/>
        <v/>
      </c>
      <c r="AR39" s="12" t="s">
        <v>401</v>
      </c>
      <c r="AS39" s="12" t="str">
        <f t="shared" si="16"/>
        <v/>
      </c>
      <c r="AT39" s="12" t="s">
        <v>401</v>
      </c>
      <c r="AU39" s="12" t="s">
        <v>401</v>
      </c>
      <c r="AV39" s="12"/>
      <c r="AW39" s="12" t="str">
        <f t="shared" si="8"/>
        <v/>
      </c>
      <c r="AX39" s="12" t="s">
        <v>401</v>
      </c>
      <c r="AY39" s="12" t="str">
        <f t="shared" si="17"/>
        <v/>
      </c>
      <c r="AZ39" t="s">
        <v>1</v>
      </c>
      <c r="BA39" s="18" t="s">
        <v>153</v>
      </c>
      <c r="BD39" s="42"/>
    </row>
    <row r="40" spans="1:56">
      <c r="A40" s="21" t="s">
        <v>154</v>
      </c>
      <c r="B40" s="21" t="s">
        <v>154</v>
      </c>
      <c r="C40" s="21" t="s">
        <v>7</v>
      </c>
      <c r="D40" s="4" t="s">
        <v>69</v>
      </c>
      <c r="E40" s="5">
        <v>22320000000</v>
      </c>
      <c r="F40" s="5" t="str">
        <f>IF(ISNUMBER(Table1[[#This Row],[2019 Scope 3 ]]),IF(Table1[[#This Row],[Net Earnings/Income (2019)]]-k_cost*Table1[[#This Row],[2019 Total Scope 1, 2 + 3]]&lt;0,"Y","N"),"NA")</f>
        <v>N</v>
      </c>
      <c r="G40" s="54" t="str">
        <f>IF(ISNUMBER(Table1[[#This Row],[2019 Scope 3 ]]),IF(k_cost*Table1[[#This Row],[2019 Total Scope 1, 2 + 3]]/Table1[[#This Row],[Size (2019 Revenue)]]&gt;k_rev_max,"Y","N"),"NA")</f>
        <v>N</v>
      </c>
      <c r="H40" s="54" t="str">
        <f>IF(OR(Table1[[#This Row],[Net earnings post carbon price @85/t]]="Y",Table1[[#This Row],[Carbon costs in % revenue]] = "Y"),"Y",IF(OR(Table1[[#This Row],[Net earnings post carbon price @85/t]]="NA",Table1[[#This Row],[Carbon costs in % revenue]]="NA"),"NA","N"))</f>
        <v>N</v>
      </c>
      <c r="I40" s="5">
        <v>8318000000</v>
      </c>
      <c r="J40" s="9">
        <v>1876</v>
      </c>
      <c r="K40" s="5" t="s">
        <v>1</v>
      </c>
      <c r="L40" t="s">
        <v>0</v>
      </c>
      <c r="M40" t="s">
        <v>0</v>
      </c>
      <c r="P40">
        <v>700000</v>
      </c>
      <c r="Q40" t="s">
        <v>0</v>
      </c>
      <c r="R40" t="s">
        <v>0</v>
      </c>
      <c r="S40" t="s">
        <v>0</v>
      </c>
      <c r="T40" s="51">
        <f>IFERROR((Table1[[#This Row],[2019 Total Scope 1, 2 + 3]])/Table1[[#This Row],[2018 Total Scope 1, 2 + Scope 3]]-1,"NA")</f>
        <v>-1.4285714285714235E-2</v>
      </c>
      <c r="V40" s="12">
        <v>193000</v>
      </c>
      <c r="W40" s="12">
        <v>671000</v>
      </c>
      <c r="X40" s="12">
        <v>0</v>
      </c>
      <c r="Y40" s="12">
        <f t="shared" si="10"/>
        <v>864000</v>
      </c>
      <c r="Z40" s="12">
        <v>240000</v>
      </c>
      <c r="AA40" s="12">
        <f t="shared" si="11"/>
        <v>1104000</v>
      </c>
      <c r="AB40" s="12">
        <v>201000</v>
      </c>
      <c r="AC40" s="12">
        <v>654000</v>
      </c>
      <c r="AD40" s="12">
        <v>0</v>
      </c>
      <c r="AE40" s="12">
        <f t="shared" si="12"/>
        <v>855000</v>
      </c>
      <c r="AF40" s="12">
        <v>265000</v>
      </c>
      <c r="AG40" s="12">
        <f t="shared" si="13"/>
        <v>1120000</v>
      </c>
      <c r="AH40" s="12">
        <v>228000</v>
      </c>
      <c r="AI40" s="12">
        <v>636000</v>
      </c>
      <c r="AJ40" s="12">
        <v>0</v>
      </c>
      <c r="AK40" s="12">
        <f t="shared" si="14"/>
        <v>864000</v>
      </c>
      <c r="AL40" s="12">
        <v>232000</v>
      </c>
      <c r="AM40" s="12">
        <f t="shared" si="15"/>
        <v>1096000</v>
      </c>
      <c r="AN40" s="12">
        <v>216000</v>
      </c>
      <c r="AO40" s="12">
        <v>660000</v>
      </c>
      <c r="AP40" s="12">
        <v>0</v>
      </c>
      <c r="AQ40" s="12">
        <f t="shared" si="6"/>
        <v>876000</v>
      </c>
      <c r="AR40" s="12">
        <v>248000</v>
      </c>
      <c r="AS40" s="12">
        <f t="shared" si="16"/>
        <v>1124000</v>
      </c>
      <c r="AT40" s="12">
        <v>214000</v>
      </c>
      <c r="AU40" s="12">
        <v>713000</v>
      </c>
      <c r="AV40" s="12">
        <v>0</v>
      </c>
      <c r="AW40" s="12">
        <f t="shared" si="8"/>
        <v>927000</v>
      </c>
      <c r="AX40" s="12">
        <v>237000</v>
      </c>
      <c r="AY40" s="12">
        <f t="shared" si="17"/>
        <v>1164000</v>
      </c>
      <c r="AZ40" t="s">
        <v>0</v>
      </c>
      <c r="BA40" s="18" t="s">
        <v>155</v>
      </c>
      <c r="BD40" s="42"/>
    </row>
    <row r="41" spans="1:56" ht="25.5">
      <c r="A41" s="21" t="s">
        <v>156</v>
      </c>
      <c r="B41" s="21" t="s">
        <v>156</v>
      </c>
      <c r="C41" s="21" t="s">
        <v>8</v>
      </c>
      <c r="D41" s="4" t="s">
        <v>121</v>
      </c>
      <c r="E41" s="5">
        <v>18372000000</v>
      </c>
      <c r="F41" s="5" t="str">
        <f>IF(ISNUMBER(Table1[[#This Row],[2019 Scope 3 ]]),IF(Table1[[#This Row],[Net Earnings/Income (2019)]]-k_cost*Table1[[#This Row],[2019 Total Scope 1, 2 + 3]]&lt;0,"Y","N"),"NA")</f>
        <v>NA</v>
      </c>
      <c r="G41" s="54" t="str">
        <f>IF(ISNUMBER(Table1[[#This Row],[2019 Scope 3 ]]),IF(k_cost*Table1[[#This Row],[2019 Total Scope 1, 2 + 3]]/Table1[[#This Row],[Size (2019 Revenue)]]&gt;k_rev_max,"Y","N"),"NA")</f>
        <v>NA</v>
      </c>
      <c r="H41" s="54" t="str">
        <f>IF(OR(Table1[[#This Row],[Net earnings post carbon price @85/t]]="Y",Table1[[#This Row],[Carbon costs in % revenue]] = "Y"),"Y",IF(OR(Table1[[#This Row],[Net earnings post carbon price @85/t]]="NA",Table1[[#This Row],[Carbon costs in % revenue]]="NA"),"NA","N"))</f>
        <v>NA</v>
      </c>
      <c r="I41" s="5">
        <v>2306000000</v>
      </c>
      <c r="J41" s="9">
        <v>1890</v>
      </c>
      <c r="K41" t="s">
        <v>1</v>
      </c>
      <c r="L41" t="s">
        <v>0</v>
      </c>
      <c r="M41" t="s">
        <v>0</v>
      </c>
      <c r="P41" t="s">
        <v>0</v>
      </c>
      <c r="Q41" t="s">
        <v>0</v>
      </c>
      <c r="R41" t="s">
        <v>0</v>
      </c>
      <c r="S41" t="s">
        <v>0</v>
      </c>
      <c r="T41" s="51" t="str">
        <f>IFERROR((Table1[[#This Row],[2019 Total Scope 1, 2 + 3]])/Table1[[#This Row],[2018 Total Scope 1, 2 + Scope 3]]-1,"NA")</f>
        <v>NA</v>
      </c>
      <c r="V41" s="12">
        <v>163945</v>
      </c>
      <c r="W41" s="12">
        <v>699739</v>
      </c>
      <c r="X41" s="12">
        <v>0</v>
      </c>
      <c r="Y41" s="12">
        <f t="shared" si="10"/>
        <v>863684</v>
      </c>
      <c r="Z41" s="12" t="s">
        <v>401</v>
      </c>
      <c r="AA41" s="12" t="str">
        <f t="shared" si="11"/>
        <v/>
      </c>
      <c r="AB41" s="12">
        <v>166132</v>
      </c>
      <c r="AC41" s="12">
        <v>699423</v>
      </c>
      <c r="AD41" s="12">
        <v>0</v>
      </c>
      <c r="AE41" s="12">
        <f t="shared" si="12"/>
        <v>865555</v>
      </c>
      <c r="AF41" s="12" t="s">
        <v>401</v>
      </c>
      <c r="AG41" s="12" t="str">
        <f t="shared" si="13"/>
        <v/>
      </c>
      <c r="AH41" s="12" t="s">
        <v>401</v>
      </c>
      <c r="AI41" s="12" t="s">
        <v>401</v>
      </c>
      <c r="AJ41" s="12"/>
      <c r="AK41" s="12" t="str">
        <f t="shared" si="14"/>
        <v/>
      </c>
      <c r="AL41" s="12" t="s">
        <v>401</v>
      </c>
      <c r="AM41" s="12" t="str">
        <f t="shared" si="15"/>
        <v/>
      </c>
      <c r="AN41" s="12" t="s">
        <v>401</v>
      </c>
      <c r="AO41" s="12" t="s">
        <v>401</v>
      </c>
      <c r="AP41" s="12"/>
      <c r="AQ41" s="12" t="str">
        <f t="shared" si="6"/>
        <v/>
      </c>
      <c r="AR41" s="12" t="s">
        <v>401</v>
      </c>
      <c r="AS41" s="12" t="str">
        <f t="shared" si="16"/>
        <v/>
      </c>
      <c r="AT41" s="12" t="s">
        <v>401</v>
      </c>
      <c r="AU41" s="12" t="s">
        <v>401</v>
      </c>
      <c r="AV41" s="12"/>
      <c r="AW41" s="12" t="str">
        <f t="shared" si="8"/>
        <v/>
      </c>
      <c r="AX41" s="12" t="s">
        <v>401</v>
      </c>
      <c r="AY41" s="12" t="str">
        <f t="shared" si="17"/>
        <v/>
      </c>
      <c r="AZ41" t="s">
        <v>1</v>
      </c>
      <c r="BA41" s="18" t="s">
        <v>157</v>
      </c>
      <c r="BD41" s="42"/>
    </row>
    <row r="42" spans="1:56">
      <c r="A42" s="21" t="s">
        <v>158</v>
      </c>
      <c r="B42" s="21" t="s">
        <v>158</v>
      </c>
      <c r="C42" s="21" t="s">
        <v>12</v>
      </c>
      <c r="D42" t="s">
        <v>12</v>
      </c>
      <c r="E42" s="5">
        <v>34438000000</v>
      </c>
      <c r="F42" s="5" t="str">
        <f>IF(ISNUMBER(Table1[[#This Row],[2019 Scope 3 ]]),IF(Table1[[#This Row],[Net Earnings/Income (2019)]]-k_cost*Table1[[#This Row],[2019 Total Scope 1, 2 + 3]]&lt;0,"Y","N"),"NA")</f>
        <v>Y</v>
      </c>
      <c r="G42" s="54" t="str">
        <f>IF(ISNUMBER(Table1[[#This Row],[2019 Scope 3 ]]),IF(k_cost*Table1[[#This Row],[2019 Total Scope 1, 2 + 3]]/Table1[[#This Row],[Size (2019 Revenue)]]&gt;k_rev_max,"Y","N"),"NA")</f>
        <v>Y</v>
      </c>
      <c r="H42" s="54" t="str">
        <f>IF(OR(Table1[[#This Row],[Net earnings post carbon price @85/t]]="Y",Table1[[#This Row],[Carbon costs in % revenue]] = "Y"),"Y",IF(OR(Table1[[#This Row],[Net earnings post carbon price @85/t]]="NA",Table1[[#This Row],[Carbon costs in % revenue]]="NA"),"NA","N"))</f>
        <v>Y</v>
      </c>
      <c r="I42" s="5">
        <v>2936000000</v>
      </c>
      <c r="J42" s="9">
        <v>2000</v>
      </c>
      <c r="K42" t="s">
        <v>1</v>
      </c>
      <c r="L42" s="41" t="s">
        <v>0</v>
      </c>
      <c r="M42" s="4" t="s">
        <v>0</v>
      </c>
      <c r="O42" s="4"/>
      <c r="P42" s="4" t="s">
        <v>0</v>
      </c>
      <c r="Q42" s="4" t="s">
        <v>1</v>
      </c>
      <c r="R42" s="4" t="s">
        <v>0</v>
      </c>
      <c r="S42" s="4" t="s">
        <v>0</v>
      </c>
      <c r="T42" s="52">
        <f>IFERROR((Table1[[#This Row],[2019 Total Scope 1, 2 + 3]])/Table1[[#This Row],[2018 Total Scope 1, 2 + Scope 3]]-1,"NA")</f>
        <v>-7.8774224325639186E-2</v>
      </c>
      <c r="U42" s="4"/>
      <c r="V42" s="12">
        <v>9395000</v>
      </c>
      <c r="W42" s="12">
        <v>6103000</v>
      </c>
      <c r="X42" s="12">
        <f>W42-4914000</f>
        <v>1189000</v>
      </c>
      <c r="Y42" s="12">
        <f t="shared" si="10"/>
        <v>14309000</v>
      </c>
      <c r="Z42" s="12">
        <v>180732000</v>
      </c>
      <c r="AA42" s="12">
        <f t="shared" si="11"/>
        <v>195041000</v>
      </c>
      <c r="AB42" s="12">
        <v>9526000</v>
      </c>
      <c r="AC42" s="12">
        <v>6120000</v>
      </c>
      <c r="AD42" s="12">
        <f>AC42-4817000</f>
        <v>1303000</v>
      </c>
      <c r="AE42" s="12">
        <f t="shared" si="12"/>
        <v>14343000</v>
      </c>
      <c r="AF42" s="12">
        <v>197376000</v>
      </c>
      <c r="AG42" s="12">
        <f t="shared" si="13"/>
        <v>211719000</v>
      </c>
      <c r="AH42" s="12">
        <v>10200000</v>
      </c>
      <c r="AI42" s="12">
        <v>6521000</v>
      </c>
      <c r="AJ42" s="12">
        <f>AI42-5037000</f>
        <v>1484000</v>
      </c>
      <c r="AK42" s="12">
        <f t="shared" si="14"/>
        <v>15237000</v>
      </c>
      <c r="AL42" s="12">
        <v>195220000</v>
      </c>
      <c r="AM42" s="12">
        <f t="shared" si="15"/>
        <v>210457000</v>
      </c>
      <c r="AN42" s="12" t="s">
        <v>401</v>
      </c>
      <c r="AO42" s="12" t="s">
        <v>401</v>
      </c>
      <c r="AP42" s="12"/>
      <c r="AQ42" s="12" t="str">
        <f t="shared" si="6"/>
        <v/>
      </c>
      <c r="AR42" s="12" t="s">
        <v>401</v>
      </c>
      <c r="AS42" s="12" t="str">
        <f t="shared" si="16"/>
        <v/>
      </c>
      <c r="AT42" s="12" t="s">
        <v>401</v>
      </c>
      <c r="AU42" s="12" t="s">
        <v>401</v>
      </c>
      <c r="AV42" s="12"/>
      <c r="AW42" s="12" t="str">
        <f t="shared" si="8"/>
        <v/>
      </c>
      <c r="AX42" s="12" t="s">
        <v>401</v>
      </c>
      <c r="AY42" s="12" t="str">
        <f t="shared" si="17"/>
        <v/>
      </c>
      <c r="AZ42" s="4" t="s">
        <v>1</v>
      </c>
      <c r="BA42" s="14" t="s">
        <v>159</v>
      </c>
      <c r="BD42" s="42" t="s">
        <v>485</v>
      </c>
    </row>
    <row r="43" spans="1:56" ht="51">
      <c r="A43" s="21" t="s">
        <v>160</v>
      </c>
      <c r="B43" s="21" t="s">
        <v>160</v>
      </c>
      <c r="C43" s="21" t="s">
        <v>5</v>
      </c>
      <c r="D43" s="4" t="s">
        <v>126</v>
      </c>
      <c r="E43" s="5">
        <v>264938000000</v>
      </c>
      <c r="F43" s="5" t="str">
        <f>IF(ISNUMBER(Table1[[#This Row],[2019 Scope 3 ]]),IF(Table1[[#This Row],[Net Earnings/Income (2019)]]-k_cost*Table1[[#This Row],[2019 Total Scope 1, 2 + 3]]&lt;0,"Y","N"),"NA")</f>
        <v>NA</v>
      </c>
      <c r="G43" s="54" t="str">
        <f>IF(ISNUMBER(Table1[[#This Row],[2019 Scope 3 ]]),IF(k_cost*Table1[[#This Row],[2019 Total Scope 1, 2 + 3]]/Table1[[#This Row],[Size (2019 Revenue)]]&gt;k_rev_max,"Y","N"),"NA")</f>
        <v>NA</v>
      </c>
      <c r="H43" s="54" t="str">
        <f>IF(OR(Table1[[#This Row],[Net earnings post carbon price @85/t]]="Y",Table1[[#This Row],[Carbon costs in % revenue]] = "Y"),"Y",IF(OR(Table1[[#This Row],[Net earnings post carbon price @85/t]]="NA",Table1[[#This Row],[Carbon costs in % revenue]]="NA"),"NA","N"))</f>
        <v>NA</v>
      </c>
      <c r="I43" s="5">
        <v>14340000000</v>
      </c>
      <c r="J43" s="9">
        <v>1870</v>
      </c>
      <c r="K43" t="s">
        <v>1</v>
      </c>
      <c r="L43" s="4" t="s">
        <v>0</v>
      </c>
      <c r="M43" s="4" t="s">
        <v>0</v>
      </c>
      <c r="N43" s="4"/>
      <c r="O43" s="4"/>
      <c r="P43" s="4" t="s">
        <v>0</v>
      </c>
      <c r="Q43" s="4" t="s">
        <v>0</v>
      </c>
      <c r="R43" s="4" t="s">
        <v>0</v>
      </c>
      <c r="S43" s="4" t="s">
        <v>0</v>
      </c>
      <c r="T43" s="52" t="str">
        <f>IFERROR((Table1[[#This Row],[2019 Total Scope 1, 2 + 3]])/Table1[[#This Row],[2018 Total Scope 1, 2 + Scope 3]]-1,"NA")</f>
        <v>NA</v>
      </c>
      <c r="U43" s="4"/>
      <c r="V43" s="12" t="s">
        <v>401</v>
      </c>
      <c r="W43" s="12" t="s">
        <v>401</v>
      </c>
      <c r="X43" s="12"/>
      <c r="Y43" s="12" t="str">
        <f t="shared" si="10"/>
        <v/>
      </c>
      <c r="Z43" s="12" t="s">
        <v>401</v>
      </c>
      <c r="AA43" s="12" t="str">
        <f t="shared" si="11"/>
        <v/>
      </c>
      <c r="AB43" s="12">
        <v>116000000</v>
      </c>
      <c r="AC43" s="12">
        <v>8000000</v>
      </c>
      <c r="AD43" s="12">
        <v>0</v>
      </c>
      <c r="AE43" s="12">
        <f t="shared" si="12"/>
        <v>124000000</v>
      </c>
      <c r="AF43" s="12" t="s">
        <v>401</v>
      </c>
      <c r="AG43" s="12" t="str">
        <f t="shared" si="13"/>
        <v/>
      </c>
      <c r="AH43" s="12">
        <v>115000000</v>
      </c>
      <c r="AI43" s="12">
        <v>8000000</v>
      </c>
      <c r="AJ43" s="12">
        <v>0</v>
      </c>
      <c r="AK43" s="12">
        <f t="shared" si="14"/>
        <v>123000000</v>
      </c>
      <c r="AL43" s="12" t="s">
        <v>401</v>
      </c>
      <c r="AM43" s="12" t="str">
        <f t="shared" si="15"/>
        <v/>
      </c>
      <c r="AN43" s="12" t="s">
        <v>401</v>
      </c>
      <c r="AO43" s="12" t="s">
        <v>401</v>
      </c>
      <c r="AP43" s="12"/>
      <c r="AQ43" s="12">
        <v>125000000</v>
      </c>
      <c r="AR43" s="12" t="s">
        <v>401</v>
      </c>
      <c r="AS43" s="12" t="str">
        <f t="shared" si="16"/>
        <v/>
      </c>
      <c r="AT43" s="12" t="s">
        <v>401</v>
      </c>
      <c r="AU43" s="12" t="s">
        <v>401</v>
      </c>
      <c r="AV43" s="12"/>
      <c r="AW43" s="12">
        <v>122000000</v>
      </c>
      <c r="AX43" s="12" t="s">
        <v>401</v>
      </c>
      <c r="AY43" s="12" t="str">
        <f t="shared" si="17"/>
        <v/>
      </c>
      <c r="AZ43" s="4" t="s">
        <v>1</v>
      </c>
      <c r="BA43" s="14" t="s">
        <v>161</v>
      </c>
      <c r="BD43" s="42"/>
    </row>
    <row r="44" spans="1:56" ht="25.5">
      <c r="A44" s="21" t="s">
        <v>162</v>
      </c>
      <c r="B44" s="21" t="s">
        <v>403</v>
      </c>
      <c r="C44" s="21" t="s">
        <v>2</v>
      </c>
      <c r="D44" s="4" t="s">
        <v>79</v>
      </c>
      <c r="E44" s="5">
        <v>70697000000</v>
      </c>
      <c r="F44" s="5" t="str">
        <f>IF(ISNUMBER(Table1[[#This Row],[2019 Scope 3 ]]),IF(Table1[[#This Row],[Net Earnings/Income (2019)]]-k_cost*Table1[[#This Row],[2019 Total Scope 1, 2 + 3]]&lt;0,"Y","N"),"NA")</f>
        <v>NA</v>
      </c>
      <c r="G44" s="54" t="str">
        <f>IF(ISNUMBER(Table1[[#This Row],[2019 Scope 3 ]]),IF(k_cost*Table1[[#This Row],[2019 Total Scope 1, 2 + 3]]/Table1[[#This Row],[Size (2019 Revenue)]]&gt;k_rev_max,"Y","N"),"NA")</f>
        <v>NA</v>
      </c>
      <c r="H44" s="54" t="str">
        <f>IF(OR(Table1[[#This Row],[Net earnings post carbon price @85/t]]="Y",Table1[[#This Row],[Carbon costs in % revenue]] = "Y"),"Y",IF(OR(Table1[[#This Row],[Net earnings post carbon price @85/t]]="NA",Table1[[#This Row],[Carbon costs in % revenue]]="NA"),"NA","N"))</f>
        <v>NA</v>
      </c>
      <c r="I44" s="5">
        <v>18485000000</v>
      </c>
      <c r="J44" s="9">
        <v>2012</v>
      </c>
      <c r="K44" s="5" t="s">
        <v>1</v>
      </c>
      <c r="L44" s="4" t="s">
        <v>1</v>
      </c>
      <c r="M44" s="4" t="s">
        <v>1</v>
      </c>
      <c r="N44">
        <v>2030</v>
      </c>
      <c r="O44">
        <v>2020</v>
      </c>
      <c r="P44" s="4" t="s">
        <v>0</v>
      </c>
      <c r="Q44" s="4" t="s">
        <v>1</v>
      </c>
      <c r="R44" t="s">
        <v>1</v>
      </c>
      <c r="S44">
        <v>2020</v>
      </c>
      <c r="T44" s="51" t="str">
        <f>IFERROR((Table1[[#This Row],[2019 Total Scope 1, 2 + 3]])/Table1[[#This Row],[2018 Total Scope 1, 2 + Scope 3]]-1,"NA")</f>
        <v>NA</v>
      </c>
      <c r="V44" s="12">
        <v>207000</v>
      </c>
      <c r="W44" s="12">
        <v>44000</v>
      </c>
      <c r="X44" s="12">
        <v>0</v>
      </c>
      <c r="Y44" s="12">
        <f t="shared" si="10"/>
        <v>251000</v>
      </c>
      <c r="Z44" s="12" t="s">
        <v>401</v>
      </c>
      <c r="AA44" s="12" t="str">
        <f t="shared" si="11"/>
        <v/>
      </c>
      <c r="AB44" s="12">
        <v>314000</v>
      </c>
      <c r="AC44" s="12">
        <v>42000</v>
      </c>
      <c r="AD44" s="12">
        <v>0</v>
      </c>
      <c r="AE44" s="12">
        <f t="shared" si="12"/>
        <v>356000</v>
      </c>
      <c r="AF44" s="12" t="s">
        <v>401</v>
      </c>
      <c r="AG44" s="12" t="str">
        <f t="shared" si="13"/>
        <v/>
      </c>
      <c r="AH44" s="12">
        <v>568000</v>
      </c>
      <c r="AI44" s="12">
        <v>48800</v>
      </c>
      <c r="AJ44" s="12">
        <v>0</v>
      </c>
      <c r="AK44" s="12">
        <f t="shared" si="14"/>
        <v>616800</v>
      </c>
      <c r="AL44" s="12" t="s">
        <v>401</v>
      </c>
      <c r="AM44" s="12" t="str">
        <f t="shared" si="15"/>
        <v/>
      </c>
      <c r="AN44" s="12">
        <v>516000</v>
      </c>
      <c r="AO44" s="12">
        <v>39000</v>
      </c>
      <c r="AP44" s="12">
        <v>0</v>
      </c>
      <c r="AQ44" s="12">
        <f t="shared" ref="AQ44:AQ70" si="18">IFERROR(AN44+AO44-AP44,"")</f>
        <v>555000</v>
      </c>
      <c r="AR44" s="12" t="s">
        <v>401</v>
      </c>
      <c r="AS44" s="12" t="str">
        <f t="shared" si="16"/>
        <v/>
      </c>
      <c r="AT44" s="12">
        <v>423000</v>
      </c>
      <c r="AU44" s="12">
        <v>28000</v>
      </c>
      <c r="AV44" s="12">
        <v>0</v>
      </c>
      <c r="AW44" s="12">
        <f t="shared" ref="AW44:AW75" si="19">IFERROR(AT44+AU44-AV44,"")</f>
        <v>451000</v>
      </c>
      <c r="AX44" s="12" t="s">
        <v>401</v>
      </c>
      <c r="AY44" s="12" t="str">
        <f t="shared" si="17"/>
        <v/>
      </c>
      <c r="AZ44" s="4" t="s">
        <v>1</v>
      </c>
      <c r="BA44" s="18" t="s">
        <v>163</v>
      </c>
      <c r="BD44" s="42"/>
    </row>
    <row r="45" spans="1:56" ht="38.25">
      <c r="A45" s="21" t="s">
        <v>164</v>
      </c>
      <c r="B45" s="21" t="s">
        <v>164</v>
      </c>
      <c r="C45" s="21" t="s">
        <v>8</v>
      </c>
      <c r="D45" s="4" t="s">
        <v>165</v>
      </c>
      <c r="E45" s="5">
        <v>69693000000</v>
      </c>
      <c r="F45" s="5" t="str">
        <f>IF(ISNUMBER(Table1[[#This Row],[2019 Scope 3 ]]),IF(Table1[[#This Row],[Net Earnings/Income (2019)]]-k_cost*Table1[[#This Row],[2019 Total Scope 1, 2 + 3]]&lt;0,"Y","N"),"NA")</f>
        <v>Y</v>
      </c>
      <c r="G45" s="54" t="str">
        <f>IF(ISNUMBER(Table1[[#This Row],[2019 Scope 3 ]]),IF(k_cost*Table1[[#This Row],[2019 Total Scope 1, 2 + 3]]/Table1[[#This Row],[Size (2019 Revenue)]]&gt;k_rev_max,"Y","N"),"NA")</f>
        <v>N</v>
      </c>
      <c r="H45" s="54" t="str">
        <f>IF(OR(Table1[[#This Row],[Net earnings post carbon price @85/t]]="Y",Table1[[#This Row],[Carbon costs in % revenue]] = "Y"),"Y",IF(OR(Table1[[#This Row],[Net earnings post carbon price @85/t]]="NA",Table1[[#This Row],[Carbon costs in % revenue]]="NA"),"NA","N"))</f>
        <v>Y</v>
      </c>
      <c r="I45" s="5">
        <v>540000000</v>
      </c>
      <c r="J45" s="9">
        <v>1971</v>
      </c>
      <c r="K45" s="5" t="s">
        <v>1</v>
      </c>
      <c r="L45" s="4" t="s">
        <v>0</v>
      </c>
      <c r="M45" s="4" t="s">
        <v>0</v>
      </c>
      <c r="P45" t="s">
        <v>0</v>
      </c>
      <c r="Q45" t="s">
        <v>0</v>
      </c>
      <c r="R45" t="s">
        <v>0</v>
      </c>
      <c r="S45" t="s">
        <v>0</v>
      </c>
      <c r="T45" s="51">
        <f>IFERROR((Table1[[#This Row],[2019 Total Scope 1, 2 + 3]])/Table1[[#This Row],[2018 Total Scope 1, 2 + Scope 3]]-1,"NA")</f>
        <v>2.5133290245900719E-2</v>
      </c>
      <c r="V45" s="12">
        <v>15406173</v>
      </c>
      <c r="W45" s="12">
        <v>995988</v>
      </c>
      <c r="X45" s="12">
        <v>0</v>
      </c>
      <c r="Y45" s="12">
        <f t="shared" si="10"/>
        <v>16402161</v>
      </c>
      <c r="Z45" s="12">
        <v>3099293</v>
      </c>
      <c r="AA45" s="12">
        <f t="shared" si="11"/>
        <v>19501454</v>
      </c>
      <c r="AB45" s="12">
        <v>15152383</v>
      </c>
      <c r="AC45" s="12">
        <v>1049987</v>
      </c>
      <c r="AD45" s="12">
        <v>0</v>
      </c>
      <c r="AE45" s="12">
        <f t="shared" si="12"/>
        <v>16202370</v>
      </c>
      <c r="AF45" s="12">
        <v>2820965</v>
      </c>
      <c r="AG45" s="12">
        <f t="shared" si="13"/>
        <v>19023335</v>
      </c>
      <c r="AH45" s="12">
        <v>14053599</v>
      </c>
      <c r="AI45" s="12">
        <v>1094109</v>
      </c>
      <c r="AJ45" s="12">
        <v>0</v>
      </c>
      <c r="AK45" s="12">
        <f t="shared" si="14"/>
        <v>15147708</v>
      </c>
      <c r="AL45" s="12">
        <v>2642415</v>
      </c>
      <c r="AM45" s="12">
        <f t="shared" si="15"/>
        <v>17790123</v>
      </c>
      <c r="AN45" s="12">
        <v>13759865</v>
      </c>
      <c r="AO45" s="12">
        <v>958526</v>
      </c>
      <c r="AP45" s="12"/>
      <c r="AQ45" s="12">
        <f t="shared" si="18"/>
        <v>14718391</v>
      </c>
      <c r="AR45" s="12">
        <f>2150216+63944+186515</f>
        <v>2400675</v>
      </c>
      <c r="AS45" s="12">
        <f t="shared" si="16"/>
        <v>17119066</v>
      </c>
      <c r="AT45" s="12">
        <v>13751187</v>
      </c>
      <c r="AU45" s="12">
        <v>970981</v>
      </c>
      <c r="AV45" s="12"/>
      <c r="AW45" s="12">
        <f t="shared" si="19"/>
        <v>14722168</v>
      </c>
      <c r="AX45" s="12">
        <f>2023432+50897</f>
        <v>2074329</v>
      </c>
      <c r="AY45" s="12">
        <f t="shared" si="17"/>
        <v>16796497</v>
      </c>
      <c r="AZ45" s="4" t="s">
        <v>1</v>
      </c>
      <c r="BA45" s="18" t="s">
        <v>166</v>
      </c>
      <c r="BB45" s="30" t="s">
        <v>428</v>
      </c>
      <c r="BD45" s="42"/>
    </row>
    <row r="46" spans="1:56">
      <c r="A46" s="21" t="s">
        <v>167</v>
      </c>
      <c r="B46" s="21" t="s">
        <v>475</v>
      </c>
      <c r="C46" s="32" t="s">
        <v>3</v>
      </c>
      <c r="D46" s="4" t="s">
        <v>168</v>
      </c>
      <c r="E46" s="5">
        <v>155900000000</v>
      </c>
      <c r="F46" s="5" t="str">
        <f>IF(ISNUMBER(Table1[[#This Row],[2019 Scope 3 ]]),IF(Table1[[#This Row],[Net Earnings/Income (2019)]]-k_cost*Table1[[#This Row],[2019 Total Scope 1, 2 + 3]]&lt;0,"Y","N"),"NA")</f>
        <v>Y</v>
      </c>
      <c r="G46" s="54" t="str">
        <f>IF(ISNUMBER(Table1[[#This Row],[2019 Scope 3 ]]),IF(k_cost*Table1[[#This Row],[2019 Total Scope 1, 2 + 3]]/Table1[[#This Row],[Size (2019 Revenue)]]&gt;k_rev_max,"Y","N"),"NA")</f>
        <v>Y</v>
      </c>
      <c r="H46" s="54" t="str">
        <f>IF(OR(Table1[[#This Row],[Net earnings post carbon price @85/t]]="Y",Table1[[#This Row],[Carbon costs in % revenue]] = "Y"),"Y",IF(OR(Table1[[#This Row],[Net earnings post carbon price @85/t]]="NA",Table1[[#This Row],[Carbon costs in % revenue]]="NA"),"NA","N"))</f>
        <v>Y</v>
      </c>
      <c r="I46" s="5">
        <v>47000000</v>
      </c>
      <c r="J46" s="9">
        <v>1956</v>
      </c>
      <c r="K46" s="5" t="s">
        <v>1</v>
      </c>
      <c r="L46" t="s">
        <v>1</v>
      </c>
      <c r="M46" s="4" t="s">
        <v>0</v>
      </c>
      <c r="N46">
        <v>2050</v>
      </c>
      <c r="O46">
        <v>2020</v>
      </c>
      <c r="P46" t="s">
        <v>0</v>
      </c>
      <c r="Q46" t="s">
        <v>0</v>
      </c>
      <c r="R46" t="s">
        <v>1</v>
      </c>
      <c r="S46">
        <v>2035</v>
      </c>
      <c r="T46" s="51">
        <f>IFERROR((Table1[[#This Row],[2019 Total Scope 1, 2 + 3]])/Table1[[#This Row],[2018 Total Scope 1, 2 + Scope 3]]-1,"NA")</f>
        <v>0.34766110090144764</v>
      </c>
      <c r="V46" s="12">
        <v>1451947</v>
      </c>
      <c r="W46" s="12">
        <v>3068182</v>
      </c>
      <c r="X46" s="12"/>
      <c r="Y46" s="12">
        <f t="shared" si="10"/>
        <v>4520129</v>
      </c>
      <c r="Z46" s="12">
        <f>39676648+1280384+1066000+2102900+9297+61306+803387+134760000+1360000+1957800</f>
        <v>183077722</v>
      </c>
      <c r="AA46" s="12">
        <f t="shared" si="11"/>
        <v>187597851</v>
      </c>
      <c r="AB46" s="12">
        <v>1442963</v>
      </c>
      <c r="AC46" s="12">
        <v>3349808</v>
      </c>
      <c r="AD46" s="12">
        <v>0</v>
      </c>
      <c r="AE46" s="12">
        <f t="shared" si="12"/>
        <v>4792771</v>
      </c>
      <c r="AF46" s="12">
        <v>134409771</v>
      </c>
      <c r="AG46" s="12">
        <f t="shared" si="13"/>
        <v>139202542</v>
      </c>
      <c r="AH46" s="12">
        <v>1389740</v>
      </c>
      <c r="AI46" s="12">
        <v>3482444</v>
      </c>
      <c r="AJ46" s="12">
        <v>0</v>
      </c>
      <c r="AK46" s="12">
        <f t="shared" si="14"/>
        <v>4872184</v>
      </c>
      <c r="AL46" s="12" t="s">
        <v>401</v>
      </c>
      <c r="AM46" s="12" t="str">
        <f t="shared" si="15"/>
        <v/>
      </c>
      <c r="AN46" s="12">
        <v>1304409</v>
      </c>
      <c r="AO46" s="12">
        <v>3312936</v>
      </c>
      <c r="AP46" s="12"/>
      <c r="AQ46" s="12">
        <f t="shared" si="18"/>
        <v>4617345</v>
      </c>
      <c r="AR46" s="12">
        <f>13133594+2413+1502980+22295+57192+651750+665461+131000000</f>
        <v>147035685</v>
      </c>
      <c r="AS46" s="12">
        <f t="shared" si="16"/>
        <v>151653030</v>
      </c>
      <c r="AT46" s="12" t="s">
        <v>401</v>
      </c>
      <c r="AU46" s="12" t="s">
        <v>401</v>
      </c>
      <c r="AV46" s="12"/>
      <c r="AW46" s="12" t="str">
        <f t="shared" si="19"/>
        <v/>
      </c>
      <c r="AX46" s="12" t="s">
        <v>401</v>
      </c>
      <c r="AY46" s="12" t="str">
        <f t="shared" si="17"/>
        <v/>
      </c>
      <c r="AZ46" s="3" t="s">
        <v>169</v>
      </c>
      <c r="BA46" s="18" t="s">
        <v>170</v>
      </c>
      <c r="BD46" s="42"/>
    </row>
    <row r="47" spans="1:56">
      <c r="A47" s="21" t="s">
        <v>171</v>
      </c>
      <c r="B47" s="21" t="s">
        <v>171</v>
      </c>
      <c r="C47" s="21" t="s">
        <v>8</v>
      </c>
      <c r="D47" t="s">
        <v>8</v>
      </c>
      <c r="E47" s="5">
        <v>39350000000</v>
      </c>
      <c r="F47" s="5" t="str">
        <f>IF(ISNUMBER(Table1[[#This Row],[2019 Scope 3 ]]),IF(Table1[[#This Row],[Net Earnings/Income (2019)]]-k_cost*Table1[[#This Row],[2019 Total Scope 1, 2 + 3]]&lt;0,"Y","N"),"NA")</f>
        <v>NA</v>
      </c>
      <c r="G47" s="54" t="str">
        <f>IF(ISNUMBER(Table1[[#This Row],[2019 Scope 3 ]]),IF(k_cost*Table1[[#This Row],[2019 Total Scope 1, 2 + 3]]/Table1[[#This Row],[Size (2019 Revenue)]]&gt;k_rev_max,"Y","N"),"NA")</f>
        <v>NA</v>
      </c>
      <c r="H47" s="54" t="str">
        <f>IF(OR(Table1[[#This Row],[Net earnings post carbon price @85/t]]="Y",Table1[[#This Row],[Carbon costs in % revenue]] = "Y"),"Y",IF(OR(Table1[[#This Row],[Net earnings post carbon price @85/t]]="NA",Table1[[#This Row],[Carbon costs in % revenue]]="NA"),"NA","N"))</f>
        <v>NA</v>
      </c>
      <c r="I47" s="5">
        <v>3484000000</v>
      </c>
      <c r="J47" s="9">
        <v>1899</v>
      </c>
      <c r="K47" s="5" t="s">
        <v>1</v>
      </c>
      <c r="L47" t="s">
        <v>0</v>
      </c>
      <c r="M47" s="4" t="s">
        <v>0</v>
      </c>
      <c r="N47" s="4"/>
      <c r="O47" s="4"/>
      <c r="P47" s="4" t="s">
        <v>0</v>
      </c>
      <c r="Q47" s="4" t="s">
        <v>0</v>
      </c>
      <c r="R47" s="4" t="s">
        <v>0</v>
      </c>
      <c r="S47" s="4" t="s">
        <v>0</v>
      </c>
      <c r="T47" s="52" t="str">
        <f>IFERROR((Table1[[#This Row],[2019 Total Scope 1, 2 + 3]])/Table1[[#This Row],[2018 Total Scope 1, 2 + Scope 3]]-1,"NA")</f>
        <v>NA</v>
      </c>
      <c r="U47" s="4"/>
      <c r="V47" s="12">
        <v>317081</v>
      </c>
      <c r="W47" s="12">
        <v>445119</v>
      </c>
      <c r="X47" s="12"/>
      <c r="Y47" s="12">
        <f t="shared" si="10"/>
        <v>762200</v>
      </c>
      <c r="Z47" s="12" t="s">
        <v>401</v>
      </c>
      <c r="AA47" s="12" t="str">
        <f t="shared" si="11"/>
        <v/>
      </c>
      <c r="AB47" s="12">
        <v>306430</v>
      </c>
      <c r="AC47" s="12">
        <v>487731</v>
      </c>
      <c r="AD47" s="12"/>
      <c r="AE47" s="12">
        <f t="shared" si="12"/>
        <v>794161</v>
      </c>
      <c r="AF47" s="12" t="s">
        <v>401</v>
      </c>
      <c r="AG47" s="12" t="str">
        <f t="shared" si="13"/>
        <v/>
      </c>
      <c r="AH47" s="12">
        <v>305836</v>
      </c>
      <c r="AI47" s="12">
        <v>478428</v>
      </c>
      <c r="AJ47" s="12"/>
      <c r="AK47" s="12">
        <f t="shared" si="14"/>
        <v>784264</v>
      </c>
      <c r="AL47" s="12" t="s">
        <v>401</v>
      </c>
      <c r="AM47" s="12" t="str">
        <f t="shared" si="15"/>
        <v/>
      </c>
      <c r="AN47" s="12">
        <v>298276</v>
      </c>
      <c r="AO47" s="12">
        <v>523497</v>
      </c>
      <c r="AP47" s="12"/>
      <c r="AQ47" s="12">
        <f t="shared" si="18"/>
        <v>821773</v>
      </c>
      <c r="AR47" s="12" t="s">
        <v>401</v>
      </c>
      <c r="AS47" s="12" t="str">
        <f t="shared" si="16"/>
        <v/>
      </c>
      <c r="AT47" s="12" t="s">
        <v>401</v>
      </c>
      <c r="AU47" s="12" t="s">
        <v>401</v>
      </c>
      <c r="AV47" s="12"/>
      <c r="AW47" s="12" t="str">
        <f t="shared" si="19"/>
        <v/>
      </c>
      <c r="AX47" s="12" t="s">
        <v>401</v>
      </c>
      <c r="AY47" s="12" t="str">
        <f t="shared" si="17"/>
        <v/>
      </c>
      <c r="AZ47" s="4" t="s">
        <v>0</v>
      </c>
      <c r="BA47" s="18" t="s">
        <v>172</v>
      </c>
      <c r="BD47" s="42"/>
    </row>
    <row r="48" spans="1:56" ht="25.5">
      <c r="A48" s="21" t="s">
        <v>173</v>
      </c>
      <c r="B48" s="21" t="s">
        <v>392</v>
      </c>
      <c r="C48" s="21" t="s">
        <v>8</v>
      </c>
      <c r="D48" s="4" t="s">
        <v>121</v>
      </c>
      <c r="E48" s="5">
        <v>95214000000</v>
      </c>
      <c r="F48" s="5" t="str">
        <f>IF(ISNUMBER(Table1[[#This Row],[2019 Scope 3 ]]),IF(Table1[[#This Row],[Net Earnings/Income (2019)]]-k_cost*Table1[[#This Row],[2019 Total Scope 1, 2 + 3]]&lt;0,"Y","N"),"NA")</f>
        <v>Y</v>
      </c>
      <c r="G48" s="54" t="str">
        <f>IF(ISNUMBER(Table1[[#This Row],[2019 Scope 3 ]]),IF(k_cost*Table1[[#This Row],[2019 Total Scope 1, 2 + 3]]/Table1[[#This Row],[Size (2019 Revenue)]]&gt;k_rev_max,"Y","N"),"NA")</f>
        <v>N</v>
      </c>
      <c r="H48" s="54" t="str">
        <f>IF(OR(Table1[[#This Row],[Net earnings post carbon price @85/t]]="Y",Table1[[#This Row],[Carbon costs in % revenue]] = "Y"),"Y",IF(OR(Table1[[#This Row],[Net earnings post carbon price @85/t]]="NA",Table1[[#This Row],[Carbon costs in % revenue]]="NA"),"NA","N"))</f>
        <v>Y</v>
      </c>
      <c r="I48" s="11">
        <v>-5439000000</v>
      </c>
      <c r="J48" s="9">
        <v>1896</v>
      </c>
      <c r="K48" s="5" t="s">
        <v>1</v>
      </c>
      <c r="L48" t="s">
        <v>0</v>
      </c>
      <c r="M48" s="4" t="s">
        <v>0</v>
      </c>
      <c r="N48" s="4">
        <v>2030</v>
      </c>
      <c r="O48" s="4">
        <v>2020</v>
      </c>
      <c r="P48" s="4" t="s">
        <v>0</v>
      </c>
      <c r="Q48" s="4" t="s">
        <v>0</v>
      </c>
      <c r="R48" s="4" t="s">
        <v>0</v>
      </c>
      <c r="S48" s="4" t="s">
        <v>0</v>
      </c>
      <c r="T48" s="52">
        <f>IFERROR((Table1[[#This Row],[2019 Total Scope 1, 2 + 3]])/Table1[[#This Row],[2018 Total Scope 1, 2 + Scope 3]]-1,"NA")</f>
        <v>-0.40272373540856032</v>
      </c>
      <c r="U48" s="4"/>
      <c r="V48" s="12">
        <v>1000000</v>
      </c>
      <c r="W48" s="12">
        <v>1390000</v>
      </c>
      <c r="X48" s="12"/>
      <c r="Y48" s="12">
        <f t="shared" si="10"/>
        <v>2390000</v>
      </c>
      <c r="Z48" s="12">
        <v>680000</v>
      </c>
      <c r="AA48" s="12">
        <f t="shared" si="11"/>
        <v>3070000</v>
      </c>
      <c r="AB48" s="12">
        <v>1290000</v>
      </c>
      <c r="AC48" s="12">
        <v>1510000</v>
      </c>
      <c r="AD48" s="12">
        <v>0</v>
      </c>
      <c r="AE48" s="12">
        <f t="shared" si="12"/>
        <v>2800000</v>
      </c>
      <c r="AF48" s="12">
        <v>2340000</v>
      </c>
      <c r="AG48" s="12">
        <f t="shared" si="13"/>
        <v>5140000</v>
      </c>
      <c r="AH48" s="12">
        <v>1670000</v>
      </c>
      <c r="AI48" s="12">
        <v>2110000</v>
      </c>
      <c r="AJ48" s="12">
        <v>0</v>
      </c>
      <c r="AK48" s="12">
        <f t="shared" si="14"/>
        <v>3780000</v>
      </c>
      <c r="AL48" s="12">
        <v>2790000</v>
      </c>
      <c r="AM48" s="12">
        <f t="shared" si="15"/>
        <v>6570000</v>
      </c>
      <c r="AN48" s="12">
        <v>1621000</v>
      </c>
      <c r="AO48" s="12">
        <v>2207000</v>
      </c>
      <c r="AP48" s="12"/>
      <c r="AQ48" s="12">
        <f t="shared" si="18"/>
        <v>3828000</v>
      </c>
      <c r="AR48" s="12">
        <f>8000000</f>
        <v>8000000</v>
      </c>
      <c r="AS48" s="12">
        <f t="shared" si="16"/>
        <v>11828000</v>
      </c>
      <c r="AT48" s="12">
        <v>1961000</v>
      </c>
      <c r="AU48" s="12">
        <v>2572000</v>
      </c>
      <c r="AV48" s="12"/>
      <c r="AW48" s="12">
        <f t="shared" si="19"/>
        <v>4533000</v>
      </c>
      <c r="AX48" s="12">
        <f>11500000</f>
        <v>11500000</v>
      </c>
      <c r="AY48" s="12">
        <f t="shared" si="17"/>
        <v>16033000</v>
      </c>
      <c r="AZ48" s="4" t="s">
        <v>1</v>
      </c>
      <c r="BA48" s="14" t="s">
        <v>409</v>
      </c>
      <c r="BB48" s="4" t="s">
        <v>427</v>
      </c>
      <c r="BD48" s="42"/>
    </row>
    <row r="49" spans="1:56">
      <c r="A49" s="21" t="s">
        <v>174</v>
      </c>
      <c r="B49" s="21" t="s">
        <v>393</v>
      </c>
      <c r="C49" s="32" t="s">
        <v>3</v>
      </c>
      <c r="D49" s="4" t="s">
        <v>168</v>
      </c>
      <c r="E49" s="5">
        <v>137237000000</v>
      </c>
      <c r="F49" s="5" t="str">
        <f>IF(ISNUMBER(Table1[[#This Row],[2019 Scope 3 ]]),IF(Table1[[#This Row],[Net Earnings/Income (2019)]]-k_cost*Table1[[#This Row],[2019 Total Scope 1, 2 + 3]]&lt;0,"Y","N"),"NA")</f>
        <v>Y</v>
      </c>
      <c r="G49" s="54" t="str">
        <f>IF(ISNUMBER(Table1[[#This Row],[2019 Scope 3 ]]),IF(k_cost*Table1[[#This Row],[2019 Total Scope 1, 2 + 3]]/Table1[[#This Row],[Size (2019 Revenue)]]&gt;k_rev_max,"Y","N"),"NA")</f>
        <v>Y</v>
      </c>
      <c r="H49" s="54" t="str">
        <f>IF(OR(Table1[[#This Row],[Net earnings post carbon price @85/t]]="Y",Table1[[#This Row],[Carbon costs in % revenue]] = "Y"),"Y",IF(OR(Table1[[#This Row],[Net earnings post carbon price @85/t]]="NA",Table1[[#This Row],[Carbon costs in % revenue]]="NA"),"NA","N"))</f>
        <v>Y</v>
      </c>
      <c r="I49" s="5">
        <v>6581000000</v>
      </c>
      <c r="J49" s="9">
        <v>1908</v>
      </c>
      <c r="K49" s="5" t="s">
        <v>1</v>
      </c>
      <c r="L49" t="s">
        <v>1</v>
      </c>
      <c r="M49" s="4" t="s">
        <v>0</v>
      </c>
      <c r="N49">
        <v>2050</v>
      </c>
      <c r="O49">
        <v>2020</v>
      </c>
      <c r="P49" s="4" t="s">
        <v>0</v>
      </c>
      <c r="Q49" s="4" t="s">
        <v>0</v>
      </c>
      <c r="R49" t="s">
        <v>1</v>
      </c>
      <c r="S49">
        <v>2040</v>
      </c>
      <c r="T49" s="51">
        <f>IFERROR((Table1[[#This Row],[2019 Total Scope 1, 2 + 3]])/Table1[[#This Row],[2018 Total Scope 1, 2 + Scope 3]]-1,"NA")</f>
        <v>-5.8947427211291425E-2</v>
      </c>
      <c r="V49" s="12">
        <v>1589700</v>
      </c>
      <c r="W49" s="12">
        <v>3721875</v>
      </c>
      <c r="X49" s="12">
        <v>0</v>
      </c>
      <c r="Y49" s="12">
        <f t="shared" si="10"/>
        <v>5311575</v>
      </c>
      <c r="Z49" s="12">
        <v>249384317</v>
      </c>
      <c r="AA49" s="12">
        <f t="shared" si="11"/>
        <v>254695892</v>
      </c>
      <c r="AB49" s="12">
        <v>1763555</v>
      </c>
      <c r="AC49" s="12">
        <v>4322761</v>
      </c>
      <c r="AD49" s="12">
        <v>0</v>
      </c>
      <c r="AE49" s="12">
        <f t="shared" si="12"/>
        <v>6086316</v>
      </c>
      <c r="AF49" s="12">
        <v>264563698</v>
      </c>
      <c r="AG49" s="12">
        <f t="shared" si="13"/>
        <v>270650014</v>
      </c>
      <c r="AH49" s="12">
        <v>1848804</v>
      </c>
      <c r="AI49" s="12">
        <v>4302887</v>
      </c>
      <c r="AJ49" s="12"/>
      <c r="AK49" s="12">
        <f t="shared" si="14"/>
        <v>6151691</v>
      </c>
      <c r="AL49" s="12">
        <v>286310319</v>
      </c>
      <c r="AM49" s="12">
        <f t="shared" si="15"/>
        <v>292462010</v>
      </c>
      <c r="AN49" s="12">
        <v>1815001</v>
      </c>
      <c r="AO49" s="12">
        <v>5095809</v>
      </c>
      <c r="AP49" s="12"/>
      <c r="AQ49" s="12">
        <f t="shared" si="18"/>
        <v>6910810</v>
      </c>
      <c r="AR49" s="12">
        <v>320911918</v>
      </c>
      <c r="AS49" s="12">
        <f t="shared" si="16"/>
        <v>327822728</v>
      </c>
      <c r="AT49" s="12">
        <v>1863495</v>
      </c>
      <c r="AU49" s="12">
        <v>4763994</v>
      </c>
      <c r="AV49" s="12"/>
      <c r="AW49" s="12">
        <f t="shared" si="19"/>
        <v>6627489</v>
      </c>
      <c r="AX49" s="12" t="s">
        <v>401</v>
      </c>
      <c r="AY49" s="12" t="str">
        <f t="shared" si="17"/>
        <v/>
      </c>
      <c r="AZ49" s="4" t="s">
        <v>1</v>
      </c>
      <c r="BD49" s="42"/>
    </row>
    <row r="50" spans="1:56" ht="25.5">
      <c r="A50" s="21" t="s">
        <v>175</v>
      </c>
      <c r="B50" s="21" t="s">
        <v>398</v>
      </c>
      <c r="C50" s="32" t="s">
        <v>7</v>
      </c>
      <c r="D50" s="4" t="s">
        <v>69</v>
      </c>
      <c r="E50" s="5">
        <v>22449000000</v>
      </c>
      <c r="F50" s="5" t="str">
        <f>IF(ISNUMBER(Table1[[#This Row],[2019 Scope 3 ]]),IF(Table1[[#This Row],[Net Earnings/Income (2019)]]-k_cost*Table1[[#This Row],[2019 Total Scope 1, 2 + 3]]&lt;0,"Y","N"),"NA")</f>
        <v>N</v>
      </c>
      <c r="G50" s="54" t="str">
        <f>IF(ISNUMBER(Table1[[#This Row],[2019 Scope 3 ]]),IF(k_cost*Table1[[#This Row],[2019 Total Scope 1, 2 + 3]]/Table1[[#This Row],[Size (2019 Revenue)]]&gt;k_rev_max,"Y","N"),"NA")</f>
        <v>N</v>
      </c>
      <c r="H50" s="54" t="str">
        <f>IF(OR(Table1[[#This Row],[Net earnings post carbon price @85/t]]="Y",Table1[[#This Row],[Carbon costs in % revenue]] = "Y"),"Y",IF(OR(Table1[[#This Row],[Net earnings post carbon price @85/t]]="NA",Table1[[#This Row],[Carbon costs in % revenue]]="NA"),"NA","N"))</f>
        <v>N</v>
      </c>
      <c r="I50" s="5">
        <v>5386000000</v>
      </c>
      <c r="J50" s="9">
        <v>1992</v>
      </c>
      <c r="K50" s="5" t="s">
        <v>1</v>
      </c>
      <c r="L50" t="s">
        <v>0</v>
      </c>
      <c r="M50" s="4" t="s">
        <v>0</v>
      </c>
      <c r="P50">
        <v>69620</v>
      </c>
      <c r="Q50" s="4" t="s">
        <v>0</v>
      </c>
      <c r="R50" s="4" t="s">
        <v>0</v>
      </c>
      <c r="S50" s="4" t="s">
        <v>0</v>
      </c>
      <c r="T50" s="52">
        <f>IFERROR((Table1[[#This Row],[2019 Total Scope 1, 2 + 3]])/Table1[[#This Row],[2018 Total Scope 1, 2 + Scope 3]]-1,"NA")</f>
        <v>9.3790114716576518</v>
      </c>
      <c r="U50" s="4"/>
      <c r="V50" s="12">
        <v>52019</v>
      </c>
      <c r="W50" s="12">
        <v>21716</v>
      </c>
      <c r="X50" s="12"/>
      <c r="Y50" s="12">
        <f t="shared" si="10"/>
        <v>73735</v>
      </c>
      <c r="Z50" s="12">
        <f>1229479+95700+25250+17003+4810+40399+23656</f>
        <v>1436297</v>
      </c>
      <c r="AA50" s="12">
        <f t="shared" si="11"/>
        <v>1510032</v>
      </c>
      <c r="AB50" s="12">
        <v>47256</v>
      </c>
      <c r="AC50" s="12">
        <v>26647</v>
      </c>
      <c r="AD50" s="12"/>
      <c r="AE50" s="12">
        <f t="shared" si="12"/>
        <v>73903</v>
      </c>
      <c r="AF50" s="12">
        <f>22519+10881+38186</f>
        <v>71586</v>
      </c>
      <c r="AG50" s="12">
        <f t="shared" si="13"/>
        <v>145489</v>
      </c>
      <c r="AH50" s="12">
        <v>46330</v>
      </c>
      <c r="AI50" s="12">
        <v>46217</v>
      </c>
      <c r="AJ50" s="12">
        <v>0</v>
      </c>
      <c r="AK50" s="12">
        <f t="shared" si="14"/>
        <v>92547</v>
      </c>
      <c r="AL50" s="12">
        <v>33056</v>
      </c>
      <c r="AM50" s="12">
        <f t="shared" si="15"/>
        <v>125603</v>
      </c>
      <c r="AN50" s="12">
        <v>44531</v>
      </c>
      <c r="AO50" s="12">
        <v>48296</v>
      </c>
      <c r="AP50" s="12">
        <v>0</v>
      </c>
      <c r="AQ50" s="12">
        <f t="shared" si="18"/>
        <v>92827</v>
      </c>
      <c r="AR50" s="12">
        <v>32003</v>
      </c>
      <c r="AS50" s="12">
        <f t="shared" si="16"/>
        <v>124830</v>
      </c>
      <c r="AT50" s="12" t="s">
        <v>401</v>
      </c>
      <c r="AU50" s="12" t="s">
        <v>401</v>
      </c>
      <c r="AV50" s="12"/>
      <c r="AW50" s="12" t="str">
        <f t="shared" si="19"/>
        <v/>
      </c>
      <c r="AX50" s="12" t="s">
        <v>401</v>
      </c>
      <c r="AY50" s="12" t="str">
        <f t="shared" si="17"/>
        <v/>
      </c>
      <c r="AZ50" s="4" t="s">
        <v>0</v>
      </c>
      <c r="BA50" s="18" t="s">
        <v>176</v>
      </c>
      <c r="BD50" s="42"/>
    </row>
    <row r="51" spans="1:56" ht="114.75">
      <c r="A51" s="21" t="s">
        <v>177</v>
      </c>
      <c r="B51" s="21" t="s">
        <v>464</v>
      </c>
      <c r="C51" s="32" t="s">
        <v>6</v>
      </c>
      <c r="D51" s="4" t="s">
        <v>109</v>
      </c>
      <c r="E51" s="5">
        <v>36546000000</v>
      </c>
      <c r="F51" s="5" t="str">
        <f>IF(ISNUMBER(Table1[[#This Row],[2019 Scope 3 ]]),IF(Table1[[#This Row],[Net Earnings/Income (2019)]]-k_cost*Table1[[#This Row],[2019 Total Scope 1, 2 + 3]]&lt;0,"Y","N"),"NA")</f>
        <v>N</v>
      </c>
      <c r="G51" s="54" t="str">
        <f>IF(ISNUMBER(Table1[[#This Row],[2019 Scope 3 ]]),IF(k_cost*Table1[[#This Row],[2019 Total Scope 1, 2 + 3]]/Table1[[#This Row],[Size (2019 Revenue)]]&gt;k_rev_max,"Y","N"),"NA")</f>
        <v>N</v>
      </c>
      <c r="H51" s="54" t="str">
        <f>IF(OR(Table1[[#This Row],[Net earnings post carbon price @85/t]]="Y",Table1[[#This Row],[Carbon costs in % revenue]] = "Y"),"Y",IF(OR(Table1[[#This Row],[Net earnings post carbon price @85/t]]="NA",Table1[[#This Row],[Carbon costs in % revenue]]="NA"),"NA","N"))</f>
        <v>N</v>
      </c>
      <c r="I51" s="5">
        <v>8470000000</v>
      </c>
      <c r="J51" s="9">
        <v>1999</v>
      </c>
      <c r="K51" s="5" t="s">
        <v>1</v>
      </c>
      <c r="L51" t="s">
        <v>1</v>
      </c>
      <c r="M51" t="s">
        <v>0</v>
      </c>
      <c r="N51">
        <v>2015</v>
      </c>
      <c r="O51">
        <v>2009</v>
      </c>
      <c r="Q51" t="s">
        <v>1</v>
      </c>
      <c r="R51" t="s">
        <v>1</v>
      </c>
      <c r="S51">
        <v>2020</v>
      </c>
      <c r="T51" s="51">
        <f>IFERROR((Table1[[#This Row],[2019 Total Scope 1, 2 + 3]])/Table1[[#This Row],[2018 Total Scope 1, 2 + Scope 3]]-1,"NA")</f>
        <v>-6.2518629800527026E-2</v>
      </c>
      <c r="V51" s="12">
        <v>12673</v>
      </c>
      <c r="W51" s="12">
        <v>9109</v>
      </c>
      <c r="X51" s="12">
        <v>0</v>
      </c>
      <c r="Y51" s="12">
        <f t="shared" si="10"/>
        <v>21782</v>
      </c>
      <c r="Z51" s="12">
        <v>135473</v>
      </c>
      <c r="AA51" s="12">
        <f t="shared" si="11"/>
        <v>157255</v>
      </c>
      <c r="AB51" s="12">
        <v>11565</v>
      </c>
      <c r="AC51" s="12">
        <v>16284</v>
      </c>
      <c r="AD51" s="12"/>
      <c r="AE51" s="12">
        <f t="shared" si="12"/>
        <v>27849</v>
      </c>
      <c r="AF51" s="12">
        <v>139893</v>
      </c>
      <c r="AG51" s="12">
        <f t="shared" si="13"/>
        <v>167742</v>
      </c>
      <c r="AH51" s="12">
        <v>11231</v>
      </c>
      <c r="AI51" s="12">
        <v>18410</v>
      </c>
      <c r="AJ51" s="12"/>
      <c r="AK51" s="12">
        <f t="shared" si="14"/>
        <v>29641</v>
      </c>
      <c r="AL51" s="12">
        <v>120001</v>
      </c>
      <c r="AM51" s="12">
        <f t="shared" si="15"/>
        <v>149642</v>
      </c>
      <c r="AN51" s="12">
        <v>11520</v>
      </c>
      <c r="AO51" s="12">
        <v>34179</v>
      </c>
      <c r="AP51" s="12"/>
      <c r="AQ51" s="12">
        <f t="shared" si="18"/>
        <v>45699</v>
      </c>
      <c r="AR51" s="12">
        <v>102266</v>
      </c>
      <c r="AS51" s="12">
        <f t="shared" si="16"/>
        <v>147965</v>
      </c>
      <c r="AT51" s="12">
        <v>11900</v>
      </c>
      <c r="AU51" s="12">
        <v>51690</v>
      </c>
      <c r="AV51" s="12"/>
      <c r="AW51" s="12">
        <f t="shared" si="19"/>
        <v>63590</v>
      </c>
      <c r="AX51" s="12">
        <v>148918</v>
      </c>
      <c r="AY51" s="12">
        <f t="shared" si="17"/>
        <v>212508</v>
      </c>
      <c r="AZ51" s="30" t="s">
        <v>1</v>
      </c>
      <c r="BA51" s="14" t="s">
        <v>178</v>
      </c>
      <c r="BB51" s="4" t="s">
        <v>427</v>
      </c>
      <c r="BC51" s="3" t="s">
        <v>179</v>
      </c>
      <c r="BD51" s="42"/>
    </row>
    <row r="52" spans="1:56" ht="165.75">
      <c r="A52" s="21" t="s">
        <v>180</v>
      </c>
      <c r="B52" s="21" t="s">
        <v>180</v>
      </c>
      <c r="C52" s="32" t="s">
        <v>3</v>
      </c>
      <c r="D52" s="4" t="s">
        <v>85</v>
      </c>
      <c r="E52" s="11">
        <v>110200000000</v>
      </c>
      <c r="F52" s="5" t="str">
        <f>IF(ISNUMBER(Table1[[#This Row],[2019 Scope 3 ]]),IF(Table1[[#This Row],[Net Earnings/Income (2019)]]-k_cost*Table1[[#This Row],[2019 Total Scope 1, 2 + 3]]&lt;0,"Y","N"),"NA")</f>
        <v>Y</v>
      </c>
      <c r="G52" s="54" t="str">
        <f>IF(ISNUMBER(Table1[[#This Row],[2019 Scope 3 ]]),IF(k_cost*Table1[[#This Row],[2019 Total Scope 1, 2 + 3]]/Table1[[#This Row],[Size (2019 Revenue)]]&gt;k_rev_max,"Y","N"),"NA")</f>
        <v>Y</v>
      </c>
      <c r="H52" s="54" t="str">
        <f>IF(OR(Table1[[#This Row],[Net earnings post carbon price @85/t]]="Y",Table1[[#This Row],[Carbon costs in % revenue]] = "Y"),"Y",IF(OR(Table1[[#This Row],[Net earnings post carbon price @85/t]]="NA",Table1[[#This Row],[Carbon costs in % revenue]]="NA"),"NA","N"))</f>
        <v>Y</v>
      </c>
      <c r="I52" s="11">
        <v>11240000000</v>
      </c>
      <c r="J52" s="10">
        <v>1981</v>
      </c>
      <c r="K52" t="s">
        <v>1</v>
      </c>
      <c r="L52" t="s">
        <v>0</v>
      </c>
      <c r="M52" s="3" t="s">
        <v>0</v>
      </c>
      <c r="P52" s="3" t="s">
        <v>181</v>
      </c>
      <c r="Q52" t="s">
        <v>0</v>
      </c>
      <c r="R52" t="s">
        <v>0</v>
      </c>
      <c r="S52" s="4" t="s">
        <v>0</v>
      </c>
      <c r="T52" s="52">
        <f>IFERROR((Table1[[#This Row],[2019 Total Scope 1, 2 + 3]])/Table1[[#This Row],[2018 Total Scope 1, 2 + Scope 3]]-1,"NA")</f>
        <v>-0.35458591999082634</v>
      </c>
      <c r="U52" s="4"/>
      <c r="V52" s="12">
        <v>554317</v>
      </c>
      <c r="W52" s="12">
        <v>1302648</v>
      </c>
      <c r="X52" s="12"/>
      <c r="Y52" s="12">
        <f t="shared" si="10"/>
        <v>1856965</v>
      </c>
      <c r="Z52" s="12">
        <f>44487507+420000+2665080+564400+156500611</f>
        <v>204637598</v>
      </c>
      <c r="AA52" s="12">
        <f t="shared" si="11"/>
        <v>206494563</v>
      </c>
      <c r="AB52" s="12">
        <v>516246</v>
      </c>
      <c r="AC52" s="12">
        <v>1549876</v>
      </c>
      <c r="AD52" s="12"/>
      <c r="AE52" s="12">
        <f t="shared" si="12"/>
        <v>2066122</v>
      </c>
      <c r="AF52" s="12">
        <f>54000000+440000+2865590+569500+260000000</f>
        <v>317875090</v>
      </c>
      <c r="AG52" s="12">
        <f t="shared" si="13"/>
        <v>319941212</v>
      </c>
      <c r="AH52" s="12">
        <v>433633</v>
      </c>
      <c r="AI52" s="12">
        <v>1681640</v>
      </c>
      <c r="AJ52" s="12"/>
      <c r="AK52" s="12">
        <f t="shared" si="14"/>
        <v>2115273</v>
      </c>
      <c r="AL52" s="12">
        <v>3791806</v>
      </c>
      <c r="AM52" s="12">
        <f t="shared" si="15"/>
        <v>5907079</v>
      </c>
      <c r="AN52" s="12">
        <v>438335</v>
      </c>
      <c r="AO52" s="12">
        <v>1906283</v>
      </c>
      <c r="AP52" s="12"/>
      <c r="AQ52" s="12">
        <f t="shared" si="18"/>
        <v>2344618</v>
      </c>
      <c r="AR52" s="12">
        <v>2293060</v>
      </c>
      <c r="AS52" s="12">
        <f t="shared" si="16"/>
        <v>4637678</v>
      </c>
      <c r="AT52" s="12">
        <v>388664</v>
      </c>
      <c r="AU52" s="12">
        <v>2249712</v>
      </c>
      <c r="AV52" s="12"/>
      <c r="AW52" s="12">
        <f t="shared" si="19"/>
        <v>2638376</v>
      </c>
      <c r="AX52" s="12">
        <v>2133972</v>
      </c>
      <c r="AY52" s="12">
        <f t="shared" si="17"/>
        <v>4772348</v>
      </c>
      <c r="AZ52" t="s">
        <v>0</v>
      </c>
      <c r="BA52" s="18" t="s">
        <v>182</v>
      </c>
      <c r="BC52" s="3" t="s">
        <v>183</v>
      </c>
      <c r="BD52" s="42"/>
    </row>
    <row r="53" spans="1:56" ht="165.75">
      <c r="A53" s="21" t="s">
        <v>184</v>
      </c>
      <c r="B53" s="21" t="s">
        <v>446</v>
      </c>
      <c r="C53" s="21" t="s">
        <v>8</v>
      </c>
      <c r="D53" s="4" t="s">
        <v>121</v>
      </c>
      <c r="E53" s="11">
        <v>36709000000</v>
      </c>
      <c r="F53" s="5" t="str">
        <f>IF(ISNUMBER(Table1[[#This Row],[2019 Scope 3 ]]),IF(Table1[[#This Row],[Net Earnings/Income (2019)]]-k_cost*Table1[[#This Row],[2019 Total Scope 1, 2 + 3]]&lt;0,"Y","N"),"NA")</f>
        <v>N</v>
      </c>
      <c r="G53" s="54" t="str">
        <f>IF(ISNUMBER(Table1[[#This Row],[2019 Scope 3 ]]),IF(k_cost*Table1[[#This Row],[2019 Total Scope 1, 2 + 3]]/Table1[[#This Row],[Size (2019 Revenue)]]&gt;k_rev_max,"Y","N"),"NA")</f>
        <v>N</v>
      </c>
      <c r="H53" s="54" t="str">
        <f>IF(OR(Table1[[#This Row],[Net earnings post carbon price @85/t]]="Y",Table1[[#This Row],[Carbon costs in % revenue]] = "Y"),"Y",IF(OR(Table1[[#This Row],[Net earnings post carbon price @85/t]]="NA",Table1[[#This Row],[Carbon costs in % revenue]]="NA"),"NA","N"))</f>
        <v>N</v>
      </c>
      <c r="I53" s="11">
        <v>6143000000</v>
      </c>
      <c r="K53" t="s">
        <v>1</v>
      </c>
      <c r="L53" t="s">
        <v>0</v>
      </c>
      <c r="M53" t="s">
        <v>0</v>
      </c>
      <c r="P53" s="3" t="s">
        <v>185</v>
      </c>
      <c r="Q53" t="s">
        <v>0</v>
      </c>
      <c r="R53" t="s">
        <v>0</v>
      </c>
      <c r="S53" s="4" t="s">
        <v>0</v>
      </c>
      <c r="T53" s="52">
        <f>IFERROR((Table1[[#This Row],[2019 Total Scope 1, 2 + 3]])/Table1[[#This Row],[2018 Total Scope 1, 2 + Scope 3]]-1,"NA")</f>
        <v>-5.9343161738182992E-2</v>
      </c>
      <c r="U53" s="4"/>
      <c r="V53" s="12">
        <v>1090649</v>
      </c>
      <c r="W53" s="12">
        <v>933484</v>
      </c>
      <c r="X53" s="12"/>
      <c r="Y53" s="12">
        <f t="shared" si="10"/>
        <v>2024133</v>
      </c>
      <c r="Z53" s="12">
        <f>16976983+518408+306478+163207+104444+17530</f>
        <v>18087050</v>
      </c>
      <c r="AA53" s="12">
        <f t="shared" si="11"/>
        <v>20111183</v>
      </c>
      <c r="AB53" s="12">
        <v>1479149</v>
      </c>
      <c r="AC53" s="12">
        <v>1036941</v>
      </c>
      <c r="AD53" s="12"/>
      <c r="AE53" s="12">
        <f t="shared" si="12"/>
        <v>2516090</v>
      </c>
      <c r="AF53" s="12">
        <f>17689014+504252+336382+173925+147869+12404</f>
        <v>18863846</v>
      </c>
      <c r="AG53" s="12">
        <f t="shared" si="13"/>
        <v>21379936</v>
      </c>
      <c r="AH53" s="12">
        <v>1355420</v>
      </c>
      <c r="AI53" s="12">
        <v>1228457</v>
      </c>
      <c r="AJ53" s="12"/>
      <c r="AK53" s="12">
        <f t="shared" si="14"/>
        <v>2583877</v>
      </c>
      <c r="AL53" s="12" t="s">
        <v>401</v>
      </c>
      <c r="AM53" s="12" t="str">
        <f t="shared" si="15"/>
        <v/>
      </c>
      <c r="AN53" s="12">
        <v>2699554</v>
      </c>
      <c r="AO53" s="12">
        <v>1518875</v>
      </c>
      <c r="AP53" s="12"/>
      <c r="AQ53" s="12">
        <f t="shared" si="18"/>
        <v>4218429</v>
      </c>
      <c r="AR53" s="12" t="s">
        <v>401</v>
      </c>
      <c r="AS53" s="12" t="str">
        <f t="shared" si="16"/>
        <v/>
      </c>
      <c r="AT53" s="12">
        <v>3526031</v>
      </c>
      <c r="AU53" s="12">
        <v>1736106</v>
      </c>
      <c r="AV53" s="12"/>
      <c r="AW53" s="12">
        <f t="shared" si="19"/>
        <v>5262137</v>
      </c>
      <c r="AX53" s="12" t="s">
        <v>401</v>
      </c>
      <c r="AY53" s="12" t="str">
        <f t="shared" si="17"/>
        <v/>
      </c>
      <c r="AZ53" t="s">
        <v>0</v>
      </c>
      <c r="BA53" s="3" t="s">
        <v>186</v>
      </c>
      <c r="BC53" s="3" t="s">
        <v>187</v>
      </c>
      <c r="BD53" s="42"/>
    </row>
    <row r="54" spans="1:56" ht="89.25">
      <c r="A54" s="21" t="s">
        <v>188</v>
      </c>
      <c r="B54" s="21" t="s">
        <v>470</v>
      </c>
      <c r="C54" s="21" t="s">
        <v>11</v>
      </c>
      <c r="D54" s="4" t="s">
        <v>72</v>
      </c>
      <c r="E54" s="11">
        <v>77140000000</v>
      </c>
      <c r="F54" s="5" t="str">
        <f>IF(ISNUMBER(Table1[[#This Row],[2019 Scope 3 ]]),IF(Table1[[#This Row],[Net Earnings/Income (2019)]]-k_cost*Table1[[#This Row],[2019 Total Scope 1, 2 + 3]]&lt;0,"Y","N"),"NA")</f>
        <v>N</v>
      </c>
      <c r="G54" s="54" t="str">
        <f>IF(ISNUMBER(Table1[[#This Row],[2019 Scope 3 ]]),IF(k_cost*Table1[[#This Row],[2019 Total Scope 1, 2 + 3]]/Table1[[#This Row],[Size (2019 Revenue)]]&gt;k_rev_max,"Y","N"),"NA")</f>
        <v>N</v>
      </c>
      <c r="H54" s="54" t="str">
        <f>IF(OR(Table1[[#This Row],[Net earnings post carbon price @85/t]]="Y",Table1[[#This Row],[Carbon costs in % revenue]] = "Y"),"Y",IF(OR(Table1[[#This Row],[Net earnings post carbon price @85/t]]="NA",Table1[[#This Row],[Carbon costs in % revenue]]="NA"),"NA","N"))</f>
        <v>N</v>
      </c>
      <c r="I54" s="11">
        <v>9430000000</v>
      </c>
      <c r="J54" s="10">
        <v>1911</v>
      </c>
      <c r="K54" t="s">
        <v>1</v>
      </c>
      <c r="L54" t="s">
        <v>0</v>
      </c>
      <c r="M54" t="s">
        <v>0</v>
      </c>
      <c r="P54" s="3" t="s">
        <v>189</v>
      </c>
      <c r="R54" t="s">
        <v>0</v>
      </c>
      <c r="S54" t="s">
        <v>190</v>
      </c>
      <c r="T54" s="51">
        <f>IFERROR((Table1[[#This Row],[2019 Total Scope 1, 2 + 3]])/Table1[[#This Row],[2018 Total Scope 1, 2 + Scope 3]]-1,"NA")</f>
        <v>-0.13922680118079112</v>
      </c>
      <c r="V54" s="12">
        <v>114640</v>
      </c>
      <c r="W54" s="12">
        <v>822616</v>
      </c>
      <c r="X54" s="12"/>
      <c r="Y54" s="12">
        <f t="shared" si="10"/>
        <v>937256</v>
      </c>
      <c r="Z54" s="12">
        <v>1158416</v>
      </c>
      <c r="AA54" s="12">
        <f t="shared" si="11"/>
        <v>2095672</v>
      </c>
      <c r="AB54" s="12">
        <v>124633</v>
      </c>
      <c r="AC54" s="12">
        <v>963304</v>
      </c>
      <c r="AD54" s="12"/>
      <c r="AE54" s="12">
        <f t="shared" si="12"/>
        <v>1087937</v>
      </c>
      <c r="AF54" s="12">
        <f>329409+39017+458090+122800+397386</f>
        <v>1346702</v>
      </c>
      <c r="AG54" s="12">
        <f t="shared" si="13"/>
        <v>2434639</v>
      </c>
      <c r="AH54" s="12">
        <f>84000+40700</f>
        <v>124700</v>
      </c>
      <c r="AI54" s="12">
        <v>1077000</v>
      </c>
      <c r="AJ54" s="12"/>
      <c r="AK54" s="12">
        <f t="shared" si="14"/>
        <v>1201700</v>
      </c>
      <c r="AL54" s="12" t="s">
        <v>401</v>
      </c>
      <c r="AM54" s="12" t="str">
        <f t="shared" si="15"/>
        <v/>
      </c>
      <c r="AN54" s="12">
        <f>91000+42300</f>
        <v>133300</v>
      </c>
      <c r="AO54" s="12">
        <v>1156000</v>
      </c>
      <c r="AP54" s="12"/>
      <c r="AQ54" s="12">
        <f t="shared" si="18"/>
        <v>1289300</v>
      </c>
      <c r="AR54" s="12" t="s">
        <v>401</v>
      </c>
      <c r="AS54" s="12" t="str">
        <f t="shared" si="16"/>
        <v/>
      </c>
      <c r="AT54" s="12">
        <v>354046</v>
      </c>
      <c r="AU54" s="12">
        <v>1433456</v>
      </c>
      <c r="AV54" s="12"/>
      <c r="AW54" s="12">
        <f t="shared" si="19"/>
        <v>1787502</v>
      </c>
      <c r="AX54" s="12" t="s">
        <v>401</v>
      </c>
      <c r="AY54" s="12" t="str">
        <f t="shared" si="17"/>
        <v/>
      </c>
      <c r="AZ54" t="s">
        <v>0</v>
      </c>
      <c r="BA54" s="3" t="s">
        <v>191</v>
      </c>
      <c r="BC54" s="3" t="s">
        <v>192</v>
      </c>
      <c r="BD54" s="42"/>
    </row>
    <row r="55" spans="1:56" ht="191.25">
      <c r="A55" s="21" t="s">
        <v>193</v>
      </c>
      <c r="B55" s="21" t="s">
        <v>443</v>
      </c>
      <c r="C55" s="21" t="s">
        <v>11</v>
      </c>
      <c r="D55" s="32" t="s">
        <v>96</v>
      </c>
      <c r="E55" s="11">
        <v>71900000000</v>
      </c>
      <c r="F55" s="5" t="str">
        <f>IF(ISNUMBER(Table1[[#This Row],[2019 Scope 3 ]]),IF(Table1[[#This Row],[Net Earnings/Income (2019)]]-k_cost*Table1[[#This Row],[2019 Total Scope 1, 2 + 3]]&lt;0,"Y","N"),"NA")</f>
        <v>N</v>
      </c>
      <c r="G55" s="54" t="str">
        <f>IF(ISNUMBER(Table1[[#This Row],[2019 Scope 3 ]]),IF(k_cost*Table1[[#This Row],[2019 Total Scope 1, 2 + 3]]/Table1[[#This Row],[Size (2019 Revenue)]]&gt;k_rev_max,"Y","N"),"NA")</f>
        <v>N</v>
      </c>
      <c r="H55" s="54" t="str">
        <f>IF(OR(Table1[[#This Row],[Net earnings post carbon price @85/t]]="Y",Table1[[#This Row],[Carbon costs in % revenue]] = "Y"),"Y",IF(OR(Table1[[#This Row],[Net earnings post carbon price @85/t]]="NA",Table1[[#This Row],[Carbon costs in % revenue]]="NA"),"NA","N"))</f>
        <v>N</v>
      </c>
      <c r="I55" s="11">
        <v>21000000000</v>
      </c>
      <c r="J55" s="10">
        <v>1971</v>
      </c>
      <c r="K55" t="s">
        <v>1</v>
      </c>
      <c r="L55" t="s">
        <v>0</v>
      </c>
      <c r="M55" t="s">
        <v>0</v>
      </c>
      <c r="P55" s="3" t="s">
        <v>194</v>
      </c>
      <c r="Q55" t="s">
        <v>0</v>
      </c>
      <c r="R55" t="s">
        <v>0</v>
      </c>
      <c r="S55">
        <v>2030</v>
      </c>
      <c r="T55" s="51">
        <f>IFERROR((Table1[[#This Row],[2019 Total Scope 1, 2 + 3]])/Table1[[#This Row],[2018 Total Scope 1, 2 + Scope 3]]-1,"NA")</f>
        <v>-1.8126246975421312E-2</v>
      </c>
      <c r="V55" s="12">
        <v>1489000</v>
      </c>
      <c r="W55" s="12">
        <v>1299000</v>
      </c>
      <c r="X55" s="12"/>
      <c r="Y55" s="12">
        <f t="shared" si="10"/>
        <v>2788000</v>
      </c>
      <c r="Z55" s="12">
        <v>20342000</v>
      </c>
      <c r="AA55" s="12">
        <f t="shared" si="11"/>
        <v>23130000</v>
      </c>
      <c r="AB55" s="12">
        <v>1458000</v>
      </c>
      <c r="AC55" s="12">
        <v>1120000</v>
      </c>
      <c r="AD55" s="12"/>
      <c r="AE55" s="12">
        <f t="shared" si="12"/>
        <v>2578000</v>
      </c>
      <c r="AF55" s="12">
        <v>20979000</v>
      </c>
      <c r="AG55" s="12">
        <f t="shared" si="13"/>
        <v>23557000</v>
      </c>
      <c r="AH55" s="12">
        <v>1490000</v>
      </c>
      <c r="AI55" s="12">
        <v>971000</v>
      </c>
      <c r="AJ55" s="12"/>
      <c r="AK55" s="12">
        <f t="shared" si="14"/>
        <v>2461000</v>
      </c>
      <c r="AL55" s="12">
        <v>12320000</v>
      </c>
      <c r="AM55" s="12">
        <f t="shared" si="15"/>
        <v>14781000</v>
      </c>
      <c r="AN55" s="12">
        <v>976000</v>
      </c>
      <c r="AO55" s="12">
        <v>647000</v>
      </c>
      <c r="AP55" s="12"/>
      <c r="AQ55" s="12">
        <f t="shared" si="18"/>
        <v>1623000</v>
      </c>
      <c r="AR55" s="12">
        <v>2740000</v>
      </c>
      <c r="AS55" s="12">
        <f t="shared" si="16"/>
        <v>4363000</v>
      </c>
      <c r="AT55" s="12">
        <v>1050000</v>
      </c>
      <c r="AU55" s="12">
        <v>950000</v>
      </c>
      <c r="AV55" s="12"/>
      <c r="AW55" s="12">
        <f t="shared" si="19"/>
        <v>2000000</v>
      </c>
      <c r="AX55" s="12">
        <v>1562000</v>
      </c>
      <c r="AY55" s="12">
        <f t="shared" si="17"/>
        <v>3562000</v>
      </c>
      <c r="AZ55" s="30" t="s">
        <v>1</v>
      </c>
      <c r="BA55" s="30" t="s">
        <v>195</v>
      </c>
      <c r="BC55" s="3" t="s">
        <v>196</v>
      </c>
      <c r="BD55" s="42"/>
    </row>
    <row r="56" spans="1:56" ht="178.5">
      <c r="A56" s="21" t="s">
        <v>197</v>
      </c>
      <c r="B56" s="21" t="s">
        <v>481</v>
      </c>
      <c r="C56" s="21" t="s">
        <v>7</v>
      </c>
      <c r="D56" s="4" t="s">
        <v>69</v>
      </c>
      <c r="E56" s="5">
        <v>82060000000</v>
      </c>
      <c r="F56" s="5" t="str">
        <f>IF(ISNUMBER(Table1[[#This Row],[2019 Scope 3 ]]),IF(Table1[[#This Row],[Net Earnings/Income (2019)]]-k_cost*Table1[[#This Row],[2019 Total Scope 1, 2 + 3]]&lt;0,"Y","N"),"NA")</f>
        <v>N</v>
      </c>
      <c r="G56" s="54" t="str">
        <f>IF(ISNUMBER(Table1[[#This Row],[2019 Scope 3 ]]),IF(k_cost*Table1[[#This Row],[2019 Total Scope 1, 2 + 3]]/Table1[[#This Row],[Size (2019 Revenue)]]&gt;k_rev_max,"Y","N"),"NA")</f>
        <v>N</v>
      </c>
      <c r="H56" s="54" t="str">
        <f>IF(OR(Table1[[#This Row],[Net earnings post carbon price @85/t]]="Y",Table1[[#This Row],[Carbon costs in % revenue]] = "Y"),"Y",IF(OR(Table1[[#This Row],[Net earnings post carbon price @85/t]]="NA",Table1[[#This Row],[Carbon costs in % revenue]]="NA"),"NA","N"))</f>
        <v>N</v>
      </c>
      <c r="I56" s="5">
        <v>15120000000</v>
      </c>
      <c r="J56" s="9">
        <v>1944</v>
      </c>
      <c r="K56" s="5" t="s">
        <v>1</v>
      </c>
      <c r="L56" t="s">
        <v>0</v>
      </c>
      <c r="M56" t="s">
        <v>0</v>
      </c>
      <c r="P56" s="3" t="s">
        <v>198</v>
      </c>
      <c r="Q56" t="s">
        <v>0</v>
      </c>
      <c r="R56" t="s">
        <v>1</v>
      </c>
      <c r="S56">
        <v>2050</v>
      </c>
      <c r="T56" s="51">
        <f>IFERROR((Table1[[#This Row],[2019 Total Scope 1, 2 + 3]])/Table1[[#This Row],[2018 Total Scope 1, 2 + Scope 3]]-1,"NA")</f>
        <v>2.8367999165437752E-2</v>
      </c>
      <c r="V56" s="12">
        <v>415094</v>
      </c>
      <c r="W56" s="12">
        <v>518542</v>
      </c>
      <c r="X56" s="12"/>
      <c r="Y56" s="12">
        <f t="shared" si="10"/>
        <v>933636</v>
      </c>
      <c r="Z56" s="12">
        <v>20300054</v>
      </c>
      <c r="AA56" s="12">
        <f t="shared" si="11"/>
        <v>21233690</v>
      </c>
      <c r="AB56" s="12">
        <v>452407</v>
      </c>
      <c r="AC56" s="12">
        <v>583361</v>
      </c>
      <c r="AD56" s="12"/>
      <c r="AE56" s="12">
        <f t="shared" si="12"/>
        <v>1035768</v>
      </c>
      <c r="AF56" s="12">
        <v>19612181</v>
      </c>
      <c r="AG56" s="12">
        <f t="shared" si="13"/>
        <v>20647949</v>
      </c>
      <c r="AH56" s="12">
        <v>474497</v>
      </c>
      <c r="AI56" s="12">
        <v>639323</v>
      </c>
      <c r="AJ56" s="12"/>
      <c r="AK56" s="12">
        <f t="shared" si="14"/>
        <v>1113820</v>
      </c>
      <c r="AL56" s="12">
        <v>17988490</v>
      </c>
      <c r="AM56" s="12">
        <f t="shared" si="15"/>
        <v>19102310</v>
      </c>
      <c r="AN56" s="12">
        <v>463622</v>
      </c>
      <c r="AO56" s="12">
        <v>694257</v>
      </c>
      <c r="AP56" s="12"/>
      <c r="AQ56" s="12">
        <f t="shared" si="18"/>
        <v>1157879</v>
      </c>
      <c r="AR56" s="12">
        <v>284901</v>
      </c>
      <c r="AS56" s="12">
        <f t="shared" si="16"/>
        <v>1442780</v>
      </c>
      <c r="AT56" s="12">
        <v>449078</v>
      </c>
      <c r="AU56" s="12">
        <v>724819</v>
      </c>
      <c r="AV56" s="12"/>
      <c r="AW56" s="12">
        <f t="shared" si="19"/>
        <v>1173897</v>
      </c>
      <c r="AX56" s="12">
        <v>353974</v>
      </c>
      <c r="AY56" s="12">
        <f t="shared" si="17"/>
        <v>1527871</v>
      </c>
      <c r="AZ56" t="s">
        <v>1</v>
      </c>
      <c r="BA56" s="3" t="s">
        <v>199</v>
      </c>
      <c r="BB56" s="30" t="s">
        <v>429</v>
      </c>
      <c r="BC56" s="3" t="s">
        <v>200</v>
      </c>
      <c r="BD56" s="42"/>
    </row>
    <row r="57" spans="1:56" ht="114.75">
      <c r="A57" s="21" t="s">
        <v>201</v>
      </c>
      <c r="B57" s="21" t="s">
        <v>472</v>
      </c>
      <c r="C57" s="21" t="s">
        <v>6</v>
      </c>
      <c r="D57" s="4" t="s">
        <v>103</v>
      </c>
      <c r="E57" s="5">
        <v>115600000000</v>
      </c>
      <c r="F57" s="5" t="str">
        <f>IF(ISNUMBER(Table1[[#This Row],[2019 Scope 3 ]]),IF(Table1[[#This Row],[Net Earnings/Income (2019)]]-k_cost*Table1[[#This Row],[2019 Total Scope 1, 2 + 3]]&lt;0,"Y","N"),"NA")</f>
        <v>N</v>
      </c>
      <c r="G57" s="54" t="str">
        <f>IF(ISNUMBER(Table1[[#This Row],[2019 Scope 3 ]]),IF(k_cost*Table1[[#This Row],[2019 Total Scope 1, 2 + 3]]/Table1[[#This Row],[Size (2019 Revenue)]]&gt;k_rev_max,"Y","N"),"NA")</f>
        <v>N</v>
      </c>
      <c r="H57" s="54" t="str">
        <f>IF(OR(Table1[[#This Row],[Net earnings post carbon price @85/t]]="Y",Table1[[#This Row],[Carbon costs in % revenue]] = "Y"),"Y",IF(OR(Table1[[#This Row],[Net earnings post carbon price @85/t]]="NA",Table1[[#This Row],[Carbon costs in % revenue]]="NA"),"NA","N"))</f>
        <v>N</v>
      </c>
      <c r="I57" s="5">
        <v>36430000000</v>
      </c>
      <c r="J57" s="9">
        <v>1940</v>
      </c>
      <c r="K57" s="5" t="s">
        <v>1</v>
      </c>
      <c r="L57" t="s">
        <v>0</v>
      </c>
      <c r="M57" t="s">
        <v>0</v>
      </c>
      <c r="Q57" t="s">
        <v>1</v>
      </c>
      <c r="R57" t="s">
        <v>1</v>
      </c>
      <c r="S57">
        <v>2020</v>
      </c>
      <c r="T57" s="51">
        <f>IFERROR((Table1[[#This Row],[2019 Total Scope 1, 2 + 3]])/Table1[[#This Row],[2018 Total Scope 1, 2 + Scope 3]]-1,"NA")</f>
        <v>-1.5300821142865351E-2</v>
      </c>
      <c r="V57" s="12">
        <v>81655</v>
      </c>
      <c r="W57" s="12">
        <v>556142</v>
      </c>
      <c r="X57" s="12"/>
      <c r="Y57" s="12">
        <f t="shared" si="10"/>
        <v>637797</v>
      </c>
      <c r="Z57" s="12">
        <v>181004</v>
      </c>
      <c r="AA57" s="12">
        <f t="shared" si="11"/>
        <v>818801</v>
      </c>
      <c r="AB57" s="12">
        <v>83101</v>
      </c>
      <c r="AC57" s="12">
        <v>572067</v>
      </c>
      <c r="AD57" s="12"/>
      <c r="AE57" s="12">
        <f t="shared" si="12"/>
        <v>655168</v>
      </c>
      <c r="AF57" s="12">
        <v>176356</v>
      </c>
      <c r="AG57" s="12">
        <f t="shared" si="13"/>
        <v>831524</v>
      </c>
      <c r="AH57" s="12">
        <v>78229</v>
      </c>
      <c r="AI57" s="12">
        <v>596843</v>
      </c>
      <c r="AJ57" s="12"/>
      <c r="AK57" s="12">
        <f t="shared" si="14"/>
        <v>675072</v>
      </c>
      <c r="AL57" s="12">
        <v>187020</v>
      </c>
      <c r="AM57" s="12">
        <f t="shared" si="15"/>
        <v>862092</v>
      </c>
      <c r="AN57" s="12">
        <v>79556</v>
      </c>
      <c r="AO57" s="12">
        <v>780710</v>
      </c>
      <c r="AP57" s="12"/>
      <c r="AQ57" s="12">
        <f t="shared" si="18"/>
        <v>860266</v>
      </c>
      <c r="AR57" s="12">
        <v>130430</v>
      </c>
      <c r="AS57" s="12">
        <f t="shared" si="16"/>
        <v>990696</v>
      </c>
      <c r="AT57" s="12">
        <v>82525</v>
      </c>
      <c r="AU57" s="12">
        <v>844403</v>
      </c>
      <c r="AV57" s="12"/>
      <c r="AW57" s="12">
        <f t="shared" si="19"/>
        <v>926928</v>
      </c>
      <c r="AX57" s="12">
        <v>138878</v>
      </c>
      <c r="AY57" s="12">
        <f t="shared" si="17"/>
        <v>1065806</v>
      </c>
      <c r="AZ57" s="30" t="s">
        <v>1</v>
      </c>
      <c r="BA57" s="14" t="s">
        <v>202</v>
      </c>
      <c r="BB57" s="4" t="s">
        <v>430</v>
      </c>
      <c r="BC57" s="3" t="s">
        <v>203</v>
      </c>
      <c r="BD57" s="42"/>
    </row>
    <row r="58" spans="1:56" ht="38.25">
      <c r="A58" s="21" t="s">
        <v>204</v>
      </c>
      <c r="B58" s="21" t="s">
        <v>399</v>
      </c>
      <c r="C58" s="32" t="s">
        <v>5</v>
      </c>
      <c r="D58" s="4" t="s">
        <v>126</v>
      </c>
      <c r="E58" s="5">
        <v>13209000000</v>
      </c>
      <c r="F58" s="5" t="str">
        <f>IF(ISNUMBER(Table1[[#This Row],[2019 Scope 3 ]]),IF(Table1[[#This Row],[Net Earnings/Income (2019)]]-k_cost*Table1[[#This Row],[2019 Total Scope 1, 2 + 3]]&lt;0,"Y","N"),"NA")</f>
        <v>NA</v>
      </c>
      <c r="G58" s="54" t="str">
        <f>IF(ISNUMBER(Table1[[#This Row],[2019 Scope 3 ]]),IF(k_cost*Table1[[#This Row],[2019 Total Scope 1, 2 + 3]]/Table1[[#This Row],[Size (2019 Revenue)]]&gt;k_rev_max,"Y","N"),"NA")</f>
        <v>NA</v>
      </c>
      <c r="H58" s="54" t="str">
        <f>IF(OR(Table1[[#This Row],[Net earnings post carbon price @85/t]]="Y",Table1[[#This Row],[Carbon costs in % revenue]] = "Y"),"Y",IF(OR(Table1[[#This Row],[Net earnings post carbon price @85/t]]="NA",Table1[[#This Row],[Carbon costs in % revenue]]="NA"),"NA","N"))</f>
        <v>NA</v>
      </c>
      <c r="I58" s="5">
        <v>2190000000</v>
      </c>
      <c r="J58" s="9">
        <v>2011</v>
      </c>
      <c r="K58" s="5" t="s">
        <v>1</v>
      </c>
      <c r="L58" t="s">
        <v>0</v>
      </c>
      <c r="M58" t="s">
        <v>0</v>
      </c>
      <c r="Q58" t="s">
        <v>1</v>
      </c>
      <c r="R58" t="s">
        <v>0</v>
      </c>
      <c r="T58" s="51" t="str">
        <f>IFERROR((Table1[[#This Row],[2019 Total Scope 1, 2 + 3]])/Table1[[#This Row],[2018 Total Scope 1, 2 + Scope 3]]-1,"NA")</f>
        <v>NA</v>
      </c>
      <c r="V58" s="12" t="s">
        <v>401</v>
      </c>
      <c r="W58" s="12" t="s">
        <v>401</v>
      </c>
      <c r="X58" s="12"/>
      <c r="Y58" s="12" t="str">
        <f t="shared" si="10"/>
        <v/>
      </c>
      <c r="Z58" s="12" t="s">
        <v>401</v>
      </c>
      <c r="AA58" s="12" t="str">
        <f t="shared" si="11"/>
        <v/>
      </c>
      <c r="AB58" s="12" t="s">
        <v>401</v>
      </c>
      <c r="AC58" s="12" t="s">
        <v>401</v>
      </c>
      <c r="AD58" s="12"/>
      <c r="AE58" s="12" t="str">
        <f t="shared" si="12"/>
        <v/>
      </c>
      <c r="AF58" s="12" t="s">
        <v>401</v>
      </c>
      <c r="AG58" s="12" t="str">
        <f t="shared" si="13"/>
        <v/>
      </c>
      <c r="AH58" s="12" t="s">
        <v>401</v>
      </c>
      <c r="AI58" s="12" t="s">
        <v>401</v>
      </c>
      <c r="AJ58" s="12"/>
      <c r="AK58" s="12" t="str">
        <f t="shared" si="14"/>
        <v/>
      </c>
      <c r="AL58" s="12" t="s">
        <v>401</v>
      </c>
      <c r="AM58" s="12" t="str">
        <f t="shared" si="15"/>
        <v/>
      </c>
      <c r="AN58" s="12" t="s">
        <v>401</v>
      </c>
      <c r="AO58" s="12" t="s">
        <v>401</v>
      </c>
      <c r="AP58" s="12"/>
      <c r="AQ58" s="12" t="str">
        <f t="shared" si="18"/>
        <v/>
      </c>
      <c r="AR58" s="12" t="s">
        <v>401</v>
      </c>
      <c r="AS58" s="12" t="str">
        <f t="shared" si="16"/>
        <v/>
      </c>
      <c r="AT58" s="12" t="s">
        <v>401</v>
      </c>
      <c r="AU58" s="12" t="s">
        <v>401</v>
      </c>
      <c r="AV58" s="12"/>
      <c r="AW58" s="12" t="str">
        <f t="shared" si="19"/>
        <v/>
      </c>
      <c r="AX58" s="12" t="s">
        <v>401</v>
      </c>
      <c r="AY58" s="12" t="str">
        <f t="shared" si="17"/>
        <v/>
      </c>
      <c r="AZ58" s="19" t="s">
        <v>0</v>
      </c>
      <c r="BA58" s="3" t="s">
        <v>205</v>
      </c>
      <c r="BB58" s="3" t="s">
        <v>206</v>
      </c>
      <c r="BC58" s="3" t="s">
        <v>207</v>
      </c>
      <c r="BD58" s="42"/>
    </row>
    <row r="59" spans="1:56" ht="127.5">
      <c r="A59" s="21" t="s">
        <v>208</v>
      </c>
      <c r="B59" s="21" t="s">
        <v>450</v>
      </c>
      <c r="C59" s="21" t="s">
        <v>4</v>
      </c>
      <c r="D59" s="4" t="s">
        <v>133</v>
      </c>
      <c r="E59" s="5">
        <v>24970000000</v>
      </c>
      <c r="F59" s="5" t="str">
        <f>IF(ISNUMBER(Table1[[#This Row],[2019 Scope 3 ]]),IF(Table1[[#This Row],[Net Earnings/Income (2019)]]-k_cost*Table1[[#This Row],[2019 Total Scope 1, 2 + 3]]&lt;0,"Y","N"),"NA")</f>
        <v>Y</v>
      </c>
      <c r="G59" s="54" t="str">
        <f>IF(ISNUMBER(Table1[[#This Row],[2019 Scope 3 ]]),IF(k_cost*Table1[[#This Row],[2019 Total Scope 1, 2 + 3]]/Table1[[#This Row],[Size (2019 Revenue)]]&gt;k_rev_max,"Y","N"),"NA")</f>
        <v>Y</v>
      </c>
      <c r="H59" s="54" t="str">
        <f>IF(OR(Table1[[#This Row],[Net earnings post carbon price @85/t]]="Y",Table1[[#This Row],[Carbon costs in % revenue]] = "Y"),"Y",IF(OR(Table1[[#This Row],[Net earnings post carbon price @85/t]]="NA",Table1[[#This Row],[Carbon costs in % revenue]]="NA"),"NA","N"))</f>
        <v>Y</v>
      </c>
      <c r="I59" s="5">
        <v>1935000000</v>
      </c>
      <c r="J59" s="9">
        <v>2001</v>
      </c>
      <c r="K59" s="5" t="s">
        <v>1</v>
      </c>
      <c r="L59" t="s">
        <v>0</v>
      </c>
      <c r="M59" t="s">
        <v>1</v>
      </c>
      <c r="R59" s="49" t="s">
        <v>0</v>
      </c>
      <c r="T59" s="51">
        <f>IFERROR((Table1[[#This Row],[2019 Total Scope 1, 2 + 3]])/Table1[[#This Row],[2018 Total Scope 1, 2 + Scope 3]]-1,"NA")</f>
        <v>1.4574204005638469E-2</v>
      </c>
      <c r="V59" s="12">
        <v>649256</v>
      </c>
      <c r="W59" s="12">
        <v>773066</v>
      </c>
      <c r="X59" s="12"/>
      <c r="Y59" s="12">
        <f t="shared" si="10"/>
        <v>1422322</v>
      </c>
      <c r="Z59" s="12">
        <f>18282750.168+397603.648+717228.775+1366415.404+52106.122+18988.075+105896.625+1307392.304+1029151.785</f>
        <v>23277532.905999999</v>
      </c>
      <c r="AA59" s="12">
        <f t="shared" si="11"/>
        <v>24699854.905999999</v>
      </c>
      <c r="AB59" s="12">
        <v>649256</v>
      </c>
      <c r="AC59" s="12">
        <v>773066</v>
      </c>
      <c r="AD59" s="12"/>
      <c r="AE59" s="12">
        <f t="shared" si="12"/>
        <v>1422322</v>
      </c>
      <c r="AF59" s="12">
        <f>18010670.91+436667.62+685766.14+1444101+50550.66+19031.77+108758.7+1150017.93+1017158.52</f>
        <v>22922723.25</v>
      </c>
      <c r="AG59" s="12">
        <f t="shared" si="13"/>
        <v>24345045.25</v>
      </c>
      <c r="AH59" s="12">
        <v>709692</v>
      </c>
      <c r="AI59" s="12">
        <v>765557</v>
      </c>
      <c r="AJ59" s="12"/>
      <c r="AK59" s="12">
        <f t="shared" si="14"/>
        <v>1475249</v>
      </c>
      <c r="AL59" s="12">
        <f>16751871.94+739999.79+1352970.13+191539.38+49063.7+18587.51+189896.51+1203705.71+970000+51440.68</f>
        <v>21519075.350000001</v>
      </c>
      <c r="AM59" s="12">
        <f t="shared" si="15"/>
        <v>22994324.350000001</v>
      </c>
      <c r="AN59" s="12">
        <v>742200</v>
      </c>
      <c r="AO59" s="12">
        <v>800400</v>
      </c>
      <c r="AP59" s="12"/>
      <c r="AQ59" s="12">
        <f t="shared" si="18"/>
        <v>1542600</v>
      </c>
      <c r="AR59" s="12">
        <f>21674146+732601+1402638+855051+392623+19182+188691+1236974+63352</f>
        <v>26565258</v>
      </c>
      <c r="AS59" s="12">
        <f t="shared" si="16"/>
        <v>28107858</v>
      </c>
      <c r="AT59" s="12">
        <v>769761</v>
      </c>
      <c r="AU59" s="12">
        <v>804156</v>
      </c>
      <c r="AV59" s="12"/>
      <c r="AW59" s="12">
        <f t="shared" si="19"/>
        <v>1573917</v>
      </c>
      <c r="AX59" s="12"/>
      <c r="AY59" s="12">
        <f t="shared" si="17"/>
        <v>1573917</v>
      </c>
      <c r="BA59" s="3" t="s">
        <v>209</v>
      </c>
      <c r="BB59" s="30" t="s">
        <v>431</v>
      </c>
      <c r="BC59" s="3" t="s">
        <v>210</v>
      </c>
      <c r="BD59" s="42" t="s">
        <v>493</v>
      </c>
    </row>
    <row r="60" spans="1:56" ht="280.5">
      <c r="A60" s="21" t="s">
        <v>211</v>
      </c>
      <c r="B60" s="21" t="s">
        <v>471</v>
      </c>
      <c r="C60" s="21" t="s">
        <v>8</v>
      </c>
      <c r="D60" s="4" t="s">
        <v>112</v>
      </c>
      <c r="E60" s="11">
        <v>59810000000</v>
      </c>
      <c r="F60" s="5" t="str">
        <f>IF(ISNUMBER(Table1[[#This Row],[2019 Scope 3 ]]),IF(Table1[[#This Row],[Net Earnings/Income (2019)]]-k_cost*Table1[[#This Row],[2019 Total Scope 1, 2 + 3]]&lt;0,"Y","N"),"NA")</f>
        <v>N</v>
      </c>
      <c r="G60" s="54" t="str">
        <f>IF(ISNUMBER(Table1[[#This Row],[2019 Scope 3 ]]),IF(k_cost*Table1[[#This Row],[2019 Total Scope 1, 2 + 3]]/Table1[[#This Row],[Size (2019 Revenue)]]&gt;k_rev_max,"Y","N"),"NA")</f>
        <v>N</v>
      </c>
      <c r="H60" s="54" t="str">
        <f>IF(OR(Table1[[#This Row],[Net earnings post carbon price @85/t]]="Y",Table1[[#This Row],[Carbon costs in % revenue]] = "Y"),"Y",IF(OR(Table1[[#This Row],[Net earnings post carbon price @85/t]]="NA",Table1[[#This Row],[Carbon costs in % revenue]]="NA"),"NA","N"))</f>
        <v>N</v>
      </c>
      <c r="I60" s="11">
        <v>6230000000</v>
      </c>
      <c r="J60" s="10" t="s">
        <v>212</v>
      </c>
      <c r="K60" t="s">
        <v>1</v>
      </c>
      <c r="L60" t="s">
        <v>0</v>
      </c>
      <c r="M60" t="s">
        <v>0</v>
      </c>
      <c r="P60" s="3" t="s">
        <v>213</v>
      </c>
      <c r="R60" t="s">
        <v>0</v>
      </c>
      <c r="T60" s="51">
        <f>IFERROR((Table1[[#This Row],[2019 Total Scope 1, 2 + 3]])/Table1[[#This Row],[2018 Total Scope 1, 2 + Scope 3]]-1,"NA")</f>
        <v>-4.6581908610587863E-4</v>
      </c>
      <c r="V60" s="12">
        <v>305362</v>
      </c>
      <c r="W60" s="12">
        <v>466073</v>
      </c>
      <c r="X60" s="12"/>
      <c r="Y60" s="12">
        <f t="shared" si="10"/>
        <v>771435</v>
      </c>
      <c r="Z60" s="12">
        <v>30584500</v>
      </c>
      <c r="AA60" s="12">
        <f t="shared" si="11"/>
        <v>31355935</v>
      </c>
      <c r="AB60" s="12">
        <v>291782</v>
      </c>
      <c r="AC60" s="12">
        <v>527766</v>
      </c>
      <c r="AD60" s="12"/>
      <c r="AE60" s="12">
        <f t="shared" si="12"/>
        <v>819548</v>
      </c>
      <c r="AF60" s="12">
        <v>30551000</v>
      </c>
      <c r="AG60" s="12">
        <f t="shared" si="13"/>
        <v>31370548</v>
      </c>
      <c r="AH60" s="12">
        <v>291523</v>
      </c>
      <c r="AI60" s="12">
        <v>552851</v>
      </c>
      <c r="AJ60" s="12"/>
      <c r="AK60" s="12">
        <f t="shared" si="14"/>
        <v>844374</v>
      </c>
      <c r="AL60" s="12">
        <v>30605000</v>
      </c>
      <c r="AM60" s="12">
        <f t="shared" si="15"/>
        <v>31449374</v>
      </c>
      <c r="AN60" s="12">
        <v>302679</v>
      </c>
      <c r="AO60" s="12">
        <f>804245-302679</f>
        <v>501566</v>
      </c>
      <c r="AP60" s="12"/>
      <c r="AQ60" s="12">
        <f t="shared" si="18"/>
        <v>804245</v>
      </c>
      <c r="AR60" s="12"/>
      <c r="AS60" s="12">
        <f t="shared" si="16"/>
        <v>804245</v>
      </c>
      <c r="AT60" s="12" t="s">
        <v>0</v>
      </c>
      <c r="AU60" s="12" t="s">
        <v>0</v>
      </c>
      <c r="AV60" s="12" t="s">
        <v>0</v>
      </c>
      <c r="AW60" s="12" t="str">
        <f t="shared" si="19"/>
        <v/>
      </c>
      <c r="AX60" s="12" t="s">
        <v>0</v>
      </c>
      <c r="AY60" s="12" t="str">
        <f t="shared" si="17"/>
        <v/>
      </c>
      <c r="AZ60" t="s">
        <v>0</v>
      </c>
      <c r="BA60" s="18" t="s">
        <v>214</v>
      </c>
      <c r="BB60" s="3" t="s">
        <v>215</v>
      </c>
      <c r="BC60" s="3" t="s">
        <v>216</v>
      </c>
      <c r="BD60" s="42"/>
    </row>
    <row r="61" spans="1:56" ht="127.5">
      <c r="A61" s="21" t="s">
        <v>217</v>
      </c>
      <c r="B61" s="21" t="s">
        <v>476</v>
      </c>
      <c r="C61" s="21" t="s">
        <v>3</v>
      </c>
      <c r="D61" s="4" t="s">
        <v>85</v>
      </c>
      <c r="E61" s="11">
        <v>71300000000</v>
      </c>
      <c r="F61" s="5" t="str">
        <f>IF(ISNUMBER(Table1[[#This Row],[2019 Scope 3 ]]),IF(Table1[[#This Row],[Net Earnings/Income (2019)]]-k_cost*Table1[[#This Row],[2019 Total Scope 1, 2 + 3]]&lt;0,"Y","N"),"NA")</f>
        <v>Y</v>
      </c>
      <c r="G61" s="54" t="str">
        <f>IF(ISNUMBER(Table1[[#This Row],[2019 Scope 3 ]]),IF(k_cost*Table1[[#This Row],[2019 Total Scope 1, 2 + 3]]/Table1[[#This Row],[Size (2019 Revenue)]]&gt;k_rev_max,"Y","N"),"NA")</f>
        <v>Y</v>
      </c>
      <c r="H61" s="54" t="str">
        <f>IF(OR(Table1[[#This Row],[Net earnings post carbon price @85/t]]="Y",Table1[[#This Row],[Carbon costs in % revenue]] = "Y"),"Y",IF(OR(Table1[[#This Row],[Net earnings post carbon price @85/t]]="NA",Table1[[#This Row],[Carbon costs in % revenue]]="NA"),"NA","N"))</f>
        <v>Y</v>
      </c>
      <c r="I61" s="11">
        <v>2307000000</v>
      </c>
      <c r="J61" s="10">
        <v>1961</v>
      </c>
      <c r="K61" t="s">
        <v>1</v>
      </c>
      <c r="L61" t="s">
        <v>0</v>
      </c>
      <c r="M61" t="s">
        <v>0</v>
      </c>
      <c r="P61" s="3" t="s">
        <v>218</v>
      </c>
      <c r="R61" t="s">
        <v>0</v>
      </c>
      <c r="T61" s="51">
        <f>IFERROR((Table1[[#This Row],[2019 Total Scope 1, 2 + 3]])/Table1[[#This Row],[2018 Total Scope 1, 2 + Scope 3]]-1,"NA")</f>
        <v>-0.63554886222942319</v>
      </c>
      <c r="V61" s="12">
        <v>484737</v>
      </c>
      <c r="W61" s="12">
        <v>1623768</v>
      </c>
      <c r="X61" s="12"/>
      <c r="Y61" s="12">
        <f t="shared" si="10"/>
        <v>2108505</v>
      </c>
      <c r="Z61" s="12">
        <f>426134+10700+123208225.78</f>
        <v>123645059.78</v>
      </c>
      <c r="AA61" s="12">
        <f t="shared" si="11"/>
        <v>125753564.78</v>
      </c>
      <c r="AB61" s="12">
        <v>473689</v>
      </c>
      <c r="AC61" s="12">
        <v>1932514</v>
      </c>
      <c r="AD61" s="12"/>
      <c r="AE61" s="12">
        <f t="shared" si="12"/>
        <v>2406203</v>
      </c>
      <c r="AF61" s="12">
        <f>463300+342179673</f>
        <v>342642973</v>
      </c>
      <c r="AG61" s="12">
        <f t="shared" si="13"/>
        <v>345049176</v>
      </c>
      <c r="AH61" s="12">
        <v>400000</v>
      </c>
      <c r="AI61" s="12">
        <v>2022000</v>
      </c>
      <c r="AJ61" s="12"/>
      <c r="AK61" s="12">
        <f t="shared" si="14"/>
        <v>2422000</v>
      </c>
      <c r="AL61" s="12" t="s">
        <v>401</v>
      </c>
      <c r="AM61" s="12" t="str">
        <f t="shared" si="15"/>
        <v/>
      </c>
      <c r="AN61" s="12">
        <v>354000</v>
      </c>
      <c r="AO61" s="12">
        <v>2054000</v>
      </c>
      <c r="AP61" s="12"/>
      <c r="AQ61" s="12">
        <f t="shared" si="18"/>
        <v>2408000</v>
      </c>
      <c r="AR61" s="12" t="s">
        <v>401</v>
      </c>
      <c r="AS61" s="12" t="str">
        <f t="shared" si="16"/>
        <v/>
      </c>
      <c r="AT61" s="12">
        <v>368000</v>
      </c>
      <c r="AU61" s="12">
        <v>2322000</v>
      </c>
      <c r="AV61" s="12"/>
      <c r="AW61" s="12">
        <f t="shared" si="19"/>
        <v>2690000</v>
      </c>
      <c r="AX61" s="12" t="s">
        <v>401</v>
      </c>
      <c r="AY61" s="12" t="str">
        <f t="shared" si="17"/>
        <v/>
      </c>
      <c r="BA61" s="3" t="s">
        <v>219</v>
      </c>
      <c r="BC61" s="3" t="s">
        <v>220</v>
      </c>
      <c r="BD61" s="42"/>
    </row>
    <row r="62" spans="1:56" ht="76.5">
      <c r="A62" s="21" t="s">
        <v>221</v>
      </c>
      <c r="B62" s="21" t="s">
        <v>467</v>
      </c>
      <c r="C62" s="32" t="s">
        <v>6</v>
      </c>
      <c r="D62" s="4" t="s">
        <v>89</v>
      </c>
      <c r="E62" s="5">
        <v>16883000000</v>
      </c>
      <c r="F62" s="5" t="str">
        <f>IF(ISNUMBER(Table1[[#This Row],[2019 Scope 3 ]]),IF(Table1[[#This Row],[Net Earnings/Income (2019)]]-k_cost*Table1[[#This Row],[2019 Total Scope 1, 2 + 3]]&lt;0,"Y","N"),"NA")</f>
        <v>N</v>
      </c>
      <c r="G62" s="54" t="str">
        <f>IF(ISNUMBER(Table1[[#This Row],[2019 Scope 3 ]]),IF(k_cost*Table1[[#This Row],[2019 Total Scope 1, 2 + 3]]/Table1[[#This Row],[Size (2019 Revenue)]]&gt;k_rev_max,"Y","N"),"NA")</f>
        <v>N</v>
      </c>
      <c r="H62" s="54" t="str">
        <f>IF(OR(Table1[[#This Row],[Net earnings post carbon price @85/t]]="Y",Table1[[#This Row],[Carbon costs in % revenue]] = "Y"),"Y",IF(OR(Table1[[#This Row],[Net earnings post carbon price @85/t]]="NA",Table1[[#This Row],[Carbon costs in % revenue]]="NA"),"NA","N"))</f>
        <v>N</v>
      </c>
      <c r="I62" s="5">
        <v>8120000000</v>
      </c>
      <c r="J62" s="9">
        <v>2006</v>
      </c>
      <c r="K62" s="5" t="s">
        <v>1</v>
      </c>
      <c r="L62" t="s">
        <v>0</v>
      </c>
      <c r="M62" t="s">
        <v>1</v>
      </c>
      <c r="P62" s="3" t="s">
        <v>222</v>
      </c>
      <c r="R62" t="s">
        <v>1</v>
      </c>
      <c r="S62">
        <v>2020</v>
      </c>
      <c r="T62" s="51">
        <f>IFERROR((Table1[[#This Row],[2019 Total Scope 1, 2 + 3]])/Table1[[#This Row],[2018 Total Scope 1, 2 + Scope 3]]-1,"NA")</f>
        <v>-8.2572911718435282E-2</v>
      </c>
      <c r="V62" s="12">
        <v>4758.3999999999996</v>
      </c>
      <c r="W62" s="12">
        <v>162</v>
      </c>
      <c r="X62" s="12"/>
      <c r="Y62" s="12">
        <f t="shared" si="10"/>
        <v>4920.3999999999996</v>
      </c>
      <c r="Z62" s="12">
        <f>396269.96+8451.87+1288.49+53738+43263.87</f>
        <v>503012.19</v>
      </c>
      <c r="AA62" s="12">
        <f t="shared" si="11"/>
        <v>507932.59</v>
      </c>
      <c r="AB62" s="12">
        <f>57687-AC62</f>
        <v>4828</v>
      </c>
      <c r="AC62" s="12">
        <v>52859</v>
      </c>
      <c r="AD62" s="12"/>
      <c r="AE62" s="12">
        <f t="shared" si="12"/>
        <v>57687</v>
      </c>
      <c r="AF62" s="12">
        <v>495962</v>
      </c>
      <c r="AG62" s="12">
        <f t="shared" si="13"/>
        <v>553649</v>
      </c>
      <c r="AH62" s="12">
        <f>71504-AI62</f>
        <v>6587</v>
      </c>
      <c r="AI62" s="12">
        <v>64917</v>
      </c>
      <c r="AJ62" s="12"/>
      <c r="AK62" s="12">
        <f t="shared" si="14"/>
        <v>71504</v>
      </c>
      <c r="AL62" s="12">
        <v>471614</v>
      </c>
      <c r="AM62" s="12">
        <f t="shared" si="15"/>
        <v>543118</v>
      </c>
      <c r="AN62" s="12">
        <f>99214-AO62</f>
        <v>4486</v>
      </c>
      <c r="AO62" s="12">
        <v>94728</v>
      </c>
      <c r="AP62" s="12"/>
      <c r="AQ62" s="12">
        <f t="shared" si="18"/>
        <v>99214</v>
      </c>
      <c r="AR62" s="12">
        <v>849277</v>
      </c>
      <c r="AS62" s="12">
        <f t="shared" si="16"/>
        <v>948491</v>
      </c>
      <c r="AT62" s="12" t="s">
        <v>401</v>
      </c>
      <c r="AU62" s="12" t="s">
        <v>401</v>
      </c>
      <c r="AV62" s="12"/>
      <c r="AW62" s="12" t="str">
        <f t="shared" si="19"/>
        <v/>
      </c>
      <c r="AX62" s="12" t="s">
        <v>401</v>
      </c>
      <c r="AY62" s="12" t="str">
        <f t="shared" si="17"/>
        <v/>
      </c>
      <c r="BA62" s="3" t="s">
        <v>223</v>
      </c>
      <c r="BB62" s="3" t="s">
        <v>224</v>
      </c>
      <c r="BC62" s="3" t="s">
        <v>225</v>
      </c>
      <c r="BD62" s="42"/>
    </row>
    <row r="63" spans="1:56" ht="140.25">
      <c r="A63" s="21" t="s">
        <v>226</v>
      </c>
      <c r="B63" s="21" t="s">
        <v>473</v>
      </c>
      <c r="C63" s="32" t="s">
        <v>3</v>
      </c>
      <c r="D63" s="4" t="s">
        <v>133</v>
      </c>
      <c r="E63" s="11">
        <v>21076000000</v>
      </c>
      <c r="F63" s="5" t="str">
        <f>IF(ISNUMBER(Table1[[#This Row],[2019 Scope 3 ]]),IF(Table1[[#This Row],[Net Earnings/Income (2019)]]-k_cost*Table1[[#This Row],[2019 Total Scope 1, 2 + 3]]&lt;0,"Y","N"),"NA")</f>
        <v>N</v>
      </c>
      <c r="G63" s="54" t="str">
        <f>IF(ISNUMBER(Table1[[#This Row],[2019 Scope 3 ]]),IF(k_cost*Table1[[#This Row],[2019 Total Scope 1, 2 + 3]]/Table1[[#This Row],[Size (2019 Revenue)]]&gt;k_rev_max,"Y","N"),"NA")</f>
        <v>Y</v>
      </c>
      <c r="H63" s="54" t="str">
        <f>IF(OR(Table1[[#This Row],[Net earnings post carbon price @85/t]]="Y",Table1[[#This Row],[Carbon costs in % revenue]] = "Y"),"Y",IF(OR(Table1[[#This Row],[Net earnings post carbon price @85/t]]="NA",Table1[[#This Row],[Carbon costs in % revenue]]="NA"),"NA","N"))</f>
        <v>Y</v>
      </c>
      <c r="I63" s="11">
        <v>6025000000</v>
      </c>
      <c r="J63" s="10">
        <v>1965</v>
      </c>
      <c r="K63" t="s">
        <v>1</v>
      </c>
      <c r="L63" t="s">
        <v>0</v>
      </c>
      <c r="M63" t="s">
        <v>1</v>
      </c>
      <c r="P63" s="3" t="s">
        <v>227</v>
      </c>
      <c r="R63" t="s">
        <v>0</v>
      </c>
      <c r="T63" s="51">
        <f>IFERROR((Table1[[#This Row],[2019 Total Scope 1, 2 + 3]])/Table1[[#This Row],[2018 Total Scope 1, 2 + Scope 3]]-1,"NA")</f>
        <v>0.45160716925870581</v>
      </c>
      <c r="V63" s="12">
        <v>107034.65</v>
      </c>
      <c r="W63" s="12">
        <v>492114.18</v>
      </c>
      <c r="X63" s="12"/>
      <c r="Y63" s="12">
        <f t="shared" si="10"/>
        <v>599148.82999999996</v>
      </c>
      <c r="Z63" s="12">
        <f>41115851.55+2358793.15+1947637.85+1535857.79+5997501.76</f>
        <v>52955642.099999994</v>
      </c>
      <c r="AA63" s="12">
        <f t="shared" si="11"/>
        <v>53554790.929999992</v>
      </c>
      <c r="AB63" s="12">
        <v>111499.18</v>
      </c>
      <c r="AC63" s="12">
        <v>491052.97</v>
      </c>
      <c r="AD63" s="12"/>
      <c r="AE63" s="12">
        <f t="shared" si="12"/>
        <v>602552.14999999991</v>
      </c>
      <c r="AF63" s="12">
        <f>31745364+1422677+745592+1487635+17507+115459+756660</f>
        <v>36290894</v>
      </c>
      <c r="AG63" s="12">
        <f t="shared" si="13"/>
        <v>36893446.149999999</v>
      </c>
      <c r="AH63" s="12">
        <f>0.151*1000000</f>
        <v>151000</v>
      </c>
      <c r="AI63" s="12">
        <f>0.764*1000000</f>
        <v>764000</v>
      </c>
      <c r="AJ63" s="12"/>
      <c r="AK63" s="12">
        <f t="shared" si="14"/>
        <v>915000</v>
      </c>
      <c r="AL63" s="12"/>
      <c r="AM63" s="12">
        <f t="shared" si="15"/>
        <v>915000</v>
      </c>
      <c r="AN63" s="12">
        <f>0.182*1000000</f>
        <v>182000</v>
      </c>
      <c r="AO63" s="12">
        <f>1.78*1000000</f>
        <v>1780000</v>
      </c>
      <c r="AP63" s="12"/>
      <c r="AQ63" s="12">
        <f t="shared" si="18"/>
        <v>1962000</v>
      </c>
      <c r="AR63" s="12">
        <f>28983578+850284+6843336</f>
        <v>36677198</v>
      </c>
      <c r="AS63" s="12">
        <f t="shared" si="16"/>
        <v>38639198</v>
      </c>
      <c r="AT63" s="12">
        <f>0.178*1000000</f>
        <v>178000</v>
      </c>
      <c r="AU63" s="12">
        <f>2.03*1000000</f>
        <v>2029999.9999999998</v>
      </c>
      <c r="AV63" s="12"/>
      <c r="AW63" s="12">
        <f t="shared" si="19"/>
        <v>2208000</v>
      </c>
      <c r="AX63" s="12" t="s">
        <v>401</v>
      </c>
      <c r="AY63" s="12" t="str">
        <f t="shared" si="17"/>
        <v/>
      </c>
      <c r="BA63" s="3" t="s">
        <v>228</v>
      </c>
      <c r="BB63" s="3" t="s">
        <v>229</v>
      </c>
      <c r="BC63" s="3" t="s">
        <v>230</v>
      </c>
      <c r="BD63" s="42"/>
    </row>
    <row r="64" spans="1:56" ht="102">
      <c r="A64" s="21" t="s">
        <v>231</v>
      </c>
      <c r="B64" s="21" t="s">
        <v>231</v>
      </c>
      <c r="C64" s="32" t="s">
        <v>7</v>
      </c>
      <c r="D64" s="4" t="s">
        <v>66</v>
      </c>
      <c r="E64" s="11">
        <v>30557000000</v>
      </c>
      <c r="F64" s="5" t="str">
        <f>IF(ISNUMBER(Table1[[#This Row],[2019 Scope 3 ]]),IF(Table1[[#This Row],[Net Earnings/Income (2019)]]-k_cost*Table1[[#This Row],[2019 Total Scope 1, 2 + 3]]&lt;0,"Y","N"),"NA")</f>
        <v>N</v>
      </c>
      <c r="G64" s="54" t="str">
        <f>IF(ISNUMBER(Table1[[#This Row],[2019 Scope 3 ]]),IF(k_cost*Table1[[#This Row],[2019 Total Scope 1, 2 + 3]]/Table1[[#This Row],[Size (2019 Revenue)]]&gt;k_rev_max,"Y","N"),"NA")</f>
        <v>N</v>
      </c>
      <c r="H64" s="54" t="str">
        <f>IF(OR(Table1[[#This Row],[Net earnings post carbon price @85/t]]="Y",Table1[[#This Row],[Carbon costs in % revenue]] = "Y"),"Y",IF(OR(Table1[[#This Row],[Net earnings post carbon price @85/t]]="NA",Table1[[#This Row],[Carbon costs in % revenue]]="NA"),"NA","N"))</f>
        <v>N</v>
      </c>
      <c r="I64" s="11">
        <v>4631000000</v>
      </c>
      <c r="J64" s="10">
        <v>1982</v>
      </c>
      <c r="K64" t="s">
        <v>1</v>
      </c>
      <c r="L64" t="s">
        <v>0</v>
      </c>
      <c r="M64" t="s">
        <v>0</v>
      </c>
      <c r="P64" s="3" t="s">
        <v>232</v>
      </c>
      <c r="R64" t="s">
        <v>0</v>
      </c>
      <c r="T64" s="51">
        <f>IFERROR((Table1[[#This Row],[2019 Total Scope 1, 2 + 3]])/Table1[[#This Row],[2018 Total Scope 1, 2 + Scope 3]]-1,"NA")</f>
        <v>5.5419113323956104E-2</v>
      </c>
      <c r="V64" s="12">
        <v>62931</v>
      </c>
      <c r="W64" s="12">
        <v>225841</v>
      </c>
      <c r="X64" s="12"/>
      <c r="Y64" s="12">
        <f t="shared" si="10"/>
        <v>288772</v>
      </c>
      <c r="Z64" s="12">
        <f>235863+42619</f>
        <v>278482</v>
      </c>
      <c r="AA64" s="12">
        <f t="shared" si="11"/>
        <v>567254</v>
      </c>
      <c r="AB64" s="12">
        <v>65312</v>
      </c>
      <c r="AC64" s="12">
        <v>233364</v>
      </c>
      <c r="AD64" s="12"/>
      <c r="AE64" s="12">
        <f t="shared" si="12"/>
        <v>298676</v>
      </c>
      <c r="AF64" s="12">
        <f>203421+35371</f>
        <v>238792</v>
      </c>
      <c r="AG64" s="12">
        <f t="shared" si="13"/>
        <v>537468</v>
      </c>
      <c r="AH64" s="12">
        <v>74992</v>
      </c>
      <c r="AI64" s="12">
        <v>269008</v>
      </c>
      <c r="AJ64" s="12"/>
      <c r="AK64" s="12">
        <f t="shared" si="14"/>
        <v>344000</v>
      </c>
      <c r="AL64" s="12"/>
      <c r="AM64" s="12">
        <f t="shared" si="15"/>
        <v>344000</v>
      </c>
      <c r="AN64" s="12" t="s">
        <v>0</v>
      </c>
      <c r="AO64" s="12" t="s">
        <v>0</v>
      </c>
      <c r="AP64" s="12" t="s">
        <v>0</v>
      </c>
      <c r="AQ64" s="12" t="str">
        <f t="shared" si="18"/>
        <v/>
      </c>
      <c r="AR64" s="12" t="s">
        <v>0</v>
      </c>
      <c r="AS64" s="12" t="str">
        <f t="shared" si="16"/>
        <v/>
      </c>
      <c r="AT64" s="12" t="s">
        <v>0</v>
      </c>
      <c r="AU64" s="12" t="s">
        <v>0</v>
      </c>
      <c r="AV64" s="12" t="s">
        <v>0</v>
      </c>
      <c r="AW64" s="12" t="str">
        <f t="shared" si="19"/>
        <v/>
      </c>
      <c r="AX64" s="12" t="s">
        <v>0</v>
      </c>
      <c r="AY64" s="12" t="str">
        <f t="shared" si="17"/>
        <v/>
      </c>
      <c r="BA64" s="3" t="s">
        <v>233</v>
      </c>
      <c r="BB64" s="4" t="s">
        <v>430</v>
      </c>
      <c r="BC64" s="3" t="s">
        <v>234</v>
      </c>
      <c r="BD64" s="42"/>
    </row>
    <row r="65" spans="1:56" ht="89.25">
      <c r="A65" s="21" t="s">
        <v>235</v>
      </c>
      <c r="B65" s="21" t="s">
        <v>469</v>
      </c>
      <c r="C65" s="32" t="s">
        <v>7</v>
      </c>
      <c r="D65" s="4" t="s">
        <v>69</v>
      </c>
      <c r="E65" s="5">
        <v>42290000000</v>
      </c>
      <c r="F65" s="5" t="str">
        <f>IF(ISNUMBER(Table1[[#This Row],[2019 Scope 3 ]]),IF(Table1[[#This Row],[Net Earnings/Income (2019)]]-k_cost*Table1[[#This Row],[2019 Total Scope 1, 2 + 3]]&lt;0,"Y","N"),"NA")</f>
        <v>N</v>
      </c>
      <c r="G65" s="54" t="str">
        <f>IF(ISNUMBER(Table1[[#This Row],[2019 Scope 3 ]]),IF(k_cost*Table1[[#This Row],[2019 Total Scope 1, 2 + 3]]/Table1[[#This Row],[Size (2019 Revenue)]]&gt;k_rev_max,"Y","N"),"NA")</f>
        <v>N</v>
      </c>
      <c r="H65" s="54" t="str">
        <f>IF(OR(Table1[[#This Row],[Net earnings post carbon price @85/t]]="Y",Table1[[#This Row],[Carbon costs in % revenue]] = "Y"),"Y",IF(OR(Table1[[#This Row],[Net earnings post carbon price @85/t]]="NA",Table1[[#This Row],[Carbon costs in % revenue]]="NA"),"NA","N"))</f>
        <v>N</v>
      </c>
      <c r="I65" s="5">
        <v>6220000000</v>
      </c>
      <c r="J65" s="9"/>
      <c r="K65" s="5" t="s">
        <v>1</v>
      </c>
      <c r="L65" t="s">
        <v>0</v>
      </c>
      <c r="M65" t="s">
        <v>0</v>
      </c>
      <c r="P65" s="3" t="s">
        <v>236</v>
      </c>
      <c r="R65" t="s">
        <v>0</v>
      </c>
      <c r="S65" s="3" t="s">
        <v>237</v>
      </c>
      <c r="T65" s="53">
        <f>IFERROR((Table1[[#This Row],[2019 Total Scope 1, 2 + 3]])/Table1[[#This Row],[2018 Total Scope 1, 2 + Scope 3]]-1,"NA")</f>
        <v>8.5439371227160388E-2</v>
      </c>
      <c r="U65" s="3"/>
      <c r="V65" s="12">
        <v>755340</v>
      </c>
      <c r="W65" s="12">
        <v>316630</v>
      </c>
      <c r="X65" s="12"/>
      <c r="Y65" s="12">
        <f t="shared" si="10"/>
        <v>1071970</v>
      </c>
      <c r="Z65" s="12">
        <f>5155100+339900+240700+271200+19500+340400+272000+133200+142100+51500</f>
        <v>6965600</v>
      </c>
      <c r="AA65" s="12">
        <f t="shared" si="11"/>
        <v>8037570</v>
      </c>
      <c r="AB65" s="12">
        <v>783500</v>
      </c>
      <c r="AC65" s="12">
        <v>389700</v>
      </c>
      <c r="AD65" s="12"/>
      <c r="AE65" s="12">
        <f t="shared" si="12"/>
        <v>1173200</v>
      </c>
      <c r="AF65" s="12">
        <v>6231700</v>
      </c>
      <c r="AG65" s="12">
        <f t="shared" si="13"/>
        <v>7404900</v>
      </c>
      <c r="AH65" s="12">
        <v>801600</v>
      </c>
      <c r="AI65" s="12">
        <v>462500</v>
      </c>
      <c r="AJ65" s="12"/>
      <c r="AK65" s="12">
        <f t="shared" si="14"/>
        <v>1264100</v>
      </c>
      <c r="AL65" s="12">
        <f>4997600+192900+262100+267100+16000+218200+262200+121900+205800+42200</f>
        <v>6586000</v>
      </c>
      <c r="AM65" s="12">
        <f t="shared" si="15"/>
        <v>7850100</v>
      </c>
      <c r="AN65" s="12">
        <v>847400</v>
      </c>
      <c r="AO65" s="12">
        <v>562200</v>
      </c>
      <c r="AP65" s="12"/>
      <c r="AQ65" s="12">
        <f t="shared" si="18"/>
        <v>1409600</v>
      </c>
      <c r="AR65" s="12">
        <f>6204000+224000+304500+255500+16800+265400+301500+118000+248400+37000</f>
        <v>7975100</v>
      </c>
      <c r="AS65" s="12">
        <f t="shared" si="16"/>
        <v>9384700</v>
      </c>
      <c r="AT65" s="12">
        <v>865100</v>
      </c>
      <c r="AU65" s="12">
        <v>635900</v>
      </c>
      <c r="AV65" s="12"/>
      <c r="AW65" s="12">
        <f t="shared" si="19"/>
        <v>1501000</v>
      </c>
      <c r="AX65" s="12" t="s">
        <v>401</v>
      </c>
      <c r="AY65" s="12" t="str">
        <f t="shared" si="17"/>
        <v/>
      </c>
      <c r="BA65" s="3" t="s">
        <v>238</v>
      </c>
      <c r="BC65" s="3" t="s">
        <v>239</v>
      </c>
      <c r="BD65" s="42"/>
    </row>
    <row r="66" spans="1:56" ht="114.75">
      <c r="A66" s="21" t="s">
        <v>240</v>
      </c>
      <c r="B66" s="21" t="s">
        <v>465</v>
      </c>
      <c r="C66" s="32" t="s">
        <v>6</v>
      </c>
      <c r="D66" s="4" t="s">
        <v>76</v>
      </c>
      <c r="E66" s="5">
        <v>67941000000</v>
      </c>
      <c r="F66" s="5" t="str">
        <f>IF(ISNUMBER(Table1[[#This Row],[2019 Scope 3 ]]),IF(Table1[[#This Row],[Net Earnings/Income (2019)]]-k_cost*Table1[[#This Row],[2019 Total Scope 1, 2 + 3]]&lt;0,"Y","N"),"NA")</f>
        <v>N</v>
      </c>
      <c r="G66" s="54" t="str">
        <f>IF(ISNUMBER(Table1[[#This Row],[2019 Scope 3 ]]),IF(k_cost*Table1[[#This Row],[2019 Total Scope 1, 2 + 3]]/Table1[[#This Row],[Size (2019 Revenue)]]&gt;k_rev_max,"Y","N"),"NA")</f>
        <v>N</v>
      </c>
      <c r="H66" s="54" t="str">
        <f>IF(OR(Table1[[#This Row],[Net earnings post carbon price @85/t]]="Y",Table1[[#This Row],[Carbon costs in % revenue]] = "Y"),"Y",IF(OR(Table1[[#This Row],[Net earnings post carbon price @85/t]]="NA",Table1[[#This Row],[Carbon costs in % revenue]]="NA"),"NA","N"))</f>
        <v>N</v>
      </c>
      <c r="I66" s="5">
        <v>5070000000</v>
      </c>
      <c r="J66" s="9">
        <v>2000</v>
      </c>
      <c r="K66" s="5" t="s">
        <v>1</v>
      </c>
      <c r="L66" t="s">
        <v>1</v>
      </c>
      <c r="M66" t="s">
        <v>0</v>
      </c>
      <c r="N66">
        <v>2016</v>
      </c>
      <c r="O66">
        <v>2015</v>
      </c>
      <c r="Q66" t="s">
        <v>1</v>
      </c>
      <c r="R66" t="s">
        <v>0</v>
      </c>
      <c r="T66" s="51">
        <f>IFERROR((Table1[[#This Row],[2019 Total Scope 1, 2 + 3]])/Table1[[#This Row],[2018 Total Scope 1, 2 + Scope 3]]-1,"NA")</f>
        <v>-6.6632073024034733E-2</v>
      </c>
      <c r="V66" s="12">
        <v>13613</v>
      </c>
      <c r="W66" s="12">
        <v>0</v>
      </c>
      <c r="X66" s="12"/>
      <c r="Y66" s="12">
        <f t="shared" ref="Y66:Y70" si="20">IFERROR(V66+W66-X66,"")</f>
        <v>13613</v>
      </c>
      <c r="Z66" s="12">
        <v>25959</v>
      </c>
      <c r="AA66" s="12">
        <f t="shared" ref="AA66:AA97" si="21">IFERROR(Y66+Z66,"")</f>
        <v>39572</v>
      </c>
      <c r="AB66" s="12">
        <v>16016</v>
      </c>
      <c r="AC66" s="12">
        <v>0</v>
      </c>
      <c r="AD66" s="12"/>
      <c r="AE66" s="12">
        <f t="shared" ref="AE66:AE70" si="22">IFERROR(AB66+AC66-AD66,"")</f>
        <v>16016</v>
      </c>
      <c r="AF66" s="12">
        <v>26381</v>
      </c>
      <c r="AG66" s="12">
        <f t="shared" ref="AG66:AG97" si="23">IFERROR(AE66+AF66,"")</f>
        <v>42397</v>
      </c>
      <c r="AH66" s="12">
        <v>15722</v>
      </c>
      <c r="AI66" s="12">
        <v>0</v>
      </c>
      <c r="AJ66" s="12"/>
      <c r="AK66" s="12">
        <f t="shared" ref="AK66:AK70" si="24">IFERROR(AH66+AI66-AJ66,"")</f>
        <v>15722</v>
      </c>
      <c r="AL66" s="12">
        <v>34019</v>
      </c>
      <c r="AM66" s="12">
        <f t="shared" ref="AM66:AM97" si="25">IFERROR(AK66+AL66,"")</f>
        <v>49741</v>
      </c>
      <c r="AN66" s="12">
        <v>17555</v>
      </c>
      <c r="AO66" s="12">
        <v>0</v>
      </c>
      <c r="AP66" s="12"/>
      <c r="AQ66" s="12">
        <f t="shared" si="18"/>
        <v>17555</v>
      </c>
      <c r="AR66" s="12">
        <v>34019</v>
      </c>
      <c r="AS66" s="12">
        <f t="shared" ref="AS66:AS97" si="26">IFERROR(AQ66+AR66,"")</f>
        <v>51574</v>
      </c>
      <c r="AT66" s="12">
        <v>19780</v>
      </c>
      <c r="AU66" s="12">
        <v>67962</v>
      </c>
      <c r="AV66" s="12"/>
      <c r="AW66" s="12">
        <f t="shared" si="19"/>
        <v>87742</v>
      </c>
      <c r="AX66" s="12">
        <v>36166</v>
      </c>
      <c r="AY66" s="12">
        <f t="shared" ref="AY66:AY97" si="27">IFERROR(AW66+AX66,"")</f>
        <v>123908</v>
      </c>
      <c r="AZ66" s="30" t="s">
        <v>0</v>
      </c>
      <c r="BA66" s="14" t="s">
        <v>241</v>
      </c>
      <c r="BB66" t="s">
        <v>242</v>
      </c>
      <c r="BC66" s="3" t="s">
        <v>243</v>
      </c>
      <c r="BD66" s="42"/>
    </row>
    <row r="67" spans="1:56" ht="153">
      <c r="A67" s="21" t="s">
        <v>244</v>
      </c>
      <c r="B67" s="21" t="s">
        <v>468</v>
      </c>
      <c r="C67" s="32" t="s">
        <v>11</v>
      </c>
      <c r="D67" s="4" t="s">
        <v>74</v>
      </c>
      <c r="E67" s="5">
        <v>125800000000</v>
      </c>
      <c r="F67" s="5" t="str">
        <f>IF(ISNUMBER(Table1[[#This Row],[2019 Scope 3 ]]),IF(Table1[[#This Row],[Net Earnings/Income (2019)]]-k_cost*Table1[[#This Row],[2019 Total Scope 1, 2 + 3]]&lt;0,"Y","N"),"NA")</f>
        <v>N</v>
      </c>
      <c r="G67" s="54" t="str">
        <f>IF(ISNUMBER(Table1[[#This Row],[2019 Scope 3 ]]),IF(k_cost*Table1[[#This Row],[2019 Total Scope 1, 2 + 3]]/Table1[[#This Row],[Size (2019 Revenue)]]&gt;k_rev_max,"Y","N"),"NA")</f>
        <v>N</v>
      </c>
      <c r="H67" s="54" t="str">
        <f>IF(OR(Table1[[#This Row],[Net earnings post carbon price @85/t]]="Y",Table1[[#This Row],[Carbon costs in % revenue]] = "Y"),"Y",IF(OR(Table1[[#This Row],[Net earnings post carbon price @85/t]]="NA",Table1[[#This Row],[Carbon costs in % revenue]]="NA"),"NA","N"))</f>
        <v>N</v>
      </c>
      <c r="I67" s="5">
        <v>39240000000</v>
      </c>
      <c r="J67" s="9">
        <v>1986</v>
      </c>
      <c r="K67" s="5" t="s">
        <v>1</v>
      </c>
      <c r="L67" t="s">
        <v>1</v>
      </c>
      <c r="M67" s="3" t="s">
        <v>1</v>
      </c>
      <c r="N67">
        <v>2030</v>
      </c>
      <c r="O67">
        <v>2020</v>
      </c>
      <c r="Q67" t="s">
        <v>1</v>
      </c>
      <c r="R67" t="s">
        <v>1</v>
      </c>
      <c r="S67">
        <v>2014</v>
      </c>
      <c r="T67" s="51">
        <f>IFERROR((Table1[[#This Row],[2019 Total Scope 1, 2 + 3]])/Table1[[#This Row],[2018 Total Scope 1, 2 + Scope 3]]-1,"NA")</f>
        <v>-3.1748656469615555E-2</v>
      </c>
      <c r="V67" s="12">
        <v>113412</v>
      </c>
      <c r="W67" s="12">
        <v>275375</v>
      </c>
      <c r="X67" s="12"/>
      <c r="Y67" s="12">
        <f t="shared" si="20"/>
        <v>388787</v>
      </c>
      <c r="Z67" s="12">
        <v>11322213</v>
      </c>
      <c r="AA67" s="12">
        <f t="shared" si="21"/>
        <v>11711000</v>
      </c>
      <c r="AB67" s="12">
        <v>90723</v>
      </c>
      <c r="AC67" s="12">
        <v>183329</v>
      </c>
      <c r="AD67" s="12"/>
      <c r="AE67" s="12">
        <f t="shared" si="22"/>
        <v>274052</v>
      </c>
      <c r="AF67" s="12">
        <v>11820948</v>
      </c>
      <c r="AG67" s="12">
        <f t="shared" si="23"/>
        <v>12095000</v>
      </c>
      <c r="AH67" s="12">
        <v>97639</v>
      </c>
      <c r="AI67" s="12">
        <v>139110</v>
      </c>
      <c r="AJ67" s="12"/>
      <c r="AK67" s="12">
        <f t="shared" si="24"/>
        <v>236749</v>
      </c>
      <c r="AL67" s="12">
        <v>10963251</v>
      </c>
      <c r="AM67" s="12">
        <f t="shared" si="25"/>
        <v>11200000</v>
      </c>
      <c r="AN67" s="12">
        <v>94651</v>
      </c>
      <c r="AO67" s="12">
        <v>37087</v>
      </c>
      <c r="AP67" s="12"/>
      <c r="AQ67" s="12">
        <f t="shared" si="18"/>
        <v>131738</v>
      </c>
      <c r="AR67" s="12">
        <v>11155883</v>
      </c>
      <c r="AS67" s="12">
        <f t="shared" si="26"/>
        <v>11287621</v>
      </c>
      <c r="AT67" s="12">
        <v>94548</v>
      </c>
      <c r="AU67" s="12">
        <v>1697297</v>
      </c>
      <c r="AV67" s="12"/>
      <c r="AW67" s="12">
        <f t="shared" si="19"/>
        <v>1791845</v>
      </c>
      <c r="AX67" s="12">
        <v>9050676</v>
      </c>
      <c r="AY67" s="12">
        <f t="shared" si="27"/>
        <v>10842521</v>
      </c>
      <c r="AZ67" s="30" t="s">
        <v>1</v>
      </c>
      <c r="BA67" s="14" t="s">
        <v>245</v>
      </c>
      <c r="BC67" s="3" t="s">
        <v>246</v>
      </c>
      <c r="BD67" s="42"/>
    </row>
    <row r="68" spans="1:56" ht="127.5">
      <c r="A68" s="21" t="s">
        <v>247</v>
      </c>
      <c r="B68" s="21" t="s">
        <v>448</v>
      </c>
      <c r="C68" s="21" t="s">
        <v>4</v>
      </c>
      <c r="D68" s="4" t="s">
        <v>133</v>
      </c>
      <c r="E68" s="11">
        <v>25870000000</v>
      </c>
      <c r="F68" s="5" t="str">
        <f>IF(ISNUMBER(Table1[[#This Row],[2019 Scope 3 ]]),IF(Table1[[#This Row],[Net Earnings/Income (2019)]]-k_cost*Table1[[#This Row],[2019 Total Scope 1, 2 + 3]]&lt;0,"Y","N"),"NA")</f>
        <v>N</v>
      </c>
      <c r="G68" s="54" t="str">
        <f>IF(ISNUMBER(Table1[[#This Row],[2019 Scope 3 ]]),IF(k_cost*Table1[[#This Row],[2019 Total Scope 1, 2 + 3]]/Table1[[#This Row],[Size (2019 Revenue)]]&gt;k_rev_max,"Y","N"),"NA")</f>
        <v>Y</v>
      </c>
      <c r="H68" s="54" t="str">
        <f>IF(OR(Table1[[#This Row],[Net earnings post carbon price @85/t]]="Y",Table1[[#This Row],[Carbon costs in % revenue]] = "Y"),"Y",IF(OR(Table1[[#This Row],[Net earnings post carbon price @85/t]]="NA",Table1[[#This Row],[Carbon costs in % revenue]]="NA"),"NA","N"))</f>
        <v>Y</v>
      </c>
      <c r="I68" s="11">
        <v>3870000000</v>
      </c>
      <c r="J68" s="10">
        <v>2012</v>
      </c>
      <c r="K68" t="s">
        <v>1</v>
      </c>
      <c r="L68" t="s">
        <v>0</v>
      </c>
      <c r="M68" t="s">
        <v>1</v>
      </c>
      <c r="P68" s="3" t="s">
        <v>248</v>
      </c>
      <c r="R68" t="s">
        <v>0</v>
      </c>
      <c r="T68" s="51">
        <f>IFERROR((Table1[[#This Row],[2019 Total Scope 1, 2 + 3]])/Table1[[#This Row],[2018 Total Scope 1, 2 + Scope 3]]-1,"NA")</f>
        <v>-8.0539152980555473E-2</v>
      </c>
      <c r="V68" s="12">
        <v>856590</v>
      </c>
      <c r="W68" s="12">
        <v>906349</v>
      </c>
      <c r="X68" s="12"/>
      <c r="Y68" s="12">
        <f t="shared" si="20"/>
        <v>1762939</v>
      </c>
      <c r="Z68" s="12">
        <f>15034298+1164761+2311217+84072+41446+190306+89945+52986+883179</f>
        <v>19852210</v>
      </c>
      <c r="AA68" s="12">
        <f t="shared" si="21"/>
        <v>21615149</v>
      </c>
      <c r="AB68" s="12">
        <v>819933</v>
      </c>
      <c r="AC68" s="12">
        <v>958647</v>
      </c>
      <c r="AD68" s="12"/>
      <c r="AE68" s="12">
        <f t="shared" si="22"/>
        <v>1778580</v>
      </c>
      <c r="AF68" s="12">
        <f>16999803+1043010+1261233+124957+47729+208314+1047969+207837+789072</f>
        <v>21729924</v>
      </c>
      <c r="AG68" s="12">
        <f t="shared" si="23"/>
        <v>23508504</v>
      </c>
      <c r="AH68" s="12">
        <v>778304</v>
      </c>
      <c r="AI68" s="12">
        <v>907536</v>
      </c>
      <c r="AJ68" s="12"/>
      <c r="AK68" s="12">
        <f t="shared" si="24"/>
        <v>1685840</v>
      </c>
      <c r="AL68" s="12">
        <f>8964770+457311+1005369+74429+80431+210026+641840+90737+692102</f>
        <v>12217015</v>
      </c>
      <c r="AM68" s="12">
        <f t="shared" si="25"/>
        <v>13902855</v>
      </c>
      <c r="AN68" s="12">
        <v>812564</v>
      </c>
      <c r="AO68" s="12">
        <v>987618</v>
      </c>
      <c r="AP68" s="12"/>
      <c r="AQ68" s="12">
        <f t="shared" si="18"/>
        <v>1800182</v>
      </c>
      <c r="AR68" s="12">
        <f>9288253+462304+1049737+74019+74623+215465+629249+93432+691352</f>
        <v>12578434</v>
      </c>
      <c r="AS68" s="12">
        <f t="shared" si="26"/>
        <v>14378616</v>
      </c>
      <c r="AT68" s="12">
        <v>757010</v>
      </c>
      <c r="AU68" s="12">
        <v>772308</v>
      </c>
      <c r="AV68" s="12"/>
      <c r="AW68" s="12">
        <f t="shared" si="19"/>
        <v>1529318</v>
      </c>
      <c r="AX68" s="12">
        <f>11056117+352033+1062374+109729+122282+204317+1174506+773746+499727+101190</f>
        <v>15456021</v>
      </c>
      <c r="AY68" s="12">
        <f t="shared" si="27"/>
        <v>16985339</v>
      </c>
      <c r="BA68" s="18" t="s">
        <v>249</v>
      </c>
      <c r="BB68" s="3" t="s">
        <v>250</v>
      </c>
      <c r="BC68" s="3" t="s">
        <v>251</v>
      </c>
      <c r="BD68" s="42"/>
    </row>
    <row r="69" spans="1:56" ht="76.5">
      <c r="A69" s="21" t="s">
        <v>252</v>
      </c>
      <c r="B69" s="21" t="s">
        <v>252</v>
      </c>
      <c r="C69" s="32" t="s">
        <v>6</v>
      </c>
      <c r="D69" s="4" t="s">
        <v>109</v>
      </c>
      <c r="E69" s="5">
        <v>41419000000</v>
      </c>
      <c r="F69" s="5" t="str">
        <f>IF(ISNUMBER(Table1[[#This Row],[2019 Scope 3 ]]),IF(Table1[[#This Row],[Net Earnings/Income (2019)]]-k_cost*Table1[[#This Row],[2019 Total Scope 1, 2 + 3]]&lt;0,"Y","N"),"NA")</f>
        <v>N</v>
      </c>
      <c r="G69" s="54" t="str">
        <f>IF(ISNUMBER(Table1[[#This Row],[2019 Scope 3 ]]),IF(k_cost*Table1[[#This Row],[2019 Total Scope 1, 2 + 3]]/Table1[[#This Row],[Size (2019 Revenue)]]&gt;k_rev_max,"Y","N"),"NA")</f>
        <v>N</v>
      </c>
      <c r="H69" s="54" t="str">
        <f>IF(OR(Table1[[#This Row],[Net earnings post carbon price @85/t]]="Y",Table1[[#This Row],[Carbon costs in % revenue]] = "Y"),"Y",IF(OR(Table1[[#This Row],[Net earnings post carbon price @85/t]]="NA",Table1[[#This Row],[Carbon costs in % revenue]]="NA"),"NA","N"))</f>
        <v>N</v>
      </c>
      <c r="I69" s="5">
        <v>8512000000</v>
      </c>
      <c r="J69" s="9">
        <v>1935</v>
      </c>
      <c r="K69" s="5" t="s">
        <v>1</v>
      </c>
      <c r="L69" t="s">
        <v>1</v>
      </c>
      <c r="M69" t="s">
        <v>0</v>
      </c>
      <c r="N69">
        <v>2022</v>
      </c>
      <c r="O69">
        <v>2017</v>
      </c>
      <c r="R69" t="s">
        <v>1</v>
      </c>
      <c r="S69">
        <v>2022</v>
      </c>
      <c r="T69" s="51">
        <f>IFERROR((Table1[[#This Row],[2019 Total Scope 1, 2 + 3]])/Table1[[#This Row],[2018 Total Scope 1, 2 + Scope 3]]-1,"NA")</f>
        <v>9.6022766710626817E-2</v>
      </c>
      <c r="V69" s="12">
        <v>28300</v>
      </c>
      <c r="W69" s="12">
        <v>176200</v>
      </c>
      <c r="X69" s="12"/>
      <c r="Y69" s="12">
        <f t="shared" si="20"/>
        <v>204500</v>
      </c>
      <c r="Z69" s="12">
        <f>911000+192000+46600+6490+99700+112550+6000+200</f>
        <v>1374540</v>
      </c>
      <c r="AA69" s="12">
        <f t="shared" si="21"/>
        <v>1579040</v>
      </c>
      <c r="AB69" s="12">
        <v>29800</v>
      </c>
      <c r="AC69" s="12">
        <v>183900</v>
      </c>
      <c r="AD69" s="12"/>
      <c r="AE69" s="12">
        <f t="shared" si="22"/>
        <v>213700</v>
      </c>
      <c r="AF69" s="12">
        <v>1227000</v>
      </c>
      <c r="AG69" s="12">
        <f t="shared" si="23"/>
        <v>1440700</v>
      </c>
      <c r="AH69" s="12">
        <v>29450</v>
      </c>
      <c r="AI69" s="12">
        <v>178350</v>
      </c>
      <c r="AJ69" s="12"/>
      <c r="AK69" s="12">
        <f t="shared" si="24"/>
        <v>207800</v>
      </c>
      <c r="AL69" s="12">
        <v>1357000</v>
      </c>
      <c r="AM69" s="12">
        <f t="shared" si="25"/>
        <v>1564800</v>
      </c>
      <c r="AN69" s="12">
        <v>27610</v>
      </c>
      <c r="AO69" s="12">
        <v>237080</v>
      </c>
      <c r="AP69" s="12"/>
      <c r="AQ69" s="12">
        <f t="shared" si="18"/>
        <v>264690</v>
      </c>
      <c r="AR69" s="12">
        <f>1600000+190000+54941+3110+93950+110000+6000+260</f>
        <v>2058261</v>
      </c>
      <c r="AS69" s="12">
        <f t="shared" si="26"/>
        <v>2322951</v>
      </c>
      <c r="AT69" s="12">
        <v>33870</v>
      </c>
      <c r="AU69" s="12">
        <v>272720</v>
      </c>
      <c r="AV69" s="12"/>
      <c r="AW69" s="12">
        <f t="shared" si="19"/>
        <v>306590</v>
      </c>
      <c r="AX69" s="12">
        <f>1100000+190000+59920+4480+118650+112000+6000+250</f>
        <v>1591300</v>
      </c>
      <c r="AY69" s="12">
        <f t="shared" si="27"/>
        <v>1897890</v>
      </c>
      <c r="BB69" t="s">
        <v>253</v>
      </c>
      <c r="BC69" s="3" t="s">
        <v>254</v>
      </c>
      <c r="BD69" s="42"/>
    </row>
    <row r="70" spans="1:56" ht="89.25">
      <c r="A70" s="21" t="s">
        <v>255</v>
      </c>
      <c r="B70" s="21" t="s">
        <v>438</v>
      </c>
      <c r="C70" s="21" t="s">
        <v>2</v>
      </c>
      <c r="D70" s="4" t="s">
        <v>124</v>
      </c>
      <c r="E70" s="11">
        <v>20160000000</v>
      </c>
      <c r="F70" s="5" t="str">
        <f>IF(ISNUMBER(Table1[[#This Row],[2019 Scope 3 ]]),IF(Table1[[#This Row],[Net Earnings/Income (2019)]]-k_cost*Table1[[#This Row],[2019 Total Scope 1, 2 + 3]]&lt;0,"Y","N"),"NA")</f>
        <v>NA</v>
      </c>
      <c r="G70" s="54" t="str">
        <f>IF(ISNUMBER(Table1[[#This Row],[2019 Scope 3 ]]),IF(k_cost*Table1[[#This Row],[2019 Total Scope 1, 2 + 3]]/Table1[[#This Row],[Size (2019 Revenue)]]&gt;k_rev_max,"Y","N"),"NA")</f>
        <v>NA</v>
      </c>
      <c r="H70" s="54" t="str">
        <f>IF(OR(Table1[[#This Row],[Net earnings post carbon price @85/t]]="Y",Table1[[#This Row],[Carbon costs in % revenue]] = "Y"),"Y",IF(OR(Table1[[#This Row],[Net earnings post carbon price @85/t]]="NA",Table1[[#This Row],[Carbon costs in % revenue]]="NA"),"NA","N"))</f>
        <v>NA</v>
      </c>
      <c r="I70" s="11">
        <v>1866000000</v>
      </c>
      <c r="J70" s="10">
        <v>2002</v>
      </c>
      <c r="K70" t="s">
        <v>1</v>
      </c>
      <c r="L70" t="s">
        <v>0</v>
      </c>
      <c r="M70" t="s">
        <v>0</v>
      </c>
      <c r="P70" t="s">
        <v>0</v>
      </c>
      <c r="Q70" t="s">
        <v>1</v>
      </c>
      <c r="R70" t="s">
        <v>0</v>
      </c>
      <c r="S70" t="s">
        <v>0</v>
      </c>
      <c r="T70" s="51" t="str">
        <f>IFERROR((Table1[[#This Row],[2019 Total Scope 1, 2 + 3]])/Table1[[#This Row],[2018 Total Scope 1, 2 + Scope 3]]-1,"NA")</f>
        <v>NA</v>
      </c>
      <c r="V70" s="12" t="s">
        <v>401</v>
      </c>
      <c r="W70" s="12" t="s">
        <v>401</v>
      </c>
      <c r="X70" s="12"/>
      <c r="Y70" s="12" t="str">
        <f t="shared" si="20"/>
        <v/>
      </c>
      <c r="Z70" s="12" t="s">
        <v>401</v>
      </c>
      <c r="AA70" s="12" t="str">
        <f t="shared" si="21"/>
        <v/>
      </c>
      <c r="AB70" s="12" t="s">
        <v>401</v>
      </c>
      <c r="AC70" s="12" t="s">
        <v>401</v>
      </c>
      <c r="AD70" s="12"/>
      <c r="AE70" s="12" t="str">
        <f t="shared" si="22"/>
        <v/>
      </c>
      <c r="AF70" s="12" t="s">
        <v>401</v>
      </c>
      <c r="AG70" s="12" t="str">
        <f t="shared" si="23"/>
        <v/>
      </c>
      <c r="AH70" s="12" t="s">
        <v>401</v>
      </c>
      <c r="AI70" s="12" t="s">
        <v>401</v>
      </c>
      <c r="AJ70" s="12"/>
      <c r="AK70" s="12" t="str">
        <f t="shared" si="24"/>
        <v/>
      </c>
      <c r="AL70" s="12" t="s">
        <v>401</v>
      </c>
      <c r="AM70" s="12" t="str">
        <f t="shared" si="25"/>
        <v/>
      </c>
      <c r="AN70" s="12" t="s">
        <v>401</v>
      </c>
      <c r="AO70" s="12" t="s">
        <v>401</v>
      </c>
      <c r="AP70" s="12"/>
      <c r="AQ70" s="12" t="str">
        <f t="shared" si="18"/>
        <v/>
      </c>
      <c r="AR70" s="12" t="s">
        <v>401</v>
      </c>
      <c r="AS70" s="12" t="str">
        <f t="shared" si="26"/>
        <v/>
      </c>
      <c r="AT70" s="12" t="s">
        <v>401</v>
      </c>
      <c r="AU70" s="12" t="s">
        <v>401</v>
      </c>
      <c r="AV70" s="12"/>
      <c r="AW70" s="12" t="str">
        <f t="shared" si="19"/>
        <v/>
      </c>
      <c r="AX70" s="12" t="s">
        <v>401</v>
      </c>
      <c r="AY70" s="12" t="str">
        <f t="shared" si="27"/>
        <v/>
      </c>
      <c r="AZ70" t="s">
        <v>0</v>
      </c>
      <c r="BB70" s="3" t="s">
        <v>256</v>
      </c>
      <c r="BC70" s="3" t="s">
        <v>257</v>
      </c>
      <c r="BD70" s="42"/>
    </row>
    <row r="71" spans="1:56" ht="38.25">
      <c r="A71" s="21" t="s">
        <v>258</v>
      </c>
      <c r="B71" s="21" t="s">
        <v>439</v>
      </c>
      <c r="C71" s="21" t="s">
        <v>12</v>
      </c>
      <c r="D71" t="s">
        <v>12</v>
      </c>
      <c r="E71" s="11">
        <v>19204000000</v>
      </c>
      <c r="F71" s="5" t="str">
        <f>IF(ISNUMBER(Table1[[#This Row],[2019 Scope 3 ]]),IF(Table1[[#This Row],[Net Earnings/Income (2019)]]-k_cost*Table1[[#This Row],[2019 Total Scope 1, 2 + 3]]&lt;0,"Y","N"),"NA")</f>
        <v>NA</v>
      </c>
      <c r="G71" s="54" t="str">
        <f>IF(ISNUMBER(Table1[[#This Row],[2019 Scope 3 ]]),IF(k_cost*Table1[[#This Row],[2019 Total Scope 1, 2 + 3]]/Table1[[#This Row],[Size (2019 Revenue)]]&gt;k_rev_max,"Y","N"),"NA")</f>
        <v>NA</v>
      </c>
      <c r="H71" s="54" t="str">
        <f>IF(OR(Table1[[#This Row],[Net earnings post carbon price @85/t]]="Y",Table1[[#This Row],[Carbon costs in % revenue]] = "Y"),"Y",IF(OR(Table1[[#This Row],[Net earnings post carbon price @85/t]]="NA",Table1[[#This Row],[Carbon costs in % revenue]]="NA"),"NA","N"))</f>
        <v>NA</v>
      </c>
      <c r="I71" s="11">
        <v>3769000000</v>
      </c>
      <c r="J71" s="10">
        <v>2014</v>
      </c>
      <c r="K71" t="s">
        <v>1</v>
      </c>
      <c r="L71" t="s">
        <v>0</v>
      </c>
      <c r="M71" t="s">
        <v>0</v>
      </c>
      <c r="P71" t="s">
        <v>0</v>
      </c>
      <c r="Q71" t="s">
        <v>0</v>
      </c>
      <c r="R71" t="s">
        <v>0</v>
      </c>
      <c r="S71" t="s">
        <v>0</v>
      </c>
      <c r="T71" s="51" t="str">
        <f>IFERROR((Table1[[#This Row],[2019 Total Scope 1, 2 + 3]])/Table1[[#This Row],[2018 Total Scope 1, 2 + Scope 3]]-1,"NA")</f>
        <v>NA</v>
      </c>
      <c r="V71" s="12" t="s">
        <v>401</v>
      </c>
      <c r="W71" s="12" t="s">
        <v>401</v>
      </c>
      <c r="X71" s="12"/>
      <c r="Y71" s="12">
        <v>107082396</v>
      </c>
      <c r="Z71" s="12" t="s">
        <v>401</v>
      </c>
      <c r="AA71" s="12" t="str">
        <f t="shared" si="21"/>
        <v/>
      </c>
      <c r="AB71" s="12" t="s">
        <v>401</v>
      </c>
      <c r="AC71" s="12" t="s">
        <v>401</v>
      </c>
      <c r="AD71" s="12"/>
      <c r="AE71" s="12">
        <v>90006931</v>
      </c>
      <c r="AF71" s="12" t="s">
        <v>401</v>
      </c>
      <c r="AG71" s="12" t="str">
        <f t="shared" si="23"/>
        <v/>
      </c>
      <c r="AH71" s="12" t="s">
        <v>401</v>
      </c>
      <c r="AI71" s="12" t="s">
        <v>401</v>
      </c>
      <c r="AJ71" s="12"/>
      <c r="AK71" s="12">
        <v>93387385</v>
      </c>
      <c r="AL71" s="12" t="s">
        <v>401</v>
      </c>
      <c r="AM71" s="12" t="str">
        <f t="shared" si="25"/>
        <v/>
      </c>
      <c r="AN71" s="12" t="s">
        <v>401</v>
      </c>
      <c r="AO71" s="12" t="s">
        <v>401</v>
      </c>
      <c r="AP71" s="12"/>
      <c r="AQ71" s="12">
        <v>100072736</v>
      </c>
      <c r="AR71" s="12" t="s">
        <v>401</v>
      </c>
      <c r="AS71" s="12" t="str">
        <f t="shared" si="26"/>
        <v/>
      </c>
      <c r="AT71" s="12" t="s">
        <v>401</v>
      </c>
      <c r="AU71" s="12" t="s">
        <v>401</v>
      </c>
      <c r="AV71" s="12"/>
      <c r="AW71" s="12" t="str">
        <f t="shared" si="19"/>
        <v/>
      </c>
      <c r="AX71" s="12" t="s">
        <v>401</v>
      </c>
      <c r="AY71" s="12" t="str">
        <f t="shared" si="27"/>
        <v/>
      </c>
      <c r="AZ71" t="s">
        <v>1</v>
      </c>
      <c r="BA71" s="18" t="s">
        <v>259</v>
      </c>
      <c r="BB71" s="30" t="s">
        <v>433</v>
      </c>
      <c r="BC71" s="14" t="s">
        <v>432</v>
      </c>
      <c r="BD71" s="42"/>
    </row>
    <row r="72" spans="1:56" ht="204">
      <c r="A72" s="21" t="s">
        <v>260</v>
      </c>
      <c r="B72" s="21" t="s">
        <v>400</v>
      </c>
      <c r="C72" s="21" t="s">
        <v>3</v>
      </c>
      <c r="D72" s="4" t="s">
        <v>261</v>
      </c>
      <c r="E72" s="5">
        <v>39100000000</v>
      </c>
      <c r="F72" s="5" t="str">
        <f>IF(ISNUMBER(Table1[[#This Row],[2019 Scope 3 ]]),IF(Table1[[#This Row],[Net Earnings/Income (2019)]]-k_cost*Table1[[#This Row],[2019 Total Scope 1, 2 + 3]]&lt;0,"Y","N"),"NA")</f>
        <v>N</v>
      </c>
      <c r="G72" s="54" t="str">
        <f>IF(ISNUMBER(Table1[[#This Row],[2019 Scope 3 ]]),IF(k_cost*Table1[[#This Row],[2019 Total Scope 1, 2 + 3]]/Table1[[#This Row],[Size (2019 Revenue)]]&gt;k_rev_max,"Y","N"),"NA")</f>
        <v>N</v>
      </c>
      <c r="H72" s="54" t="str">
        <f>IF(OR(Table1[[#This Row],[Net earnings post carbon price @85/t]]="Y",Table1[[#This Row],[Carbon costs in % revenue]] = "Y"),"Y",IF(OR(Table1[[#This Row],[Net earnings post carbon price @85/t]]="NA",Table1[[#This Row],[Carbon costs in % revenue]]="NA"),"NA","N"))</f>
        <v>N</v>
      </c>
      <c r="I72" s="5">
        <v>4000000000</v>
      </c>
      <c r="J72" s="9">
        <v>1980</v>
      </c>
      <c r="K72" s="5" t="s">
        <v>1</v>
      </c>
      <c r="L72" t="s">
        <v>1</v>
      </c>
      <c r="M72" t="s">
        <v>1</v>
      </c>
      <c r="N72">
        <v>2050</v>
      </c>
      <c r="O72">
        <v>2020</v>
      </c>
      <c r="P72" s="3" t="s">
        <v>262</v>
      </c>
      <c r="Q72" t="s">
        <v>0</v>
      </c>
      <c r="R72" t="s">
        <v>1</v>
      </c>
      <c r="S72">
        <v>2025</v>
      </c>
      <c r="T72" s="51">
        <f>IFERROR((Table1[[#This Row],[2019 Total Scope 1, 2 + 3]])/Table1[[#This Row],[2018 Total Scope 1, 2 + Scope 3]]-1,"NA")</f>
        <v>0.15047595237228117</v>
      </c>
      <c r="V72" s="12">
        <v>46714</v>
      </c>
      <c r="W72" s="12">
        <v>209065</v>
      </c>
      <c r="X72" s="12"/>
      <c r="Y72" s="12">
        <f t="shared" ref="Y72:Y101" si="28">IFERROR(V72+W72-X72,"")</f>
        <v>255779</v>
      </c>
      <c r="Z72" s="12">
        <v>3250744</v>
      </c>
      <c r="AA72" s="12">
        <f t="shared" si="21"/>
        <v>3506523</v>
      </c>
      <c r="AB72" s="12">
        <v>41942</v>
      </c>
      <c r="AC72" s="12">
        <v>218240</v>
      </c>
      <c r="AD72" s="12"/>
      <c r="AE72" s="12">
        <f t="shared" ref="AE72:AE101" si="29">IFERROR(AB72+AC72-AD72,"")</f>
        <v>260182</v>
      </c>
      <c r="AF72" s="12">
        <v>2787707</v>
      </c>
      <c r="AG72" s="12">
        <f t="shared" si="23"/>
        <v>3047889</v>
      </c>
      <c r="AH72" s="12">
        <v>40139</v>
      </c>
      <c r="AI72" s="12">
        <v>224489</v>
      </c>
      <c r="AJ72" s="12"/>
      <c r="AK72" s="12">
        <f t="shared" ref="AK72:AK101" si="30">IFERROR(AH72+AI72-AJ72,"")</f>
        <v>264628</v>
      </c>
      <c r="AL72" s="12">
        <v>2751744</v>
      </c>
      <c r="AM72" s="12">
        <f t="shared" si="25"/>
        <v>3016372</v>
      </c>
      <c r="AN72" s="12">
        <v>37325</v>
      </c>
      <c r="AO72" s="12">
        <v>225772</v>
      </c>
      <c r="AP72" s="12"/>
      <c r="AQ72" s="12">
        <f t="shared" ref="AQ72:AQ101" si="31">IFERROR(AN72+AO72-AP72,"")</f>
        <v>263097</v>
      </c>
      <c r="AR72" s="12">
        <v>2468365</v>
      </c>
      <c r="AS72" s="12">
        <f t="shared" si="26"/>
        <v>2731462</v>
      </c>
      <c r="AT72" s="12">
        <v>35623</v>
      </c>
      <c r="AU72" s="12">
        <v>228680</v>
      </c>
      <c r="AV72" s="12"/>
      <c r="AW72" s="12">
        <f t="shared" si="19"/>
        <v>264303</v>
      </c>
      <c r="AX72" s="12">
        <v>2460556</v>
      </c>
      <c r="AY72" s="12">
        <f t="shared" si="27"/>
        <v>2724859</v>
      </c>
      <c r="AZ72" s="3" t="s">
        <v>263</v>
      </c>
      <c r="BA72" s="18" t="s">
        <v>264</v>
      </c>
      <c r="BC72" s="3" t="s">
        <v>265</v>
      </c>
      <c r="BD72" s="42"/>
    </row>
    <row r="73" spans="1:56" ht="153">
      <c r="A73" s="21" t="s">
        <v>266</v>
      </c>
      <c r="B73" s="21" t="s">
        <v>266</v>
      </c>
      <c r="C73" s="32" t="s">
        <v>11</v>
      </c>
      <c r="D73" s="4" t="s">
        <v>96</v>
      </c>
      <c r="E73" s="5">
        <v>11720000000</v>
      </c>
      <c r="F73" s="5" t="str">
        <f>IF(ISNUMBER(Table1[[#This Row],[2019 Scope 3 ]]),IF(Table1[[#This Row],[Net Earnings/Income (2019)]]-k_cost*Table1[[#This Row],[2019 Total Scope 1, 2 + 3]]&lt;0,"Y","N"),"NA")</f>
        <v>N</v>
      </c>
      <c r="G73" s="54" t="str">
        <f>IF(ISNUMBER(Table1[[#This Row],[2019 Scope 3 ]]),IF(k_cost*Table1[[#This Row],[2019 Total Scope 1, 2 + 3]]/Table1[[#This Row],[Size (2019 Revenue)]]&gt;k_rev_max,"Y","N"),"NA")</f>
        <v>N</v>
      </c>
      <c r="H73" s="54" t="str">
        <f>IF(OR(Table1[[#This Row],[Net earnings post carbon price @85/t]]="Y",Table1[[#This Row],[Carbon costs in % revenue]] = "Y"),"Y",IF(OR(Table1[[#This Row],[Net earnings post carbon price @85/t]]="NA",Table1[[#This Row],[Carbon costs in % revenue]]="NA"),"NA","N"))</f>
        <v>N</v>
      </c>
      <c r="I73" s="5">
        <v>4141000000</v>
      </c>
      <c r="J73" s="9">
        <v>1999</v>
      </c>
      <c r="K73" s="5" t="s">
        <v>1</v>
      </c>
      <c r="L73" s="4" t="s">
        <v>0</v>
      </c>
      <c r="M73" t="s">
        <v>0</v>
      </c>
      <c r="P73" s="3" t="s">
        <v>267</v>
      </c>
      <c r="R73" s="49" t="s">
        <v>0</v>
      </c>
      <c r="S73" s="3" t="s">
        <v>268</v>
      </c>
      <c r="T73" s="53">
        <f>IFERROR((Table1[[#This Row],[2019 Total Scope 1, 2 + 3]])/Table1[[#This Row],[2018 Total Scope 1, 2 + Scope 3]]-1,"NA")</f>
        <v>0.27103215424918581</v>
      </c>
      <c r="U73" s="3"/>
      <c r="V73" s="12">
        <v>2695</v>
      </c>
      <c r="W73" s="12">
        <v>60093</v>
      </c>
      <c r="X73" s="12"/>
      <c r="Y73" s="12">
        <f t="shared" si="28"/>
        <v>62788</v>
      </c>
      <c r="Z73" s="12">
        <v>427730</v>
      </c>
      <c r="AA73" s="12">
        <f t="shared" si="21"/>
        <v>490518</v>
      </c>
      <c r="AB73" s="12">
        <v>2370</v>
      </c>
      <c r="AC73" s="12">
        <v>56903</v>
      </c>
      <c r="AD73" s="12"/>
      <c r="AE73" s="12">
        <f t="shared" si="29"/>
        <v>59273</v>
      </c>
      <c r="AF73" s="12">
        <v>326648</v>
      </c>
      <c r="AG73" s="12">
        <f t="shared" si="23"/>
        <v>385921</v>
      </c>
      <c r="AH73" s="12">
        <v>2571</v>
      </c>
      <c r="AI73" s="12">
        <v>47142</v>
      </c>
      <c r="AJ73" s="12"/>
      <c r="AK73" s="12">
        <f t="shared" si="30"/>
        <v>49713</v>
      </c>
      <c r="AL73" s="12">
        <v>277014</v>
      </c>
      <c r="AM73" s="12">
        <f t="shared" si="25"/>
        <v>326727</v>
      </c>
      <c r="AN73" s="12">
        <v>2419</v>
      </c>
      <c r="AO73" s="12">
        <v>43889</v>
      </c>
      <c r="AP73" s="12"/>
      <c r="AQ73" s="12">
        <f t="shared" si="31"/>
        <v>46308</v>
      </c>
      <c r="AR73" s="12">
        <v>237579</v>
      </c>
      <c r="AS73" s="12">
        <f t="shared" si="26"/>
        <v>283887</v>
      </c>
      <c r="AT73" s="12">
        <v>3339</v>
      </c>
      <c r="AU73" s="12">
        <v>51482</v>
      </c>
      <c r="AV73" s="12"/>
      <c r="AW73" s="12">
        <f t="shared" si="19"/>
        <v>54821</v>
      </c>
      <c r="AX73" s="12">
        <v>114259</v>
      </c>
      <c r="AY73" s="12">
        <f t="shared" si="27"/>
        <v>169080</v>
      </c>
      <c r="AZ73" s="3"/>
      <c r="BA73" s="18" t="s">
        <v>269</v>
      </c>
      <c r="BC73" s="3" t="s">
        <v>270</v>
      </c>
      <c r="BD73" s="42" t="s">
        <v>493</v>
      </c>
    </row>
    <row r="74" spans="1:56" ht="178.5">
      <c r="A74" s="21" t="s">
        <v>271</v>
      </c>
      <c r="B74" s="21" t="s">
        <v>271</v>
      </c>
      <c r="C74" s="21" t="s">
        <v>5</v>
      </c>
      <c r="D74" s="4" t="s">
        <v>126</v>
      </c>
      <c r="E74" s="11">
        <v>21230000000</v>
      </c>
      <c r="F74" s="5" t="str">
        <f>IF(ISNUMBER(Table1[[#This Row],[2019 Scope 3 ]]),IF(Table1[[#This Row],[Net Earnings/Income (2019)]]-k_cost*Table1[[#This Row],[2019 Total Scope 1, 2 + 3]]&lt;0,"Y","N"),"NA")</f>
        <v>Y</v>
      </c>
      <c r="G74" s="54" t="str">
        <f>IF(ISNUMBER(Table1[[#This Row],[2019 Scope 3 ]]),IF(k_cost*Table1[[#This Row],[2019 Total Scope 1, 2 + 3]]/Table1[[#This Row],[Size (2019 Revenue)]]&gt;k_rev_max,"Y","N"),"NA")</f>
        <v>Y</v>
      </c>
      <c r="H74" s="54" t="str">
        <f>IF(OR(Table1[[#This Row],[Net earnings post carbon price @85/t]]="Y",Table1[[#This Row],[Carbon costs in % revenue]] = "Y"),"Y",IF(OR(Table1[[#This Row],[Net earnings post carbon price @85/t]]="NA",Table1[[#This Row],[Carbon costs in % revenue]]="NA"),"NA","N"))</f>
        <v>Y</v>
      </c>
      <c r="I74" s="11">
        <v>-652000000</v>
      </c>
      <c r="J74" s="10">
        <v>1986</v>
      </c>
      <c r="K74" t="s">
        <v>1</v>
      </c>
      <c r="L74" t="s">
        <v>0</v>
      </c>
      <c r="M74" t="s">
        <v>0</v>
      </c>
      <c r="P74" s="3" t="s">
        <v>272</v>
      </c>
      <c r="Q74" s="3" t="s">
        <v>273</v>
      </c>
      <c r="R74" t="s">
        <v>0</v>
      </c>
      <c r="T74" s="51">
        <f>IFERROR((Table1[[#This Row],[2019 Total Scope 1, 2 + 3]])/Table1[[#This Row],[2018 Total Scope 1, 2 + Scope 3]]-1,"NA")</f>
        <v>0.54264884754884757</v>
      </c>
      <c r="V74" s="12">
        <v>22430197</v>
      </c>
      <c r="W74" s="12">
        <v>6420000</v>
      </c>
      <c r="X74" s="12"/>
      <c r="Y74" s="12">
        <f t="shared" si="28"/>
        <v>28850197</v>
      </c>
      <c r="Z74" s="12">
        <f>103000000</f>
        <v>103000000</v>
      </c>
      <c r="AA74" s="12">
        <f t="shared" si="21"/>
        <v>131850197</v>
      </c>
      <c r="AB74" s="12">
        <v>10370000</v>
      </c>
      <c r="AC74" s="12">
        <v>4100000</v>
      </c>
      <c r="AD74" s="12"/>
      <c r="AE74" s="12">
        <f t="shared" si="29"/>
        <v>14470000</v>
      </c>
      <c r="AF74" s="12">
        <v>71000000</v>
      </c>
      <c r="AG74" s="12">
        <f t="shared" si="23"/>
        <v>85470000</v>
      </c>
      <c r="AH74" s="12">
        <v>11300000</v>
      </c>
      <c r="AI74" s="12">
        <v>4200000</v>
      </c>
      <c r="AJ74" s="12"/>
      <c r="AK74" s="12">
        <f t="shared" si="30"/>
        <v>15500000</v>
      </c>
      <c r="AL74" s="12">
        <v>63000000</v>
      </c>
      <c r="AM74" s="12">
        <f t="shared" si="25"/>
        <v>78500000</v>
      </c>
      <c r="AN74" s="12">
        <v>10490000</v>
      </c>
      <c r="AO74" s="12">
        <v>5380000</v>
      </c>
      <c r="AP74" s="12"/>
      <c r="AQ74" s="12">
        <f t="shared" si="31"/>
        <v>15870000</v>
      </c>
      <c r="AR74" s="12"/>
      <c r="AS74" s="12">
        <f t="shared" si="26"/>
        <v>15870000</v>
      </c>
      <c r="AT74" s="12">
        <v>9300000</v>
      </c>
      <c r="AU74" s="12">
        <v>4800000</v>
      </c>
      <c r="AV74" s="12"/>
      <c r="AW74" s="12">
        <f t="shared" si="19"/>
        <v>14100000</v>
      </c>
      <c r="AX74" s="12"/>
      <c r="AY74" s="12">
        <f t="shared" si="27"/>
        <v>14100000</v>
      </c>
      <c r="BA74" s="18" t="s">
        <v>274</v>
      </c>
      <c r="BC74" s="3" t="s">
        <v>275</v>
      </c>
      <c r="BD74" s="42"/>
    </row>
    <row r="75" spans="1:56" ht="165.75">
      <c r="A75" s="21" t="s">
        <v>276</v>
      </c>
      <c r="B75" s="21" t="s">
        <v>276</v>
      </c>
      <c r="C75" s="32" t="s">
        <v>11</v>
      </c>
      <c r="D75" s="4" t="s">
        <v>74</v>
      </c>
      <c r="E75" s="11">
        <v>39500000000</v>
      </c>
      <c r="F75" s="5" t="str">
        <f>IF(ISNUMBER(Table1[[#This Row],[2019 Scope 3 ]]),IF(Table1[[#This Row],[Net Earnings/Income (2019)]]-k_cost*Table1[[#This Row],[2019 Total Scope 1, 2 + 3]]&lt;0,"Y","N"),"NA")</f>
        <v>N</v>
      </c>
      <c r="G75" s="54" t="str">
        <f>IF(ISNUMBER(Table1[[#This Row],[2019 Scope 3 ]]),IF(k_cost*Table1[[#This Row],[2019 Total Scope 1, 2 + 3]]/Table1[[#This Row],[Size (2019 Revenue)]]&gt;k_rev_max,"Y","N"),"NA")</f>
        <v>N</v>
      </c>
      <c r="H75" s="54" t="str">
        <f>IF(OR(Table1[[#This Row],[Net earnings post carbon price @85/t]]="Y",Table1[[#This Row],[Carbon costs in % revenue]] = "Y"),"Y",IF(OR(Table1[[#This Row],[Net earnings post carbon price @85/t]]="NA",Table1[[#This Row],[Carbon costs in % revenue]]="NA"),"NA","N"))</f>
        <v>N</v>
      </c>
      <c r="I75" s="11">
        <v>11080000000</v>
      </c>
      <c r="J75" s="10">
        <v>1986</v>
      </c>
      <c r="K75" t="s">
        <v>1</v>
      </c>
      <c r="L75" s="4" t="s">
        <v>0</v>
      </c>
      <c r="M75" t="s">
        <v>0</v>
      </c>
      <c r="P75" s="3" t="s">
        <v>277</v>
      </c>
      <c r="R75" t="s">
        <v>0</v>
      </c>
      <c r="T75" s="51">
        <f>IFERROR((Table1[[#This Row],[2019 Total Scope 1, 2 + 3]])/Table1[[#This Row],[2018 Total Scope 1, 2 + Scope 3]]-1,"NA")</f>
        <v>-0.11022567324453059</v>
      </c>
      <c r="V75" s="12">
        <v>16520</v>
      </c>
      <c r="W75" s="12">
        <v>349022</v>
      </c>
      <c r="X75" s="12"/>
      <c r="Y75" s="12">
        <f t="shared" si="28"/>
        <v>365542</v>
      </c>
      <c r="Z75" s="12">
        <f>1139792+151888+21233+8956+1055+173807+70+35824+10915</f>
        <v>1543540</v>
      </c>
      <c r="AA75" s="12">
        <f t="shared" si="21"/>
        <v>1909082</v>
      </c>
      <c r="AB75" s="12">
        <v>17084</v>
      </c>
      <c r="AC75" s="12">
        <v>362448</v>
      </c>
      <c r="AD75" s="12"/>
      <c r="AE75" s="12">
        <f t="shared" si="29"/>
        <v>379532</v>
      </c>
      <c r="AF75" s="12">
        <f>1355224+136405+21747+9468+762+192845+70+37874+11653</f>
        <v>1766048</v>
      </c>
      <c r="AG75" s="12">
        <f t="shared" si="23"/>
        <v>2145580</v>
      </c>
      <c r="AH75" s="12">
        <v>14763</v>
      </c>
      <c r="AI75" s="12">
        <v>403160</v>
      </c>
      <c r="AJ75" s="12"/>
      <c r="AK75" s="12">
        <f t="shared" si="30"/>
        <v>417923</v>
      </c>
      <c r="AL75" s="12">
        <f>77507+588157+24190+33270+769+184168+82.95+33270+40576+9716.17</f>
        <v>991706.12</v>
      </c>
      <c r="AM75" s="12">
        <f t="shared" si="25"/>
        <v>1409629.12</v>
      </c>
      <c r="AN75" s="12">
        <v>11293</v>
      </c>
      <c r="AO75" s="12">
        <v>354428</v>
      </c>
      <c r="AP75" s="12"/>
      <c r="AQ75" s="12">
        <f t="shared" si="31"/>
        <v>365721</v>
      </c>
      <c r="AR75" s="12">
        <f>40644+296193+23999+35103+812+188451+81.85+35103+17552+11604</f>
        <v>649542.85</v>
      </c>
      <c r="AS75" s="12">
        <f t="shared" si="26"/>
        <v>1015263.85</v>
      </c>
      <c r="AT75" s="12">
        <v>11741</v>
      </c>
      <c r="AU75" s="12">
        <v>358673</v>
      </c>
      <c r="AV75" s="12"/>
      <c r="AW75" s="12">
        <f t="shared" si="19"/>
        <v>370414</v>
      </c>
      <c r="AX75" s="12"/>
      <c r="AY75" s="12">
        <f t="shared" si="27"/>
        <v>370414</v>
      </c>
      <c r="BA75" s="18" t="s">
        <v>278</v>
      </c>
      <c r="BC75" s="3" t="s">
        <v>279</v>
      </c>
      <c r="BD75" s="42"/>
    </row>
    <row r="76" spans="1:56" ht="102">
      <c r="A76" s="21" t="s">
        <v>280</v>
      </c>
      <c r="B76" s="21" t="s">
        <v>280</v>
      </c>
      <c r="C76" s="32" t="s">
        <v>6</v>
      </c>
      <c r="D76" s="4" t="s">
        <v>89</v>
      </c>
      <c r="E76" s="11">
        <v>17770000000</v>
      </c>
      <c r="F76" s="5" t="str">
        <f>IF(ISNUMBER(Table1[[#This Row],[2019 Scope 3 ]]),IF(Table1[[#This Row],[Net Earnings/Income (2019)]]-k_cost*Table1[[#This Row],[2019 Total Scope 1, 2 + 3]]&lt;0,"Y","N"),"NA")</f>
        <v>N</v>
      </c>
      <c r="G76" s="54" t="str">
        <f>IF(ISNUMBER(Table1[[#This Row],[2019 Scope 3 ]]),IF(k_cost*Table1[[#This Row],[2019 Total Scope 1, 2 + 3]]/Table1[[#This Row],[Size (2019 Revenue)]]&gt;k_rev_max,"Y","N"),"NA")</f>
        <v>N</v>
      </c>
      <c r="H76" s="54" t="str">
        <f>IF(OR(Table1[[#This Row],[Net earnings post carbon price @85/t]]="Y",Table1[[#This Row],[Carbon costs in % revenue]] = "Y"),"Y",IF(OR(Table1[[#This Row],[Net earnings post carbon price @85/t]]="NA",Table1[[#This Row],[Carbon costs in % revenue]]="NA"),"NA","N"))</f>
        <v>N</v>
      </c>
      <c r="I76" s="11">
        <v>2459000000</v>
      </c>
      <c r="J76" s="10">
        <v>2002</v>
      </c>
      <c r="K76" t="s">
        <v>1</v>
      </c>
      <c r="L76" t="s">
        <v>0</v>
      </c>
      <c r="M76" s="3" t="s">
        <v>1</v>
      </c>
      <c r="P76" s="3"/>
      <c r="R76" t="s">
        <v>0</v>
      </c>
      <c r="T76" s="51">
        <f>IFERROR((Table1[[#This Row],[2019 Total Scope 1, 2 + 3]])/Table1[[#This Row],[2018 Total Scope 1, 2 + Scope 3]]-1,"NA")</f>
        <v>-0.10642570281124497</v>
      </c>
      <c r="V76" s="12">
        <v>9900</v>
      </c>
      <c r="W76" s="12">
        <v>47000</v>
      </c>
      <c r="X76" s="12"/>
      <c r="Y76" s="12">
        <f t="shared" si="28"/>
        <v>56900</v>
      </c>
      <c r="Z76" s="12">
        <v>32100</v>
      </c>
      <c r="AA76" s="12">
        <f t="shared" si="21"/>
        <v>89000</v>
      </c>
      <c r="AB76" s="12">
        <v>10600</v>
      </c>
      <c r="AC76" s="12">
        <v>57900</v>
      </c>
      <c r="AD76" s="12"/>
      <c r="AE76" s="12">
        <f t="shared" si="29"/>
        <v>68500</v>
      </c>
      <c r="AF76" s="12">
        <v>31100</v>
      </c>
      <c r="AG76" s="12">
        <f t="shared" si="23"/>
        <v>99600</v>
      </c>
      <c r="AH76" s="12">
        <v>9600</v>
      </c>
      <c r="AI76" s="12">
        <v>57800</v>
      </c>
      <c r="AJ76" s="12"/>
      <c r="AK76" s="12">
        <f t="shared" si="30"/>
        <v>67400</v>
      </c>
      <c r="AL76" s="12">
        <v>24500</v>
      </c>
      <c r="AM76" s="12">
        <f t="shared" si="25"/>
        <v>91900</v>
      </c>
      <c r="AN76" s="12" t="s">
        <v>401</v>
      </c>
      <c r="AO76" s="12" t="s">
        <v>401</v>
      </c>
      <c r="AP76" s="12"/>
      <c r="AQ76" s="12" t="str">
        <f t="shared" si="31"/>
        <v/>
      </c>
      <c r="AR76" s="12" t="s">
        <v>401</v>
      </c>
      <c r="AS76" s="12" t="str">
        <f t="shared" si="26"/>
        <v/>
      </c>
      <c r="AT76" s="12" t="s">
        <v>401</v>
      </c>
      <c r="AU76" s="12" t="s">
        <v>401</v>
      </c>
      <c r="AV76" s="12"/>
      <c r="AW76" s="12" t="str">
        <f t="shared" ref="AW76:AW101" si="32">IFERROR(AT76+AU76-AV76,"")</f>
        <v/>
      </c>
      <c r="AX76" s="12" t="s">
        <v>401</v>
      </c>
      <c r="AY76" s="12" t="str">
        <f t="shared" si="27"/>
        <v/>
      </c>
      <c r="AZ76" t="s">
        <v>281</v>
      </c>
      <c r="BA76" s="18" t="s">
        <v>282</v>
      </c>
      <c r="BB76" s="3" t="s">
        <v>283</v>
      </c>
      <c r="BC76" s="3" t="s">
        <v>284</v>
      </c>
      <c r="BD76" s="42"/>
    </row>
    <row r="77" spans="1:56" ht="127.5">
      <c r="A77" s="21" t="s">
        <v>285</v>
      </c>
      <c r="B77" s="21" t="s">
        <v>405</v>
      </c>
      <c r="C77" s="21" t="s">
        <v>4</v>
      </c>
      <c r="D77" s="4" t="s">
        <v>133</v>
      </c>
      <c r="E77" s="5">
        <v>67160000000</v>
      </c>
      <c r="F77" s="5" t="str">
        <f>IF(ISNUMBER(Table1[[#This Row],[2019 Scope 3 ]]),IF(Table1[[#This Row],[Net Earnings/Income (2019)]]-k_cost*Table1[[#This Row],[2019 Total Scope 1, 2 + 3]]&lt;0,"Y","N"),"NA")</f>
        <v>N</v>
      </c>
      <c r="G77" s="54" t="str">
        <f>IF(ISNUMBER(Table1[[#This Row],[2019 Scope 3 ]]),IF(k_cost*Table1[[#This Row],[2019 Total Scope 1, 2 + 3]]/Table1[[#This Row],[Size (2019 Revenue)]]&gt;k_rev_max,"Y","N"),"NA")</f>
        <v>Y</v>
      </c>
      <c r="H77" s="54" t="str">
        <f>IF(OR(Table1[[#This Row],[Net earnings post carbon price @85/t]]="Y",Table1[[#This Row],[Carbon costs in % revenue]] = "Y"),"Y",IF(OR(Table1[[#This Row],[Net earnings post carbon price @85/t]]="NA",Table1[[#This Row],[Carbon costs in % revenue]]="NA"),"NA","N"))</f>
        <v>Y</v>
      </c>
      <c r="I77" s="5">
        <v>7353000000</v>
      </c>
      <c r="J77" s="9">
        <v>1999</v>
      </c>
      <c r="K77" s="5" t="s">
        <v>1</v>
      </c>
      <c r="L77" s="4" t="s">
        <v>0</v>
      </c>
      <c r="M77" t="s">
        <v>1</v>
      </c>
      <c r="P77" s="3" t="s">
        <v>286</v>
      </c>
      <c r="R77" t="s">
        <v>0</v>
      </c>
      <c r="S77">
        <v>2020</v>
      </c>
      <c r="T77" s="51">
        <f>IFERROR((Table1[[#This Row],[2019 Total Scope 1, 2 + 3]])/Table1[[#This Row],[2018 Total Scope 1, 2 + Scope 3]]-1,"NA")</f>
        <v>-0.18410667614296283</v>
      </c>
      <c r="V77" s="12">
        <v>3552415</v>
      </c>
      <c r="W77" s="12">
        <v>1425255</v>
      </c>
      <c r="X77" s="12"/>
      <c r="Y77" s="12">
        <f t="shared" si="28"/>
        <v>4977670</v>
      </c>
      <c r="Z77" s="12">
        <f>33599797+600278+946616+720951+25353+140452+201663+11088559+231426+811130+1843424+255417</f>
        <v>50465066</v>
      </c>
      <c r="AA77" s="12">
        <f t="shared" si="21"/>
        <v>55442736</v>
      </c>
      <c r="AB77" s="12">
        <v>3577266</v>
      </c>
      <c r="AC77" s="12">
        <v>1558167</v>
      </c>
      <c r="AD77" s="12"/>
      <c r="AE77" s="12">
        <f t="shared" si="29"/>
        <v>5135433</v>
      </c>
      <c r="AF77" s="12">
        <f>39026490+1698930+603560+1161810+60360+121070+506710+9964010+3046900+1195840+1418720+2730730+1282850</f>
        <v>62817980</v>
      </c>
      <c r="AG77" s="12">
        <f t="shared" si="23"/>
        <v>67953413</v>
      </c>
      <c r="AH77" s="12">
        <v>3734520</v>
      </c>
      <c r="AI77" s="12">
        <v>1713950</v>
      </c>
      <c r="AJ77" s="12"/>
      <c r="AK77" s="12">
        <f t="shared" si="30"/>
        <v>5448470</v>
      </c>
      <c r="AL77" s="12">
        <f>39026490+1698930+603560+1161810+60360+121070+506710+9964010+3046900+1195840+1418720+2730730+1282850</f>
        <v>62817980</v>
      </c>
      <c r="AM77" s="12">
        <f t="shared" si="25"/>
        <v>68266450</v>
      </c>
      <c r="AN77" s="12">
        <v>3798343</v>
      </c>
      <c r="AO77" s="12">
        <v>1912298</v>
      </c>
      <c r="AP77" s="12"/>
      <c r="AQ77" s="12">
        <f t="shared" si="31"/>
        <v>5710641</v>
      </c>
      <c r="AR77" s="12">
        <f>39026487+1698928+603559+1161808+60356+121072+506714+9964009+3046899+1195843+1418715+2730728+1282853</f>
        <v>62817971</v>
      </c>
      <c r="AS77" s="12">
        <f t="shared" si="26"/>
        <v>68528612</v>
      </c>
      <c r="AT77" s="12">
        <v>3766456</v>
      </c>
      <c r="AU77" s="12">
        <v>1985249</v>
      </c>
      <c r="AV77" s="12"/>
      <c r="AW77" s="12">
        <f t="shared" si="32"/>
        <v>5751705</v>
      </c>
      <c r="AX77" s="12">
        <v>63000000</v>
      </c>
      <c r="AY77" s="12">
        <f t="shared" si="27"/>
        <v>68751705</v>
      </c>
      <c r="BA77" s="3" t="s">
        <v>287</v>
      </c>
      <c r="BC77" s="3" t="s">
        <v>288</v>
      </c>
      <c r="BD77" s="42"/>
    </row>
    <row r="78" spans="1:56" ht="229.5">
      <c r="A78" s="21" t="s">
        <v>289</v>
      </c>
      <c r="B78" s="21" t="s">
        <v>451</v>
      </c>
      <c r="C78" s="32" t="s">
        <v>7</v>
      </c>
      <c r="D78" s="4" t="s">
        <v>69</v>
      </c>
      <c r="E78" s="5">
        <v>51750000000</v>
      </c>
      <c r="F78" s="5" t="str">
        <f>IF(ISNUMBER(Table1[[#This Row],[2019 Scope 3 ]]),IF(Table1[[#This Row],[Net Earnings/Income (2019)]]-k_cost*Table1[[#This Row],[2019 Total Scope 1, 2 + 3]]&lt;0,"Y","N"),"NA")</f>
        <v>N</v>
      </c>
      <c r="G78" s="54" t="str">
        <f>IF(ISNUMBER(Table1[[#This Row],[2019 Scope 3 ]]),IF(k_cost*Table1[[#This Row],[2019 Total Scope 1, 2 + 3]]/Table1[[#This Row],[Size (2019 Revenue)]]&gt;k_rev_max,"Y","N"),"NA")</f>
        <v>N</v>
      </c>
      <c r="H78" s="54" t="str">
        <f>IF(OR(Table1[[#This Row],[Net earnings post carbon price @85/t]]="Y",Table1[[#This Row],[Carbon costs in % revenue]] = "Y"),"Y",IF(OR(Table1[[#This Row],[Net earnings post carbon price @85/t]]="NA",Table1[[#This Row],[Carbon costs in % revenue]]="NA"),"NA","N"))</f>
        <v>N</v>
      </c>
      <c r="I78" s="5">
        <v>16270000000</v>
      </c>
      <c r="J78" s="9">
        <v>1942</v>
      </c>
      <c r="K78" s="5" t="s">
        <v>1</v>
      </c>
      <c r="L78" t="s">
        <v>0</v>
      </c>
      <c r="M78" t="s">
        <v>1</v>
      </c>
      <c r="P78" s="3" t="s">
        <v>290</v>
      </c>
      <c r="R78" t="s">
        <v>0</v>
      </c>
      <c r="T78" s="51">
        <f>IFERROR((Table1[[#This Row],[2019 Total Scope 1, 2 + 3]])/Table1[[#This Row],[2018 Total Scope 1, 2 + Scope 3]]-1,"NA")</f>
        <v>0.31837759739269167</v>
      </c>
      <c r="V78" s="12">
        <v>734638</v>
      </c>
      <c r="W78" s="12">
        <v>634205</v>
      </c>
      <c r="X78" s="12"/>
      <c r="Y78" s="12">
        <f t="shared" si="28"/>
        <v>1368843</v>
      </c>
      <c r="Z78" s="12">
        <f>3794093+345953+252909+873030+16420+195718+60645+36273+99576</f>
        <v>5674617</v>
      </c>
      <c r="AA78" s="12">
        <f t="shared" si="21"/>
        <v>7043460</v>
      </c>
      <c r="AB78" s="12">
        <v>756964</v>
      </c>
      <c r="AC78" s="12">
        <v>905002</v>
      </c>
      <c r="AD78" s="12"/>
      <c r="AE78" s="12">
        <f t="shared" si="29"/>
        <v>1661966</v>
      </c>
      <c r="AF78" s="12">
        <f>1562024+855794+265780+416416+11667+347533+92869+35444+85059+7969</f>
        <v>3680555</v>
      </c>
      <c r="AG78" s="12">
        <f t="shared" si="23"/>
        <v>5342521</v>
      </c>
      <c r="AH78" s="12">
        <v>788838</v>
      </c>
      <c r="AI78" s="12">
        <v>812923</v>
      </c>
      <c r="AJ78" s="12"/>
      <c r="AK78" s="12">
        <f t="shared" si="30"/>
        <v>1601761</v>
      </c>
      <c r="AL78" s="12" t="s">
        <v>401</v>
      </c>
      <c r="AM78" s="12" t="str">
        <f t="shared" si="25"/>
        <v/>
      </c>
      <c r="AN78" s="12">
        <v>940953</v>
      </c>
      <c r="AO78" s="12">
        <v>1106924</v>
      </c>
      <c r="AP78" s="12"/>
      <c r="AQ78" s="12">
        <f t="shared" si="31"/>
        <v>2047877</v>
      </c>
      <c r="AR78" s="12">
        <f>1239543+1316763+456623+200983+7363+439313+123060+36243</f>
        <v>3819891</v>
      </c>
      <c r="AS78" s="12">
        <f t="shared" si="26"/>
        <v>5867768</v>
      </c>
      <c r="AT78" s="12">
        <v>875274</v>
      </c>
      <c r="AU78" s="12">
        <v>625591</v>
      </c>
      <c r="AV78" s="12"/>
      <c r="AW78" s="12">
        <f t="shared" si="32"/>
        <v>1500865</v>
      </c>
      <c r="AX78" s="12">
        <f>2135509+956001+342259+126424+6508+147598+134086+89710</f>
        <v>3938095</v>
      </c>
      <c r="AY78" s="12">
        <f t="shared" si="27"/>
        <v>5438960</v>
      </c>
      <c r="AZ78" s="6" t="s">
        <v>0</v>
      </c>
      <c r="BA78" s="3" t="s">
        <v>291</v>
      </c>
      <c r="BC78" s="3" t="s">
        <v>292</v>
      </c>
      <c r="BD78" s="42"/>
    </row>
    <row r="79" spans="1:56" ht="357">
      <c r="A79" s="21" t="s">
        <v>293</v>
      </c>
      <c r="B79" s="21" t="s">
        <v>455</v>
      </c>
      <c r="C79" s="21" t="s">
        <v>4</v>
      </c>
      <c r="D79" s="4" t="s">
        <v>82</v>
      </c>
      <c r="E79" s="5">
        <v>79820000000</v>
      </c>
      <c r="F79" s="5" t="str">
        <f>IF(ISNUMBER(Table1[[#This Row],[2019 Scope 3 ]]),IF(Table1[[#This Row],[Net Earnings/Income (2019)]]-k_cost*Table1[[#This Row],[2019 Total Scope 1, 2 + 3]]&lt;0,"Y","N"),"NA")</f>
        <v>N</v>
      </c>
      <c r="G79" s="54" t="str">
        <f>IF(ISNUMBER(Table1[[#This Row],[2019 Scope 3 ]]),IF(k_cost*Table1[[#This Row],[2019 Total Scope 1, 2 + 3]]/Table1[[#This Row],[Size (2019 Revenue)]]&gt;k_rev_max,"Y","N"),"NA")</f>
        <v>N</v>
      </c>
      <c r="H79" s="54" t="str">
        <f>IF(OR(Table1[[#This Row],[Net earnings post carbon price @85/t]]="Y",Table1[[#This Row],[Carbon costs in % revenue]] = "Y"),"Y",IF(OR(Table1[[#This Row],[Net earnings post carbon price @85/t]]="NA",Table1[[#This Row],[Carbon costs in % revenue]]="NA"),"NA","N"))</f>
        <v>N</v>
      </c>
      <c r="I79" s="5">
        <v>7910000000</v>
      </c>
      <c r="J79" s="9">
        <v>2008</v>
      </c>
      <c r="K79" s="5" t="s">
        <v>1</v>
      </c>
      <c r="L79" t="s">
        <v>1</v>
      </c>
      <c r="M79" t="s">
        <v>1</v>
      </c>
      <c r="N79">
        <v>2030</v>
      </c>
      <c r="O79">
        <v>2019</v>
      </c>
      <c r="P79" s="3" t="s">
        <v>294</v>
      </c>
      <c r="Q79" t="s">
        <v>1</v>
      </c>
      <c r="R79" t="s">
        <v>0</v>
      </c>
      <c r="S79">
        <v>2030</v>
      </c>
      <c r="T79" s="51">
        <f>IFERROR((Table1[[#This Row],[2019 Total Scope 1, 2 + 3]])/Table1[[#This Row],[2018 Total Scope 1, 2 + Scope 3]]-1,"NA")</f>
        <v>-0.14933773889901192</v>
      </c>
      <c r="V79" s="12">
        <f>4682000*0.085</f>
        <v>397970</v>
      </c>
      <c r="W79" s="12">
        <f>4682000*0.034</f>
        <v>159188</v>
      </c>
      <c r="X79" s="12"/>
      <c r="Y79" s="12">
        <f t="shared" si="28"/>
        <v>557158</v>
      </c>
      <c r="Z79" s="12">
        <f>4682000*0.881</f>
        <v>4124842</v>
      </c>
      <c r="AA79" s="12">
        <f t="shared" si="21"/>
        <v>4682000</v>
      </c>
      <c r="AB79" s="12">
        <v>408162</v>
      </c>
      <c r="AC79" s="12">
        <v>175785</v>
      </c>
      <c r="AD79" s="12"/>
      <c r="AE79" s="12">
        <f t="shared" si="29"/>
        <v>583947</v>
      </c>
      <c r="AF79" s="12">
        <v>4920000</v>
      </c>
      <c r="AG79" s="12">
        <f t="shared" si="23"/>
        <v>5503947</v>
      </c>
      <c r="AH79" s="12">
        <v>388384</v>
      </c>
      <c r="AI79" s="12">
        <v>241355</v>
      </c>
      <c r="AJ79" s="12"/>
      <c r="AK79" s="12">
        <f t="shared" si="30"/>
        <v>629739</v>
      </c>
      <c r="AL79" s="12">
        <v>5137000</v>
      </c>
      <c r="AM79" s="12">
        <f t="shared" si="25"/>
        <v>5766739</v>
      </c>
      <c r="AN79" s="12">
        <v>351990</v>
      </c>
      <c r="AO79" s="12">
        <v>314049</v>
      </c>
      <c r="AP79" s="12"/>
      <c r="AQ79" s="12">
        <f t="shared" si="31"/>
        <v>666039</v>
      </c>
      <c r="AR79" s="12">
        <v>5649000</v>
      </c>
      <c r="AS79" s="12">
        <f t="shared" si="26"/>
        <v>6315039</v>
      </c>
      <c r="AT79" s="12">
        <v>361720</v>
      </c>
      <c r="AU79" s="12">
        <v>329323</v>
      </c>
      <c r="AV79" s="12"/>
      <c r="AW79" s="12">
        <f t="shared" si="32"/>
        <v>691043</v>
      </c>
      <c r="AX79" s="12">
        <v>5690000</v>
      </c>
      <c r="AY79" s="12">
        <f t="shared" si="27"/>
        <v>6381043</v>
      </c>
      <c r="BA79" s="3" t="s">
        <v>295</v>
      </c>
      <c r="BC79" s="3" t="s">
        <v>296</v>
      </c>
      <c r="BD79" s="42"/>
    </row>
    <row r="80" spans="1:56" ht="306">
      <c r="A80" s="21" t="s">
        <v>297</v>
      </c>
      <c r="B80" s="21" t="s">
        <v>478</v>
      </c>
      <c r="C80" s="21" t="s">
        <v>4</v>
      </c>
      <c r="D80" s="4" t="s">
        <v>136</v>
      </c>
      <c r="E80" s="5">
        <v>67680000000</v>
      </c>
      <c r="F80" s="5" t="str">
        <f>IF(ISNUMBER(Table1[[#This Row],[2019 Scope 3 ]]),IF(Table1[[#This Row],[Net Earnings/Income (2019)]]-k_cost*Table1[[#This Row],[2019 Total Scope 1, 2 + 3]]&lt;0,"Y","N"),"NA")</f>
        <v>Y</v>
      </c>
      <c r="G80" s="54" t="str">
        <f>IF(ISNUMBER(Table1[[#This Row],[2019 Scope 3 ]]),IF(k_cost*Table1[[#This Row],[2019 Total Scope 1, 2 + 3]]/Table1[[#This Row],[Size (2019 Revenue)]]&gt;k_rev_max,"Y","N"),"NA")</f>
        <v>Y</v>
      </c>
      <c r="H80" s="54" t="str">
        <f>IF(OR(Table1[[#This Row],[Net earnings post carbon price @85/t]]="Y",Table1[[#This Row],[Carbon costs in % revenue]] = "Y"),"Y",IF(OR(Table1[[#This Row],[Net earnings post carbon price @85/t]]="NA",Table1[[#This Row],[Carbon costs in % revenue]]="NA"),"NA","N"))</f>
        <v>Y</v>
      </c>
      <c r="I80" s="5">
        <v>3890000000</v>
      </c>
      <c r="J80" s="9">
        <v>1978</v>
      </c>
      <c r="K80" s="5" t="s">
        <v>1</v>
      </c>
      <c r="L80" s="4" t="s">
        <v>0</v>
      </c>
      <c r="M80" t="s">
        <v>1</v>
      </c>
      <c r="P80" s="3" t="s">
        <v>298</v>
      </c>
      <c r="Q80" t="s">
        <v>0</v>
      </c>
      <c r="R80" t="s">
        <v>0</v>
      </c>
      <c r="S80">
        <v>2030</v>
      </c>
      <c r="T80" s="51">
        <f>IFERROR((Table1[[#This Row],[2019 Total Scope 1, 2 + 3]])/Table1[[#This Row],[2018 Total Scope 1, 2 + Scope 3]]-1,"NA")</f>
        <v>0.61057117392417259</v>
      </c>
      <c r="V80" s="12">
        <v>2210000</v>
      </c>
      <c r="W80" s="12">
        <v>1840000</v>
      </c>
      <c r="X80" s="12"/>
      <c r="Y80" s="12">
        <f t="shared" si="28"/>
        <v>4050000</v>
      </c>
      <c r="Z80" s="12">
        <f>164210001+247000+495000+9000+151042+117000+3700000+199133000+13251000</f>
        <v>381313043</v>
      </c>
      <c r="AA80" s="12">
        <f t="shared" si="21"/>
        <v>385363043</v>
      </c>
      <c r="AB80" s="12">
        <v>2143000</v>
      </c>
      <c r="AC80" s="12">
        <v>1910000</v>
      </c>
      <c r="AD80" s="12"/>
      <c r="AE80" s="12">
        <f t="shared" si="29"/>
        <v>4053000</v>
      </c>
      <c r="AF80" s="12">
        <v>235218042</v>
      </c>
      <c r="AG80" s="12">
        <f t="shared" si="23"/>
        <v>239271042</v>
      </c>
      <c r="AH80" s="12">
        <v>2122000</v>
      </c>
      <c r="AI80" s="12">
        <v>2437000</v>
      </c>
      <c r="AJ80" s="12"/>
      <c r="AK80" s="12">
        <f t="shared" si="30"/>
        <v>4559000</v>
      </c>
      <c r="AL80" s="12">
        <v>235218042</v>
      </c>
      <c r="AM80" s="12">
        <f t="shared" si="25"/>
        <v>239777042</v>
      </c>
      <c r="AN80" s="12">
        <v>2099000</v>
      </c>
      <c r="AO80" s="12">
        <v>2742000</v>
      </c>
      <c r="AP80" s="12"/>
      <c r="AQ80" s="12">
        <f t="shared" si="31"/>
        <v>4841000</v>
      </c>
      <c r="AR80" s="12">
        <v>210173353</v>
      </c>
      <c r="AS80" s="12">
        <f t="shared" si="26"/>
        <v>215014353</v>
      </c>
      <c r="AT80" s="12">
        <v>2268000</v>
      </c>
      <c r="AU80" s="12">
        <v>2881000</v>
      </c>
      <c r="AV80" s="12"/>
      <c r="AW80" s="12">
        <f t="shared" si="32"/>
        <v>5149000</v>
      </c>
      <c r="AX80" s="12">
        <v>210173353</v>
      </c>
      <c r="AY80" s="12">
        <f t="shared" si="27"/>
        <v>215322353</v>
      </c>
      <c r="AZ80" s="3" t="s">
        <v>299</v>
      </c>
      <c r="BA80" s="3" t="s">
        <v>300</v>
      </c>
      <c r="BC80" s="3" t="s">
        <v>301</v>
      </c>
      <c r="BD80" s="42"/>
    </row>
    <row r="81" spans="1:56" ht="114.75">
      <c r="A81" s="21" t="s">
        <v>302</v>
      </c>
      <c r="B81" s="21" t="s">
        <v>458</v>
      </c>
      <c r="C81" s="32" t="s">
        <v>11</v>
      </c>
      <c r="D81" s="4" t="s">
        <v>96</v>
      </c>
      <c r="E81" s="11">
        <v>24270000000</v>
      </c>
      <c r="F81" s="5" t="str">
        <f>IF(ISNUMBER(Table1[[#This Row],[2019 Scope 3 ]]),IF(Table1[[#This Row],[Net Earnings/Income (2019)]]-k_cost*Table1[[#This Row],[2019 Total Scope 1, 2 + 3]]&lt;0,"Y","N"),"NA")</f>
        <v>N</v>
      </c>
      <c r="G81" s="54" t="str">
        <f>IF(ISNUMBER(Table1[[#This Row],[2019 Scope 3 ]]),IF(k_cost*Table1[[#This Row],[2019 Total Scope 1, 2 + 3]]/Table1[[#This Row],[Size (2019 Revenue)]]&gt;k_rev_max,"Y","N"),"NA")</f>
        <v>N</v>
      </c>
      <c r="H81" s="54" t="str">
        <f>IF(OR(Table1[[#This Row],[Net earnings post carbon price @85/t]]="Y",Table1[[#This Row],[Carbon costs in % revenue]] = "Y"),"Y",IF(OR(Table1[[#This Row],[Net earnings post carbon price @85/t]]="NA",Table1[[#This Row],[Carbon costs in % revenue]]="NA"),"NA","N"))</f>
        <v>N</v>
      </c>
      <c r="I81" s="11">
        <v>4390000000</v>
      </c>
      <c r="J81" s="10">
        <v>1991</v>
      </c>
      <c r="K81" t="s">
        <v>1</v>
      </c>
      <c r="L81" t="s">
        <v>0</v>
      </c>
      <c r="M81" t="s">
        <v>0</v>
      </c>
      <c r="P81" s="3" t="s">
        <v>303</v>
      </c>
      <c r="Q81" t="s">
        <v>1</v>
      </c>
      <c r="R81" t="s">
        <v>0</v>
      </c>
      <c r="T81" s="51">
        <f>IFERROR((Table1[[#This Row],[2019 Total Scope 1, 2 + 3]])/Table1[[#This Row],[2018 Total Scope 1, 2 + Scope 3]]-1,"NA")</f>
        <v>-1.7118834628733426E-2</v>
      </c>
      <c r="V81" s="12">
        <v>75290</v>
      </c>
      <c r="W81" s="12">
        <v>114060</v>
      </c>
      <c r="X81" s="12"/>
      <c r="Y81" s="12">
        <f t="shared" si="28"/>
        <v>189350</v>
      </c>
      <c r="Z81" s="12">
        <v>112252</v>
      </c>
      <c r="AA81" s="12">
        <f t="shared" si="21"/>
        <v>301602</v>
      </c>
      <c r="AB81" s="12">
        <v>73832</v>
      </c>
      <c r="AC81" s="12">
        <v>120771</v>
      </c>
      <c r="AD81" s="12"/>
      <c r="AE81" s="12">
        <f t="shared" si="29"/>
        <v>194603</v>
      </c>
      <c r="AF81" s="12">
        <v>112252</v>
      </c>
      <c r="AG81" s="12">
        <f t="shared" si="23"/>
        <v>306855</v>
      </c>
      <c r="AH81" s="12">
        <v>80179</v>
      </c>
      <c r="AI81" s="12">
        <v>128298</v>
      </c>
      <c r="AJ81" s="12"/>
      <c r="AK81" s="12">
        <f t="shared" si="30"/>
        <v>208477</v>
      </c>
      <c r="AL81" s="12">
        <v>112252</v>
      </c>
      <c r="AM81" s="12">
        <f t="shared" si="25"/>
        <v>320729</v>
      </c>
      <c r="AN81" s="12">
        <v>75205</v>
      </c>
      <c r="AO81" s="12">
        <v>147681</v>
      </c>
      <c r="AP81" s="12"/>
      <c r="AQ81" s="12">
        <f t="shared" si="31"/>
        <v>222886</v>
      </c>
      <c r="AR81" s="12">
        <v>112252</v>
      </c>
      <c r="AS81" s="12">
        <f t="shared" si="26"/>
        <v>335138</v>
      </c>
      <c r="AT81" s="12">
        <v>75349</v>
      </c>
      <c r="AU81" s="12">
        <v>155288</v>
      </c>
      <c r="AV81" s="12"/>
      <c r="AW81" s="12">
        <f t="shared" si="32"/>
        <v>230637</v>
      </c>
      <c r="AX81" s="12">
        <v>38845</v>
      </c>
      <c r="AY81" s="12">
        <f t="shared" si="27"/>
        <v>269482</v>
      </c>
      <c r="BA81" s="14" t="s">
        <v>304</v>
      </c>
      <c r="BC81" s="3" t="s">
        <v>305</v>
      </c>
      <c r="BD81" s="42"/>
    </row>
    <row r="82" spans="1:56" ht="127.5">
      <c r="A82" s="21" t="s">
        <v>306</v>
      </c>
      <c r="B82" s="21" t="s">
        <v>449</v>
      </c>
      <c r="C82" s="21" t="s">
        <v>8</v>
      </c>
      <c r="D82" s="4" t="s">
        <v>112</v>
      </c>
      <c r="E82" s="11">
        <v>29176000000</v>
      </c>
      <c r="F82" s="5" t="str">
        <f>IF(ISNUMBER(Table1[[#This Row],[2019 Scope 3 ]]),IF(Table1[[#This Row],[Net Earnings/Income (2019)]]-k_cost*Table1[[#This Row],[2019 Total Scope 1, 2 + 3]]&lt;0,"Y","N"),"NA")</f>
        <v>N</v>
      </c>
      <c r="G82" s="54" t="str">
        <f>IF(ISNUMBER(Table1[[#This Row],[2019 Scope 3 ]]),IF(k_cost*Table1[[#This Row],[2019 Total Scope 1, 2 + 3]]/Table1[[#This Row],[Size (2019 Revenue)]]&gt;k_rev_max,"Y","N"),"NA")</f>
        <v>N</v>
      </c>
      <c r="H82" s="54" t="str">
        <f>IF(OR(Table1[[#This Row],[Net earnings post carbon price @85/t]]="Y",Table1[[#This Row],[Carbon costs in % revenue]] = "Y"),"Y",IF(OR(Table1[[#This Row],[Net earnings post carbon price @85/t]]="NA",Table1[[#This Row],[Carbon costs in % revenue]]="NA"),"NA","N"))</f>
        <v>N</v>
      </c>
      <c r="I82" s="11">
        <v>3343000000</v>
      </c>
      <c r="J82" s="10">
        <v>1952</v>
      </c>
      <c r="K82" t="s">
        <v>1</v>
      </c>
      <c r="L82" t="s">
        <v>0</v>
      </c>
      <c r="M82" t="s">
        <v>0</v>
      </c>
      <c r="P82" s="3" t="s">
        <v>307</v>
      </c>
      <c r="R82" t="s">
        <v>0</v>
      </c>
      <c r="T82" s="51" t="str">
        <f>IFERROR((Table1[[#This Row],[2019 Total Scope 1, 2 + 3]])/Table1[[#This Row],[2018 Total Scope 1, 2 + Scope 3]]-1,"NA")</f>
        <v>NA</v>
      </c>
      <c r="V82" s="12">
        <v>612307</v>
      </c>
      <c r="W82" s="12">
        <v>1114227</v>
      </c>
      <c r="X82" s="12"/>
      <c r="Y82" s="12">
        <f t="shared" si="28"/>
        <v>1726534</v>
      </c>
      <c r="Z82" s="12">
        <f>10865507+1263+194470</f>
        <v>11061240</v>
      </c>
      <c r="AA82" s="12">
        <f t="shared" si="21"/>
        <v>12787774</v>
      </c>
      <c r="AB82" s="12" t="s">
        <v>401</v>
      </c>
      <c r="AC82" s="12" t="s">
        <v>401</v>
      </c>
      <c r="AD82" s="12"/>
      <c r="AE82" s="12" t="str">
        <f t="shared" si="29"/>
        <v/>
      </c>
      <c r="AF82" s="12" t="s">
        <v>401</v>
      </c>
      <c r="AG82" s="12" t="str">
        <f t="shared" si="23"/>
        <v/>
      </c>
      <c r="AH82" s="12" t="s">
        <v>401</v>
      </c>
      <c r="AI82" s="12" t="s">
        <v>401</v>
      </c>
      <c r="AJ82" s="12"/>
      <c r="AK82" s="12" t="str">
        <f t="shared" si="30"/>
        <v/>
      </c>
      <c r="AL82" s="12" t="s">
        <v>401</v>
      </c>
      <c r="AM82" s="12" t="str">
        <f t="shared" si="25"/>
        <v/>
      </c>
      <c r="AN82" s="12" t="s">
        <v>401</v>
      </c>
      <c r="AO82" s="12" t="s">
        <v>401</v>
      </c>
      <c r="AP82" s="12"/>
      <c r="AQ82" s="12" t="str">
        <f t="shared" si="31"/>
        <v/>
      </c>
      <c r="AR82" s="12" t="s">
        <v>401</v>
      </c>
      <c r="AS82" s="12" t="str">
        <f t="shared" si="26"/>
        <v/>
      </c>
      <c r="AT82" s="12" t="s">
        <v>401</v>
      </c>
      <c r="AU82" s="12" t="s">
        <v>401</v>
      </c>
      <c r="AV82" s="12"/>
      <c r="AW82" s="12" t="str">
        <f t="shared" si="32"/>
        <v/>
      </c>
      <c r="AX82" s="12" t="s">
        <v>401</v>
      </c>
      <c r="AY82" s="12" t="str">
        <f t="shared" si="27"/>
        <v/>
      </c>
      <c r="BA82" s="18" t="s">
        <v>308</v>
      </c>
      <c r="BB82" s="3" t="s">
        <v>309</v>
      </c>
      <c r="BC82" s="3" t="s">
        <v>310</v>
      </c>
      <c r="BD82" s="42"/>
    </row>
    <row r="83" spans="1:56" ht="242.25">
      <c r="A83" s="21" t="s">
        <v>311</v>
      </c>
      <c r="B83" s="21" t="s">
        <v>311</v>
      </c>
      <c r="C83" s="32" t="s">
        <v>11</v>
      </c>
      <c r="D83" s="4" t="s">
        <v>74</v>
      </c>
      <c r="E83" s="5">
        <v>13280000000</v>
      </c>
      <c r="F83" s="5" t="str">
        <f>IF(ISNUMBER(Table1[[#This Row],[2019 Scope 3 ]]),IF(Table1[[#This Row],[Net Earnings/Income (2019)]]-k_cost*Table1[[#This Row],[2019 Total Scope 1, 2 + 3]]&lt;0,"Y","N"),"NA")</f>
        <v>N</v>
      </c>
      <c r="G83" s="54" t="str">
        <f>IF(ISNUMBER(Table1[[#This Row],[2019 Scope 3 ]]),IF(k_cost*Table1[[#This Row],[2019 Total Scope 1, 2 + 3]]/Table1[[#This Row],[Size (2019 Revenue)]]&gt;k_rev_max,"Y","N"),"NA")</f>
        <v>N</v>
      </c>
      <c r="H83" s="54" t="str">
        <f>IF(OR(Table1[[#This Row],[Net earnings post carbon price @85/t]]="Y",Table1[[#This Row],[Carbon costs in % revenue]] = "Y"),"Y",IF(OR(Table1[[#This Row],[Net earnings post carbon price @85/t]]="NA",Table1[[#This Row],[Carbon costs in % revenue]]="NA"),"NA","N"))</f>
        <v>N</v>
      </c>
      <c r="I83" s="5">
        <v>1110000000</v>
      </c>
      <c r="J83" s="9">
        <v>2004</v>
      </c>
      <c r="K83" s="5" t="s">
        <v>1</v>
      </c>
      <c r="L83" s="4" t="s">
        <v>1</v>
      </c>
      <c r="M83" s="3" t="s">
        <v>1</v>
      </c>
      <c r="N83">
        <v>2017</v>
      </c>
      <c r="P83" s="3" t="s">
        <v>312</v>
      </c>
      <c r="Q83" t="s">
        <v>1</v>
      </c>
      <c r="R83" t="s">
        <v>1</v>
      </c>
      <c r="S83">
        <v>2022</v>
      </c>
      <c r="T83" s="51">
        <f>IFERROR((Table1[[#This Row],[2019 Total Scope 1, 2 + 3]])/Table1[[#This Row],[2018 Total Scope 1, 2 + Scope 3]]-1,"NA")</f>
        <v>0.35074626865671643</v>
      </c>
      <c r="V83" s="12">
        <v>5000</v>
      </c>
      <c r="W83" s="12">
        <v>291000</v>
      </c>
      <c r="X83" s="12">
        <f>V83+W83</f>
        <v>296000</v>
      </c>
      <c r="Y83" s="12">
        <f t="shared" si="28"/>
        <v>0</v>
      </c>
      <c r="Z83" s="12">
        <v>181000</v>
      </c>
      <c r="AA83" s="12">
        <f t="shared" si="21"/>
        <v>181000</v>
      </c>
      <c r="AB83" s="12">
        <v>4000</v>
      </c>
      <c r="AC83" s="12">
        <v>236000</v>
      </c>
      <c r="AD83" s="12">
        <f>AB83+AC83</f>
        <v>240000</v>
      </c>
      <c r="AE83" s="12">
        <f t="shared" si="29"/>
        <v>0</v>
      </c>
      <c r="AF83" s="12">
        <v>134000</v>
      </c>
      <c r="AG83" s="12">
        <f t="shared" si="23"/>
        <v>134000</v>
      </c>
      <c r="AH83" s="12">
        <v>4000</v>
      </c>
      <c r="AI83" s="12">
        <v>174000</v>
      </c>
      <c r="AJ83" s="12">
        <f>0.23*(AH83+AI83)</f>
        <v>40940</v>
      </c>
      <c r="AK83" s="12">
        <f t="shared" si="30"/>
        <v>137060</v>
      </c>
      <c r="AL83" s="12">
        <v>99000</v>
      </c>
      <c r="AM83" s="12">
        <f t="shared" si="25"/>
        <v>236060</v>
      </c>
      <c r="AN83" s="12">
        <v>3000</v>
      </c>
      <c r="AO83" s="12">
        <v>132000</v>
      </c>
      <c r="AP83" s="12">
        <f>0.23*(AN83+AO83)</f>
        <v>31050</v>
      </c>
      <c r="AQ83" s="12">
        <f t="shared" si="31"/>
        <v>103950</v>
      </c>
      <c r="AR83" s="12">
        <v>84000</v>
      </c>
      <c r="AS83" s="12">
        <f t="shared" si="26"/>
        <v>187950</v>
      </c>
      <c r="AT83" s="12">
        <v>5000</v>
      </c>
      <c r="AU83" s="12">
        <v>71000</v>
      </c>
      <c r="AV83" s="12"/>
      <c r="AW83" s="12">
        <f t="shared" si="32"/>
        <v>76000</v>
      </c>
      <c r="AX83" s="12">
        <v>56000</v>
      </c>
      <c r="AY83" s="12">
        <f t="shared" si="27"/>
        <v>132000</v>
      </c>
      <c r="BA83" s="14" t="s">
        <v>435</v>
      </c>
      <c r="BB83" s="30" t="s">
        <v>434</v>
      </c>
      <c r="BC83" s="3" t="s">
        <v>313</v>
      </c>
      <c r="BD83" s="42"/>
    </row>
    <row r="84" spans="1:56" ht="89.25">
      <c r="A84" s="21" t="s">
        <v>314</v>
      </c>
      <c r="B84" s="21" t="s">
        <v>445</v>
      </c>
      <c r="C84" s="21" t="s">
        <v>5</v>
      </c>
      <c r="D84" s="4" t="s">
        <v>126</v>
      </c>
      <c r="E84" s="11">
        <v>32900000000</v>
      </c>
      <c r="F84" s="5" t="str">
        <f>IF(ISNUMBER(Table1[[#This Row],[2019 Scope 3 ]]),IF(Table1[[#This Row],[Net Earnings/Income (2019)]]-k_cost*Table1[[#This Row],[2019 Total Scope 1, 2 + 3]]&lt;0,"Y","N"),"NA")</f>
        <v>NA</v>
      </c>
      <c r="G84" s="54" t="str">
        <f>IF(ISNUMBER(Table1[[#This Row],[2019 Scope 3 ]]),IF(k_cost*Table1[[#This Row],[2019 Total Scope 1, 2 + 3]]/Table1[[#This Row],[Size (2019 Revenue)]]&gt;k_rev_max,"Y","N"),"NA")</f>
        <v>NA</v>
      </c>
      <c r="H84" s="54" t="str">
        <f>IF(OR(Table1[[#This Row],[Net earnings post carbon price @85/t]]="Y",Table1[[#This Row],[Carbon costs in % revenue]] = "Y"),"Y",IF(OR(Table1[[#This Row],[Net earnings post carbon price @85/t]]="NA",Table1[[#This Row],[Carbon costs in % revenue]]="NA"),"NA","N"))</f>
        <v>NA</v>
      </c>
      <c r="I84" s="11">
        <v>-10137000000</v>
      </c>
      <c r="J84" s="10">
        <v>1956</v>
      </c>
      <c r="K84" t="s">
        <v>1</v>
      </c>
      <c r="L84" t="s">
        <v>0</v>
      </c>
      <c r="M84" s="3" t="s">
        <v>1</v>
      </c>
      <c r="R84" t="s">
        <v>0</v>
      </c>
      <c r="T84" s="51" t="str">
        <f>IFERROR((Table1[[#This Row],[2019 Total Scope 1, 2 + 3]])/Table1[[#This Row],[2018 Total Scope 1, 2 + Scope 3]]-1,"NA")</f>
        <v>NA</v>
      </c>
      <c r="V84" s="12" t="s">
        <v>401</v>
      </c>
      <c r="W84" s="12" t="s">
        <v>401</v>
      </c>
      <c r="X84" s="12"/>
      <c r="Y84" s="12" t="str">
        <f t="shared" si="28"/>
        <v/>
      </c>
      <c r="Z84" s="12" t="s">
        <v>401</v>
      </c>
      <c r="AA84" s="12" t="str">
        <f t="shared" si="21"/>
        <v/>
      </c>
      <c r="AB84" s="12">
        <v>1423000</v>
      </c>
      <c r="AC84" s="12">
        <v>642000</v>
      </c>
      <c r="AD84" s="12"/>
      <c r="AE84" s="12">
        <f t="shared" si="29"/>
        <v>2065000</v>
      </c>
      <c r="AF84" s="12">
        <v>1185000</v>
      </c>
      <c r="AG84" s="12">
        <f t="shared" si="23"/>
        <v>3250000</v>
      </c>
      <c r="AH84" s="12">
        <v>1358000</v>
      </c>
      <c r="AI84" s="12">
        <v>561000</v>
      </c>
      <c r="AJ84" s="12"/>
      <c r="AK84" s="12">
        <f t="shared" si="30"/>
        <v>1919000</v>
      </c>
      <c r="AL84" s="12">
        <v>911000</v>
      </c>
      <c r="AM84" s="12">
        <f t="shared" si="25"/>
        <v>2830000</v>
      </c>
      <c r="AN84" s="12">
        <v>1136000</v>
      </c>
      <c r="AO84" s="12">
        <v>704000</v>
      </c>
      <c r="AP84" s="12"/>
      <c r="AQ84" s="12">
        <f t="shared" si="31"/>
        <v>1840000</v>
      </c>
      <c r="AR84" s="12">
        <v>876000</v>
      </c>
      <c r="AS84" s="12">
        <f t="shared" si="26"/>
        <v>2716000</v>
      </c>
      <c r="AT84" s="12">
        <v>1400000</v>
      </c>
      <c r="AU84" s="12">
        <v>577000</v>
      </c>
      <c r="AV84" s="12"/>
      <c r="AW84" s="12">
        <f t="shared" si="32"/>
        <v>1977000</v>
      </c>
      <c r="AX84" s="12">
        <v>1057000</v>
      </c>
      <c r="AY84" s="12">
        <f t="shared" si="27"/>
        <v>3034000</v>
      </c>
      <c r="AZ84" t="s">
        <v>0</v>
      </c>
      <c r="BA84" s="7" t="s">
        <v>315</v>
      </c>
      <c r="BC84" s="3" t="s">
        <v>316</v>
      </c>
      <c r="BD84" s="42"/>
    </row>
    <row r="85" spans="1:56" ht="140.25">
      <c r="A85" s="21" t="s">
        <v>317</v>
      </c>
      <c r="B85" s="21" t="s">
        <v>457</v>
      </c>
      <c r="C85" s="21" t="s">
        <v>10</v>
      </c>
      <c r="D85" t="s">
        <v>10</v>
      </c>
      <c r="E85" s="11">
        <v>5755000000</v>
      </c>
      <c r="F85" s="5" t="str">
        <f>IF(ISNUMBER(Table1[[#This Row],[2019 Scope 3 ]]),IF(Table1[[#This Row],[Net Earnings/Income (2019)]]-k_cost*Table1[[#This Row],[2019 Total Scope 1, 2 + 3]]&lt;0,"Y","N"),"NA")</f>
        <v>N</v>
      </c>
      <c r="G85" s="54" t="str">
        <f>IF(ISNUMBER(Table1[[#This Row],[2019 Scope 3 ]]),IF(k_cost*Table1[[#This Row],[2019 Total Scope 1, 2 + 3]]/Table1[[#This Row],[Size (2019 Revenue)]]&gt;k_rev_max,"Y","N"),"NA")</f>
        <v>N</v>
      </c>
      <c r="H85" s="54" t="str">
        <f>IF(OR(Table1[[#This Row],[Net earnings post carbon price @85/t]]="Y",Table1[[#This Row],[Carbon costs in % revenue]] = "Y"),"Y",IF(OR(Table1[[#This Row],[Net earnings post carbon price @85/t]]="NA",Table1[[#This Row],[Carbon costs in % revenue]]="NA"),"NA","N"))</f>
        <v>N</v>
      </c>
      <c r="I85" s="11">
        <v>2098000000</v>
      </c>
      <c r="J85" s="10">
        <v>1993</v>
      </c>
      <c r="K85" t="s">
        <v>1</v>
      </c>
      <c r="L85" t="s">
        <v>0</v>
      </c>
      <c r="M85" s="3" t="s">
        <v>0</v>
      </c>
      <c r="P85" t="s">
        <v>318</v>
      </c>
      <c r="R85" t="s">
        <v>0</v>
      </c>
      <c r="T85" s="51">
        <f>IFERROR((Table1[[#This Row],[2019 Total Scope 1, 2 + 3]])/Table1[[#This Row],[2018 Total Scope 1, 2 + Scope 3]]-1,"NA")</f>
        <v>-6.1145592632659285E-2</v>
      </c>
      <c r="V85" s="12">
        <v>16863.186000000002</v>
      </c>
      <c r="W85" s="12">
        <v>249714.82</v>
      </c>
      <c r="X85" s="12"/>
      <c r="Y85" s="12">
        <f t="shared" si="28"/>
        <v>266578.00599999999</v>
      </c>
      <c r="Z85" s="12">
        <f>11746+136900+5154+100+6531+419157</f>
        <v>579588</v>
      </c>
      <c r="AA85" s="12">
        <f t="shared" si="21"/>
        <v>846166.00600000005</v>
      </c>
      <c r="AB85" s="12">
        <v>21923</v>
      </c>
      <c r="AC85" s="12">
        <v>287974</v>
      </c>
      <c r="AD85" s="12"/>
      <c r="AE85" s="12">
        <f t="shared" si="29"/>
        <v>309897</v>
      </c>
      <c r="AF85" s="12">
        <v>591378</v>
      </c>
      <c r="AG85" s="12">
        <f t="shared" si="23"/>
        <v>901275</v>
      </c>
      <c r="AH85" s="12">
        <v>19404</v>
      </c>
      <c r="AI85" s="12">
        <v>293618</v>
      </c>
      <c r="AJ85" s="12"/>
      <c r="AK85" s="12">
        <f t="shared" si="30"/>
        <v>313022</v>
      </c>
      <c r="AL85" s="12">
        <v>580998</v>
      </c>
      <c r="AM85" s="12">
        <f t="shared" si="25"/>
        <v>894020</v>
      </c>
      <c r="AN85" s="12">
        <v>20364</v>
      </c>
      <c r="AO85" s="12">
        <v>304405</v>
      </c>
      <c r="AP85" s="12"/>
      <c r="AQ85" s="12">
        <f t="shared" si="31"/>
        <v>324769</v>
      </c>
      <c r="AR85" s="12">
        <v>604001</v>
      </c>
      <c r="AS85" s="12">
        <f t="shared" si="26"/>
        <v>928770</v>
      </c>
      <c r="AT85" s="12">
        <v>23000</v>
      </c>
      <c r="AU85" s="12">
        <v>358862</v>
      </c>
      <c r="AV85" s="12"/>
      <c r="AW85" s="12">
        <f t="shared" si="32"/>
        <v>381862</v>
      </c>
      <c r="AX85" s="12">
        <v>618912</v>
      </c>
      <c r="AY85" s="12">
        <f t="shared" si="27"/>
        <v>1000774</v>
      </c>
      <c r="BA85" s="18" t="s">
        <v>319</v>
      </c>
      <c r="BC85" s="3" t="s">
        <v>320</v>
      </c>
      <c r="BD85" s="42"/>
    </row>
    <row r="86" spans="1:56" ht="242.25">
      <c r="A86" s="21" t="s">
        <v>321</v>
      </c>
      <c r="B86" s="21" t="s">
        <v>321</v>
      </c>
      <c r="C86" s="21" t="s">
        <v>12</v>
      </c>
      <c r="D86" t="s">
        <v>12</v>
      </c>
      <c r="E86" s="11">
        <v>21419000000</v>
      </c>
      <c r="F86" s="5" t="str">
        <f>IF(ISNUMBER(Table1[[#This Row],[2019 Scope 3 ]]),IF(Table1[[#This Row],[Net Earnings/Income (2019)]]-k_cost*Table1[[#This Row],[2019 Total Scope 1, 2 + 3]]&lt;0,"Y","N"),"NA")</f>
        <v>Y</v>
      </c>
      <c r="G86" s="54" t="str">
        <f>IF(ISNUMBER(Table1[[#This Row],[2019 Scope 3 ]]),IF(k_cost*Table1[[#This Row],[2019 Total Scope 1, 2 + 3]]/Table1[[#This Row],[Size (2019 Revenue)]]&gt;k_rev_max,"Y","N"),"NA")</f>
        <v>Y</v>
      </c>
      <c r="H86" s="54" t="str">
        <f>IF(OR(Table1[[#This Row],[Net earnings post carbon price @85/t]]="Y",Table1[[#This Row],[Carbon costs in % revenue]] = "Y"),"Y",IF(OR(Table1[[#This Row],[Net earnings post carbon price @85/t]]="NA",Table1[[#This Row],[Carbon costs in % revenue]]="NA"),"NA","N"))</f>
        <v>Y</v>
      </c>
      <c r="I86" s="11">
        <v>3250000000</v>
      </c>
      <c r="J86" s="10">
        <v>1949</v>
      </c>
      <c r="K86" t="s">
        <v>1</v>
      </c>
      <c r="L86" t="s">
        <v>0</v>
      </c>
      <c r="M86" t="s">
        <v>0</v>
      </c>
      <c r="N86">
        <v>2050</v>
      </c>
      <c r="O86" s="22">
        <v>2020</v>
      </c>
      <c r="P86" s="3" t="s">
        <v>322</v>
      </c>
      <c r="R86" t="s">
        <v>0</v>
      </c>
      <c r="T86" s="51">
        <f>IFERROR((Table1[[#This Row],[2019 Total Scope 1, 2 + 3]])/Table1[[#This Row],[2018 Total Scope 1, 2 + Scope 3]]-1,"NA")</f>
        <v>-0.10341582335699895</v>
      </c>
      <c r="V86" s="12">
        <v>88213565</v>
      </c>
      <c r="W86" s="12">
        <v>35568</v>
      </c>
      <c r="X86" s="12"/>
      <c r="Y86" s="12">
        <f t="shared" si="28"/>
        <v>88249133</v>
      </c>
      <c r="Z86" s="12">
        <f>3423778+88879+35260791</f>
        <v>38773448</v>
      </c>
      <c r="AA86" s="12">
        <f t="shared" si="21"/>
        <v>127022581</v>
      </c>
      <c r="AB86" s="12">
        <v>102232275</v>
      </c>
      <c r="AC86" s="12">
        <v>2142130.48</v>
      </c>
      <c r="AD86" s="12"/>
      <c r="AE86" s="12">
        <f t="shared" si="29"/>
        <v>104374405.48</v>
      </c>
      <c r="AF86" s="12">
        <v>37299499</v>
      </c>
      <c r="AG86" s="12">
        <f t="shared" si="23"/>
        <v>141673904.48000002</v>
      </c>
      <c r="AH86" s="12">
        <v>97534302</v>
      </c>
      <c r="AI86" s="12">
        <v>2701183</v>
      </c>
      <c r="AJ86" s="12"/>
      <c r="AK86" s="12">
        <f t="shared" si="30"/>
        <v>100235485</v>
      </c>
      <c r="AL86" s="12">
        <v>34630131</v>
      </c>
      <c r="AM86" s="12">
        <f t="shared" si="25"/>
        <v>134865616</v>
      </c>
      <c r="AN86" s="12" t="s">
        <v>0</v>
      </c>
      <c r="AO86" s="12" t="s">
        <v>0</v>
      </c>
      <c r="AP86" s="12" t="s">
        <v>0</v>
      </c>
      <c r="AQ86" s="12" t="str">
        <f t="shared" si="31"/>
        <v/>
      </c>
      <c r="AR86" s="12" t="s">
        <v>0</v>
      </c>
      <c r="AS86" s="12" t="str">
        <f t="shared" si="26"/>
        <v/>
      </c>
      <c r="AT86" s="12" t="s">
        <v>0</v>
      </c>
      <c r="AU86" s="12" t="s">
        <v>0</v>
      </c>
      <c r="AV86" s="12" t="s">
        <v>0</v>
      </c>
      <c r="AW86" s="12" t="str">
        <f t="shared" si="32"/>
        <v/>
      </c>
      <c r="AX86" s="12" t="s">
        <v>0</v>
      </c>
      <c r="AY86" s="12" t="str">
        <f t="shared" si="27"/>
        <v/>
      </c>
      <c r="AZ86" s="3" t="s">
        <v>1</v>
      </c>
      <c r="BA86" s="18" t="s">
        <v>323</v>
      </c>
      <c r="BC86" s="14" t="s">
        <v>436</v>
      </c>
      <c r="BD86" s="42"/>
    </row>
    <row r="87" spans="1:56" ht="102">
      <c r="A87" s="21" t="s">
        <v>324</v>
      </c>
      <c r="B87" s="21" t="s">
        <v>406</v>
      </c>
      <c r="C87" s="32" t="s">
        <v>3</v>
      </c>
      <c r="D87" s="4" t="s">
        <v>133</v>
      </c>
      <c r="E87" s="5">
        <v>26510000000</v>
      </c>
      <c r="F87" s="5" t="str">
        <f>IF(ISNUMBER(Table1[[#This Row],[2019 Scope 3 ]]),IF(Table1[[#This Row],[Net Earnings/Income (2019)]]-k_cost*Table1[[#This Row],[2019 Total Scope 1, 2 + 3]]&lt;0,"Y","N"),"NA")</f>
        <v>N</v>
      </c>
      <c r="G87" s="54" t="str">
        <f>IF(ISNUMBER(Table1[[#This Row],[2019 Scope 3 ]]),IF(k_cost*Table1[[#This Row],[2019 Total Scope 1, 2 + 3]]/Table1[[#This Row],[Size (2019 Revenue)]]&gt;k_rev_max,"Y","N"),"NA")</f>
        <v>Y</v>
      </c>
      <c r="H87" s="54" t="str">
        <f>IF(OR(Table1[[#This Row],[Net earnings post carbon price @85/t]]="Y",Table1[[#This Row],[Carbon costs in % revenue]] = "Y"),"Y",IF(OR(Table1[[#This Row],[Net earnings post carbon price @85/t]]="NA",Table1[[#This Row],[Carbon costs in % revenue]]="NA"),"NA","N"))</f>
        <v>Y</v>
      </c>
      <c r="I87" s="5">
        <v>3600000000</v>
      </c>
      <c r="J87" s="9">
        <v>1992</v>
      </c>
      <c r="K87" s="5" t="s">
        <v>1</v>
      </c>
      <c r="L87" t="s">
        <v>1</v>
      </c>
      <c r="M87" t="s">
        <v>1</v>
      </c>
      <c r="N87">
        <v>2050</v>
      </c>
      <c r="O87">
        <v>2020</v>
      </c>
      <c r="P87" s="3" t="s">
        <v>325</v>
      </c>
      <c r="R87" t="s">
        <v>1</v>
      </c>
      <c r="S87" t="s">
        <v>326</v>
      </c>
      <c r="T87" s="51">
        <f>IFERROR((Table1[[#This Row],[2019 Total Scope 1, 2 + 3]])/Table1[[#This Row],[2018 Total Scope 1, 2 + Scope 3]]-1,"NA")</f>
        <v>2.032199009951885E-3</v>
      </c>
      <c r="V87" s="12">
        <v>381198.61</v>
      </c>
      <c r="W87" s="12">
        <v>281700.89</v>
      </c>
      <c r="X87" s="12"/>
      <c r="Y87" s="12">
        <f t="shared" si="28"/>
        <v>662899.5</v>
      </c>
      <c r="Z87" s="12">
        <f>8844532.71+1549767.91+1339261.73+544171.31+1022025.11+19035.53+821116.5+62449.06+149443.2+612189.99</f>
        <v>14963993.050000001</v>
      </c>
      <c r="AA87" s="12">
        <f t="shared" si="21"/>
        <v>15626892.550000001</v>
      </c>
      <c r="AB87" s="12">
        <v>319600</v>
      </c>
      <c r="AC87" s="12">
        <v>285600</v>
      </c>
      <c r="AD87" s="12"/>
      <c r="AE87" s="12">
        <f t="shared" si="29"/>
        <v>605200</v>
      </c>
      <c r="AF87" s="12">
        <v>14990000</v>
      </c>
      <c r="AG87" s="12">
        <f t="shared" si="23"/>
        <v>15595200</v>
      </c>
      <c r="AH87" s="12">
        <v>291000</v>
      </c>
      <c r="AI87" s="12">
        <v>390000</v>
      </c>
      <c r="AJ87" s="12"/>
      <c r="AK87" s="12">
        <f t="shared" si="30"/>
        <v>681000</v>
      </c>
      <c r="AL87" s="12">
        <v>15900000</v>
      </c>
      <c r="AM87" s="12">
        <f t="shared" si="25"/>
        <v>16581000</v>
      </c>
      <c r="AN87" s="12">
        <v>321763</v>
      </c>
      <c r="AO87" s="12">
        <v>253819</v>
      </c>
      <c r="AP87" s="12"/>
      <c r="AQ87" s="12">
        <f t="shared" si="31"/>
        <v>575582</v>
      </c>
      <c r="AR87" s="12">
        <f>9923385+1047965+1395658+660216+1329459+20129+523015+3335+88216+196234</f>
        <v>15187612</v>
      </c>
      <c r="AS87" s="12">
        <f t="shared" si="26"/>
        <v>15763194</v>
      </c>
      <c r="AT87" s="12">
        <v>329002</v>
      </c>
      <c r="AU87" s="12">
        <v>513511</v>
      </c>
      <c r="AV87" s="12"/>
      <c r="AW87" s="12">
        <f t="shared" si="32"/>
        <v>842513</v>
      </c>
      <c r="AX87" s="12">
        <f>6734410+983792+708554+606066+822171+11525+559173+22523+92406+130145</f>
        <v>10670765</v>
      </c>
      <c r="AY87" s="12">
        <f t="shared" si="27"/>
        <v>11513278</v>
      </c>
      <c r="BA87" s="18" t="s">
        <v>327</v>
      </c>
      <c r="BC87" s="3" t="s">
        <v>328</v>
      </c>
      <c r="BD87" s="42"/>
    </row>
    <row r="88" spans="1:56" ht="140.25">
      <c r="A88" s="21" t="s">
        <v>329</v>
      </c>
      <c r="B88" s="21" t="s">
        <v>444</v>
      </c>
      <c r="C88" s="32" t="s">
        <v>4</v>
      </c>
      <c r="D88" s="4" t="s">
        <v>85</v>
      </c>
      <c r="E88" s="5">
        <v>78100000000</v>
      </c>
      <c r="F88" s="5" t="str">
        <f>IF(ISNUMBER(Table1[[#This Row],[2019 Scope 3 ]]),IF(Table1[[#This Row],[Net Earnings/Income (2019)]]-k_cost*Table1[[#This Row],[2019 Total Scope 1, 2 + 3]]&lt;0,"Y","N"),"NA")</f>
        <v>Y</v>
      </c>
      <c r="G88" s="54" t="str">
        <f>IF(ISNUMBER(Table1[[#This Row],[2019 Scope 3 ]]),IF(k_cost*Table1[[#This Row],[2019 Total Scope 1, 2 + 3]]/Table1[[#This Row],[Size (2019 Revenue)]]&gt;k_rev_max,"Y","N"),"NA")</f>
        <v>Y</v>
      </c>
      <c r="H88" s="54" t="str">
        <f>IF(OR(Table1[[#This Row],[Net earnings post carbon price @85/t]]="Y",Table1[[#This Row],[Carbon costs in % revenue]] = "Y"),"Y",IF(OR(Table1[[#This Row],[Net earnings post carbon price @85/t]]="NA",Table1[[#This Row],[Carbon costs in % revenue]]="NA"),"NA","N"))</f>
        <v>Y</v>
      </c>
      <c r="I88" s="5">
        <v>3269000000</v>
      </c>
      <c r="J88" s="9">
        <v>1967</v>
      </c>
      <c r="K88" s="5" t="s">
        <v>1</v>
      </c>
      <c r="L88" s="4" t="s">
        <v>0</v>
      </c>
      <c r="M88" t="s">
        <v>1</v>
      </c>
      <c r="P88" s="3" t="s">
        <v>330</v>
      </c>
      <c r="R88" t="s">
        <v>1</v>
      </c>
      <c r="S88" s="3" t="s">
        <v>331</v>
      </c>
      <c r="T88" s="53">
        <f>IFERROR((Table1[[#This Row],[2019 Total Scope 1, 2 + 3]])/Table1[[#This Row],[2018 Total Scope 1, 2 + Scope 3]]-1,"NA")</f>
        <v>-0.33122664559404669</v>
      </c>
      <c r="U88" s="3"/>
      <c r="V88" s="12">
        <v>752552</v>
      </c>
      <c r="W88" s="12">
        <v>1545898</v>
      </c>
      <c r="X88" s="12"/>
      <c r="Y88" s="12">
        <f t="shared" si="28"/>
        <v>2298450</v>
      </c>
      <c r="Z88" s="12">
        <f>27389000+743000+509000+1655000+271000+22000+585000+5672000+12897000+2306000</f>
        <v>52049000</v>
      </c>
      <c r="AA88" s="12">
        <f t="shared" si="21"/>
        <v>54347450</v>
      </c>
      <c r="AB88" s="12">
        <v>755484</v>
      </c>
      <c r="AC88" s="12">
        <v>2108893</v>
      </c>
      <c r="AD88" s="12"/>
      <c r="AE88" s="12">
        <f t="shared" si="29"/>
        <v>2864377</v>
      </c>
      <c r="AF88" s="12">
        <f>43284000+1000000+905000+1356000+168000+21000+539000+6950000+23340000+809000+28000</f>
        <v>78400000</v>
      </c>
      <c r="AG88" s="12">
        <f t="shared" si="23"/>
        <v>81264377</v>
      </c>
      <c r="AH88" s="12">
        <v>706176</v>
      </c>
      <c r="AI88" s="12">
        <v>2111537</v>
      </c>
      <c r="AJ88" s="12"/>
      <c r="AK88" s="12">
        <f t="shared" si="30"/>
        <v>2817713</v>
      </c>
      <c r="AL88" s="12">
        <v>78400000</v>
      </c>
      <c r="AM88" s="12">
        <f t="shared" si="25"/>
        <v>81217713</v>
      </c>
      <c r="AN88" s="12">
        <v>730846</v>
      </c>
      <c r="AO88" s="12">
        <v>2155763</v>
      </c>
      <c r="AP88" s="12"/>
      <c r="AQ88" s="12">
        <f t="shared" si="31"/>
        <v>2886609</v>
      </c>
      <c r="AR88" s="12" t="s">
        <v>401</v>
      </c>
      <c r="AS88" s="12" t="str">
        <f t="shared" si="26"/>
        <v/>
      </c>
      <c r="AT88" s="12">
        <v>581568</v>
      </c>
      <c r="AU88" s="12">
        <v>2290938</v>
      </c>
      <c r="AV88" s="12"/>
      <c r="AW88" s="12">
        <f t="shared" si="32"/>
        <v>2872506</v>
      </c>
      <c r="AX88" s="12" t="s">
        <v>401</v>
      </c>
      <c r="AY88" s="12" t="str">
        <f t="shared" si="27"/>
        <v/>
      </c>
      <c r="BA88" s="3" t="s">
        <v>332</v>
      </c>
      <c r="BC88" s="3" t="s">
        <v>333</v>
      </c>
      <c r="BD88" s="42"/>
    </row>
    <row r="89" spans="1:56" ht="89.25">
      <c r="A89" s="21" t="s">
        <v>334</v>
      </c>
      <c r="B89" s="21" t="s">
        <v>334</v>
      </c>
      <c r="C89" s="32" t="s">
        <v>11</v>
      </c>
      <c r="D89" s="4" t="s">
        <v>96</v>
      </c>
      <c r="E89" s="11">
        <v>14318000000</v>
      </c>
      <c r="F89" s="5" t="str">
        <f>IF(ISNUMBER(Table1[[#This Row],[2019 Scope 3 ]]),IF(Table1[[#This Row],[Net Earnings/Income (2019)]]-k_cost*Table1[[#This Row],[2019 Total Scope 1, 2 + 3]]&lt;0,"Y","N"),"NA")</f>
        <v>NA</v>
      </c>
      <c r="G89" s="54" t="str">
        <f>IF(ISNUMBER(Table1[[#This Row],[2019 Scope 3 ]]),IF(k_cost*Table1[[#This Row],[2019 Total Scope 1, 2 + 3]]/Table1[[#This Row],[Size (2019 Revenue)]]&gt;k_rev_max,"Y","N"),"NA")</f>
        <v>NA</v>
      </c>
      <c r="H89" s="54" t="str">
        <f>IF(OR(Table1[[#This Row],[Net earnings post carbon price @85/t]]="Y",Table1[[#This Row],[Carbon costs in % revenue]] = "Y"),"Y",IF(OR(Table1[[#This Row],[Net earnings post carbon price @85/t]]="NA",Table1[[#This Row],[Carbon costs in % revenue]]="NA"),"NA","N"))</f>
        <v>NA</v>
      </c>
      <c r="I89" s="11">
        <v>5020000000</v>
      </c>
      <c r="J89" s="10">
        <v>1953</v>
      </c>
      <c r="K89" t="s">
        <v>1</v>
      </c>
      <c r="L89" t="s">
        <v>0</v>
      </c>
      <c r="M89" t="s">
        <v>0</v>
      </c>
      <c r="P89" s="3" t="s">
        <v>335</v>
      </c>
      <c r="Q89" t="s">
        <v>1</v>
      </c>
      <c r="R89" t="s">
        <v>0</v>
      </c>
      <c r="T89" s="51" t="str">
        <f>IFERROR((Table1[[#This Row],[2019 Total Scope 1, 2 + 3]])/Table1[[#This Row],[2018 Total Scope 1, 2 + Scope 3]]-1,"NA")</f>
        <v>NA</v>
      </c>
      <c r="V89" s="12">
        <v>966579</v>
      </c>
      <c r="W89" s="12">
        <v>13430</v>
      </c>
      <c r="X89" s="12"/>
      <c r="Y89" s="12">
        <f t="shared" si="28"/>
        <v>980009</v>
      </c>
      <c r="Z89" s="12" t="s">
        <v>401</v>
      </c>
      <c r="AA89" s="12" t="str">
        <f t="shared" si="21"/>
        <v/>
      </c>
      <c r="AB89" s="12">
        <v>1157549</v>
      </c>
      <c r="AC89" s="12">
        <v>1110819</v>
      </c>
      <c r="AD89" s="12"/>
      <c r="AE89" s="12">
        <f t="shared" si="29"/>
        <v>2268368</v>
      </c>
      <c r="AF89" s="12" t="s">
        <v>401</v>
      </c>
      <c r="AG89" s="12" t="str">
        <f t="shared" si="23"/>
        <v/>
      </c>
      <c r="AH89" s="12">
        <v>1161654</v>
      </c>
      <c r="AI89" s="12">
        <v>1256755</v>
      </c>
      <c r="AJ89" s="12"/>
      <c r="AK89" s="12">
        <f t="shared" si="30"/>
        <v>2418409</v>
      </c>
      <c r="AL89" s="12" t="s">
        <v>401</v>
      </c>
      <c r="AM89" s="12" t="str">
        <f t="shared" si="25"/>
        <v/>
      </c>
      <c r="AN89" s="12">
        <v>1076947</v>
      </c>
      <c r="AO89" s="12">
        <v>1319215</v>
      </c>
      <c r="AP89" s="12"/>
      <c r="AQ89" s="12">
        <f t="shared" si="31"/>
        <v>2396162</v>
      </c>
      <c r="AR89" s="12" t="s">
        <v>401</v>
      </c>
      <c r="AS89" s="12" t="str">
        <f t="shared" si="26"/>
        <v/>
      </c>
      <c r="AT89" s="12">
        <v>1085622</v>
      </c>
      <c r="AU89" s="12">
        <v>1322813</v>
      </c>
      <c r="AV89" s="12"/>
      <c r="AW89" s="12">
        <f t="shared" si="32"/>
        <v>2408435</v>
      </c>
      <c r="AX89" s="12" t="s">
        <v>401</v>
      </c>
      <c r="AY89" s="12" t="str">
        <f t="shared" si="27"/>
        <v/>
      </c>
      <c r="AZ89" s="30" t="s">
        <v>1</v>
      </c>
      <c r="BA89" s="14" t="s">
        <v>336</v>
      </c>
      <c r="BC89" s="3" t="s">
        <v>337</v>
      </c>
      <c r="BD89" s="42"/>
    </row>
    <row r="90" spans="1:56" ht="51">
      <c r="A90" s="21" t="s">
        <v>338</v>
      </c>
      <c r="B90" s="21" t="s">
        <v>483</v>
      </c>
      <c r="C90" s="32" t="s">
        <v>6</v>
      </c>
      <c r="D90" s="4" t="s">
        <v>109</v>
      </c>
      <c r="E90" s="11">
        <v>20820000000</v>
      </c>
      <c r="F90" s="5" t="str">
        <f>IF(ISNUMBER(Table1[[#This Row],[2019 Scope 3 ]]),IF(Table1[[#This Row],[Net Earnings/Income (2019)]]-k_cost*Table1[[#This Row],[2019 Total Scope 1, 2 + 3]]&lt;0,"Y","N"),"NA")</f>
        <v>N</v>
      </c>
      <c r="G90" s="54" t="str">
        <f>IF(ISNUMBER(Table1[[#This Row],[2019 Scope 3 ]]),IF(k_cost*Table1[[#This Row],[2019 Total Scope 1, 2 + 3]]/Table1[[#This Row],[Size (2019 Revenue)]]&gt;k_rev_max,"Y","N"),"NA")</f>
        <v>N</v>
      </c>
      <c r="H90" s="54" t="str">
        <f>IF(OR(Table1[[#This Row],[Net earnings post carbon price @85/t]]="Y",Table1[[#This Row],[Carbon costs in % revenue]] = "Y"),"Y",IF(OR(Table1[[#This Row],[Net earnings post carbon price @85/t]]="NA",Table1[[#This Row],[Carbon costs in % revenue]]="NA"),"NA","N"))</f>
        <v>N</v>
      </c>
      <c r="I90" s="11">
        <v>4250000000</v>
      </c>
      <c r="J90" s="10">
        <v>1784</v>
      </c>
      <c r="K90" s="4" t="s">
        <v>1</v>
      </c>
      <c r="L90" s="4" t="s">
        <v>1</v>
      </c>
      <c r="M90" t="s">
        <v>0</v>
      </c>
      <c r="N90">
        <v>2015</v>
      </c>
      <c r="O90">
        <v>2008</v>
      </c>
      <c r="P90" s="17" t="s">
        <v>0</v>
      </c>
      <c r="Q90" t="s">
        <v>1</v>
      </c>
      <c r="R90" s="4" t="s">
        <v>0</v>
      </c>
      <c r="S90" s="4" t="s">
        <v>0</v>
      </c>
      <c r="T90" s="52">
        <f>IFERROR((Table1[[#This Row],[2019 Total Scope 1, 2 + 3]])/Table1[[#This Row],[2018 Total Scope 1, 2 + Scope 3]]-1,"NA")</f>
        <v>0.24488372093023258</v>
      </c>
      <c r="U90" s="4"/>
      <c r="V90" s="12">
        <v>8102</v>
      </c>
      <c r="W90" s="12">
        <v>3397</v>
      </c>
      <c r="X90" s="12">
        <v>31457</v>
      </c>
      <c r="Y90" s="12">
        <f t="shared" si="28"/>
        <v>-19958</v>
      </c>
      <c r="Z90" s="12">
        <v>14605</v>
      </c>
      <c r="AA90" s="12">
        <f t="shared" si="21"/>
        <v>-5353</v>
      </c>
      <c r="AB90" s="12">
        <v>8000</v>
      </c>
      <c r="AC90" s="12">
        <v>2500</v>
      </c>
      <c r="AD90" s="12">
        <v>32000</v>
      </c>
      <c r="AE90" s="12">
        <f t="shared" si="29"/>
        <v>-21500</v>
      </c>
      <c r="AF90" s="12">
        <v>17200</v>
      </c>
      <c r="AG90" s="12">
        <f t="shared" si="23"/>
        <v>-4300</v>
      </c>
      <c r="AH90" s="12">
        <v>8265</v>
      </c>
      <c r="AI90" s="12">
        <v>2248</v>
      </c>
      <c r="AJ90" s="12">
        <v>38000</v>
      </c>
      <c r="AK90" s="12">
        <f t="shared" si="30"/>
        <v>-27487</v>
      </c>
      <c r="AL90" s="12">
        <v>17944</v>
      </c>
      <c r="AM90" s="12">
        <f t="shared" si="25"/>
        <v>-9543</v>
      </c>
      <c r="AN90" s="12">
        <v>9000</v>
      </c>
      <c r="AO90" s="12">
        <v>3350</v>
      </c>
      <c r="AP90" s="12">
        <v>32000</v>
      </c>
      <c r="AQ90" s="12">
        <f t="shared" si="31"/>
        <v>-19650</v>
      </c>
      <c r="AR90" s="12">
        <v>19700</v>
      </c>
      <c r="AS90" s="12">
        <f t="shared" si="26"/>
        <v>50</v>
      </c>
      <c r="AT90" s="12"/>
      <c r="AU90" s="12"/>
      <c r="AV90" s="12"/>
      <c r="AW90" s="12">
        <f t="shared" si="32"/>
        <v>0</v>
      </c>
      <c r="AX90" s="12"/>
      <c r="AY90" s="12">
        <f t="shared" si="27"/>
        <v>0</v>
      </c>
      <c r="BA90" s="18" t="s">
        <v>339</v>
      </c>
      <c r="BD90" s="42"/>
    </row>
    <row r="91" spans="1:56" ht="140.25">
      <c r="A91" s="21" t="s">
        <v>340</v>
      </c>
      <c r="B91" s="21" t="s">
        <v>480</v>
      </c>
      <c r="C91" s="21" t="s">
        <v>2</v>
      </c>
      <c r="D91" s="4" t="s">
        <v>124</v>
      </c>
      <c r="E91" s="11">
        <v>69570000000</v>
      </c>
      <c r="F91" s="5" t="str">
        <f>IF(ISNUMBER(Table1[[#This Row],[2019 Scope 3 ]]),IF(Table1[[#This Row],[Net Earnings/Income (2019)]]-k_cost*Table1[[#This Row],[2019 Total Scope 1, 2 + 3]]&lt;0,"Y","N"),"NA")</f>
        <v>NA</v>
      </c>
      <c r="G91" s="54" t="str">
        <f>IF(ISNUMBER(Table1[[#This Row],[2019 Scope 3 ]]),IF(k_cost*Table1[[#This Row],[2019 Total Scope 1, 2 + 3]]/Table1[[#This Row],[Size (2019 Revenue)]]&gt;k_rev_max,"Y","N"),"NA")</f>
        <v>NA</v>
      </c>
      <c r="H91" s="54" t="str">
        <f>IF(OR(Table1[[#This Row],[Net earnings post carbon price @85/t]]="Y",Table1[[#This Row],[Carbon costs in % revenue]] = "Y"),"Y",IF(OR(Table1[[#This Row],[Net earnings post carbon price @85/t]]="NA",Table1[[#This Row],[Carbon costs in % revenue]]="NA"),"NA","N"))</f>
        <v>NA</v>
      </c>
      <c r="I91" s="11">
        <v>11050000000</v>
      </c>
      <c r="J91" s="10">
        <v>1957</v>
      </c>
      <c r="K91" t="s">
        <v>1</v>
      </c>
      <c r="L91" t="s">
        <v>0</v>
      </c>
      <c r="M91" t="s">
        <v>0</v>
      </c>
      <c r="P91" s="3" t="s">
        <v>341</v>
      </c>
      <c r="R91" t="s">
        <v>0</v>
      </c>
      <c r="T91" s="51" t="str">
        <f>IFERROR((Table1[[#This Row],[2019 Total Scope 1, 2 + 3]])/Table1[[#This Row],[2018 Total Scope 1, 2 + Scope 3]]-1,"NA")</f>
        <v>NA</v>
      </c>
      <c r="V91" s="12">
        <v>855073</v>
      </c>
      <c r="W91" s="12">
        <v>931544</v>
      </c>
      <c r="X91" s="12"/>
      <c r="Y91" s="12">
        <f t="shared" si="28"/>
        <v>1786617</v>
      </c>
      <c r="Z91" s="12" t="s">
        <v>401</v>
      </c>
      <c r="AA91" s="12" t="str">
        <f t="shared" si="21"/>
        <v/>
      </c>
      <c r="AB91" s="12">
        <v>897523</v>
      </c>
      <c r="AC91" s="12">
        <v>975778</v>
      </c>
      <c r="AD91" s="12"/>
      <c r="AE91" s="12">
        <f t="shared" si="29"/>
        <v>1873301</v>
      </c>
      <c r="AF91" s="12" t="s">
        <v>401</v>
      </c>
      <c r="AG91" s="12" t="str">
        <f t="shared" si="23"/>
        <v/>
      </c>
      <c r="AH91" s="12">
        <v>843275</v>
      </c>
      <c r="AI91" s="12">
        <v>1002150</v>
      </c>
      <c r="AJ91" s="12"/>
      <c r="AK91" s="12">
        <f t="shared" si="30"/>
        <v>1845425</v>
      </c>
      <c r="AL91" s="12" t="s">
        <v>401</v>
      </c>
      <c r="AM91" s="12" t="str">
        <f t="shared" si="25"/>
        <v/>
      </c>
      <c r="AN91" s="12">
        <v>865577</v>
      </c>
      <c r="AO91" s="12">
        <v>909738</v>
      </c>
      <c r="AP91" s="12"/>
      <c r="AQ91" s="12">
        <f t="shared" si="31"/>
        <v>1775315</v>
      </c>
      <c r="AR91" s="12" t="s">
        <v>401</v>
      </c>
      <c r="AS91" s="12" t="str">
        <f t="shared" si="26"/>
        <v/>
      </c>
      <c r="AT91" s="12">
        <v>851038</v>
      </c>
      <c r="AU91" s="12">
        <v>917030</v>
      </c>
      <c r="AV91" s="12"/>
      <c r="AW91" s="12">
        <f t="shared" si="32"/>
        <v>1768068</v>
      </c>
      <c r="AX91" s="12" t="s">
        <v>401</v>
      </c>
      <c r="AY91" s="12" t="str">
        <f t="shared" si="27"/>
        <v/>
      </c>
      <c r="BA91" s="3" t="s">
        <v>342</v>
      </c>
      <c r="BC91" s="3" t="s">
        <v>343</v>
      </c>
      <c r="BD91" s="42"/>
    </row>
    <row r="92" spans="1:56" ht="102">
      <c r="A92" s="21" t="s">
        <v>344</v>
      </c>
      <c r="B92" s="21" t="s">
        <v>452</v>
      </c>
      <c r="C92" s="32" t="s">
        <v>7</v>
      </c>
      <c r="D92" s="4" t="s">
        <v>146</v>
      </c>
      <c r="E92" s="11">
        <v>25540000000</v>
      </c>
      <c r="F92" s="5" t="str">
        <f>IF(ISNUMBER(Table1[[#This Row],[2019 Scope 3 ]]),IF(Table1[[#This Row],[Net Earnings/Income (2019)]]-k_cost*Table1[[#This Row],[2019 Total Scope 1, 2 + 3]]&lt;0,"Y","N"),"NA")</f>
        <v>NA</v>
      </c>
      <c r="G92" s="54" t="str">
        <f>IF(ISNUMBER(Table1[[#This Row],[2019 Scope 3 ]]),IF(k_cost*Table1[[#This Row],[2019 Total Scope 1, 2 + 3]]/Table1[[#This Row],[Size (2019 Revenue)]]&gt;k_rev_max,"Y","N"),"NA")</f>
        <v>NA</v>
      </c>
      <c r="H92" s="54" t="str">
        <f>IF(OR(Table1[[#This Row],[Net earnings post carbon price @85/t]]="Y",Table1[[#This Row],[Carbon costs in % revenue]] = "Y"),"Y",IF(OR(Table1[[#This Row],[Net earnings post carbon price @85/t]]="NA",Table1[[#This Row],[Carbon costs in % revenue]]="NA"),"NA","N"))</f>
        <v>NA</v>
      </c>
      <c r="I92" s="11">
        <v>3696000000</v>
      </c>
      <c r="J92" s="10">
        <v>1965</v>
      </c>
      <c r="K92" t="s">
        <v>1</v>
      </c>
      <c r="L92" t="s">
        <v>0</v>
      </c>
      <c r="M92" t="s">
        <v>0</v>
      </c>
      <c r="R92" t="s">
        <v>0</v>
      </c>
      <c r="T92" s="51" t="str">
        <f>IFERROR((Table1[[#This Row],[2019 Total Scope 1, 2 + 3]])/Table1[[#This Row],[2018 Total Scope 1, 2 + Scope 3]]-1,"NA")</f>
        <v>NA</v>
      </c>
      <c r="V92" s="12" t="s">
        <v>401</v>
      </c>
      <c r="W92" s="12" t="s">
        <v>401</v>
      </c>
      <c r="X92" s="12"/>
      <c r="Y92" s="12" t="str">
        <f t="shared" si="28"/>
        <v/>
      </c>
      <c r="Z92" s="12" t="s">
        <v>401</v>
      </c>
      <c r="AA92" s="12" t="str">
        <f t="shared" si="21"/>
        <v/>
      </c>
      <c r="AB92" s="12">
        <v>147521.62</v>
      </c>
      <c r="AC92" s="12">
        <v>690767.33</v>
      </c>
      <c r="AD92" s="12"/>
      <c r="AE92" s="12">
        <f t="shared" si="29"/>
        <v>838288.95</v>
      </c>
      <c r="AF92" s="12" t="s">
        <v>401</v>
      </c>
      <c r="AG92" s="12" t="str">
        <f t="shared" si="23"/>
        <v/>
      </c>
      <c r="AH92" s="12">
        <v>70255</v>
      </c>
      <c r="AI92" s="12">
        <v>408244</v>
      </c>
      <c r="AJ92" s="12"/>
      <c r="AK92" s="12">
        <f t="shared" si="30"/>
        <v>478499</v>
      </c>
      <c r="AL92" s="12">
        <v>206994</v>
      </c>
      <c r="AM92" s="12">
        <f t="shared" si="25"/>
        <v>685493</v>
      </c>
      <c r="AN92" s="12">
        <v>83529</v>
      </c>
      <c r="AO92" s="12">
        <v>305579</v>
      </c>
      <c r="AP92" s="12"/>
      <c r="AQ92" s="12">
        <f t="shared" si="31"/>
        <v>389108</v>
      </c>
      <c r="AR92" s="12"/>
      <c r="AS92" s="12">
        <f t="shared" si="26"/>
        <v>389108</v>
      </c>
      <c r="AT92" s="12">
        <v>92458</v>
      </c>
      <c r="AU92" s="12">
        <v>301234</v>
      </c>
      <c r="AV92" s="12"/>
      <c r="AW92" s="12">
        <f t="shared" si="32"/>
        <v>393692</v>
      </c>
      <c r="AX92" s="12"/>
      <c r="AY92" s="12">
        <f t="shared" si="27"/>
        <v>393692</v>
      </c>
      <c r="BA92" s="18" t="s">
        <v>345</v>
      </c>
      <c r="BC92" s="3" t="s">
        <v>346</v>
      </c>
      <c r="BD92" s="42"/>
    </row>
    <row r="93" spans="1:56" ht="127.5">
      <c r="A93" s="21" t="s">
        <v>347</v>
      </c>
      <c r="B93" s="21" t="s">
        <v>441</v>
      </c>
      <c r="C93" s="21" t="s">
        <v>8</v>
      </c>
      <c r="D93" s="4" t="s">
        <v>165</v>
      </c>
      <c r="E93" s="11">
        <v>21700000000</v>
      </c>
      <c r="F93" s="5" t="str">
        <f>IF(ISNUMBER(Table1[[#This Row],[2019 Scope 3 ]]),IF(Table1[[#This Row],[Net Earnings/Income (2019)]]-k_cost*Table1[[#This Row],[2019 Total Scope 1, 2 + 3]]&lt;0,"Y","N"),"NA")</f>
        <v>N</v>
      </c>
      <c r="G93" s="54" t="str">
        <f>IF(ISNUMBER(Table1[[#This Row],[2019 Scope 3 ]]),IF(k_cost*Table1[[#This Row],[2019 Total Scope 1, 2 + 3]]/Table1[[#This Row],[Size (2019 Revenue)]]&gt;k_rev_max,"Y","N"),"NA")</f>
        <v>N</v>
      </c>
      <c r="H93" s="54" t="str">
        <f>IF(OR(Table1[[#This Row],[Net earnings post carbon price @85/t]]="Y",Table1[[#This Row],[Carbon costs in % revenue]] = "Y"),"Y",IF(OR(Table1[[#This Row],[Net earnings post carbon price @85/t]]="NA",Table1[[#This Row],[Carbon costs in % revenue]]="NA"),"NA","N"))</f>
        <v>N</v>
      </c>
      <c r="I93" s="11">
        <v>5900000000</v>
      </c>
      <c r="K93" t="s">
        <v>1</v>
      </c>
      <c r="L93" t="s">
        <v>0</v>
      </c>
      <c r="M93" s="3" t="s">
        <v>1</v>
      </c>
      <c r="R93" t="s">
        <v>0</v>
      </c>
      <c r="T93" s="51">
        <f>IFERROR((Table1[[#This Row],[2019 Total Scope 1, 2 + 3]])/Table1[[#This Row],[2018 Total Scope 1, 2 + Scope 3]]-1,"NA")</f>
        <v>-0.1143315255931987</v>
      </c>
      <c r="V93" s="12">
        <v>9688964</v>
      </c>
      <c r="W93" s="12">
        <f>10415469-V93</f>
        <v>726505</v>
      </c>
      <c r="X93" s="12"/>
      <c r="Y93" s="12">
        <f t="shared" si="28"/>
        <v>10415469</v>
      </c>
      <c r="Z93" s="12">
        <v>15495</v>
      </c>
      <c r="AA93" s="12">
        <f t="shared" si="21"/>
        <v>10430964</v>
      </c>
      <c r="AB93" s="12">
        <v>10874731</v>
      </c>
      <c r="AC93" s="12">
        <f>11760366-AB93</f>
        <v>885635</v>
      </c>
      <c r="AD93" s="12"/>
      <c r="AE93" s="12">
        <f t="shared" si="29"/>
        <v>11760366</v>
      </c>
      <c r="AF93" s="12">
        <v>17138</v>
      </c>
      <c r="AG93" s="12">
        <f t="shared" si="23"/>
        <v>11777504</v>
      </c>
      <c r="AH93" s="12">
        <v>10216978</v>
      </c>
      <c r="AI93" s="12">
        <f>10989985-AH93</f>
        <v>773007</v>
      </c>
      <c r="AJ93" s="12"/>
      <c r="AK93" s="12">
        <f t="shared" si="30"/>
        <v>10989985</v>
      </c>
      <c r="AL93" s="12">
        <v>18466</v>
      </c>
      <c r="AM93" s="12">
        <f t="shared" si="25"/>
        <v>11008451</v>
      </c>
      <c r="AN93" s="12">
        <v>9913870</v>
      </c>
      <c r="AO93" s="12">
        <f>10685250-AN93</f>
        <v>771380</v>
      </c>
      <c r="AP93" s="12"/>
      <c r="AQ93" s="12">
        <f t="shared" si="31"/>
        <v>10685250</v>
      </c>
      <c r="AR93" s="12">
        <v>18603</v>
      </c>
      <c r="AS93" s="12">
        <f t="shared" si="26"/>
        <v>10703853</v>
      </c>
      <c r="AT93" s="12">
        <v>10834984</v>
      </c>
      <c r="AU93" s="12">
        <f>11683549 -AT93</f>
        <v>848565</v>
      </c>
      <c r="AV93" s="12"/>
      <c r="AW93" s="12">
        <f t="shared" si="32"/>
        <v>11683549</v>
      </c>
      <c r="AX93" s="12">
        <v>19803</v>
      </c>
      <c r="AY93" s="12">
        <f t="shared" si="27"/>
        <v>11703352</v>
      </c>
      <c r="AZ93" s="3" t="s">
        <v>348</v>
      </c>
      <c r="BA93" s="14" t="s">
        <v>349</v>
      </c>
      <c r="BC93" s="3" t="s">
        <v>350</v>
      </c>
      <c r="BD93" s="42"/>
    </row>
    <row r="94" spans="1:56" ht="76.5">
      <c r="A94" s="21" t="s">
        <v>351</v>
      </c>
      <c r="B94" s="21" t="s">
        <v>351</v>
      </c>
      <c r="C94" s="32" t="s">
        <v>7</v>
      </c>
      <c r="D94" s="4" t="s">
        <v>352</v>
      </c>
      <c r="E94" s="11">
        <v>242200000000</v>
      </c>
      <c r="F94" s="5" t="str">
        <f>IF(ISNUMBER(Table1[[#This Row],[2019 Scope 3 ]]),IF(Table1[[#This Row],[Net Earnings/Income (2019)]]-k_cost*Table1[[#This Row],[2019 Total Scope 1, 2 + 3]]&lt;0,"Y","N"),"NA")</f>
        <v>N</v>
      </c>
      <c r="G94" s="54" t="str">
        <f>IF(ISNUMBER(Table1[[#This Row],[2019 Scope 3 ]]),IF(k_cost*Table1[[#This Row],[2019 Total Scope 1, 2 + 3]]/Table1[[#This Row],[Size (2019 Revenue)]]&gt;k_rev_max,"Y","N"),"NA")</f>
        <v>N</v>
      </c>
      <c r="H94" s="54" t="str">
        <f>IF(OR(Table1[[#This Row],[Net earnings post carbon price @85/t]]="Y",Table1[[#This Row],[Carbon costs in % revenue]] = "Y"),"Y",IF(OR(Table1[[#This Row],[Net earnings post carbon price @85/t]]="NA",Table1[[#This Row],[Carbon costs in % revenue]]="NA"),"NA","N"))</f>
        <v>N</v>
      </c>
      <c r="I94" s="11">
        <v>14240000000</v>
      </c>
      <c r="J94" s="10">
        <v>1984</v>
      </c>
      <c r="K94" t="s">
        <v>1</v>
      </c>
      <c r="L94" t="s">
        <v>0</v>
      </c>
      <c r="M94" t="s">
        <v>0</v>
      </c>
      <c r="P94" s="3" t="s">
        <v>353</v>
      </c>
      <c r="R94" t="s">
        <v>0</v>
      </c>
      <c r="T94" s="51">
        <f>IFERROR((Table1[[#This Row],[2019 Total Scope 1, 2 + 3]])/Table1[[#This Row],[2018 Total Scope 1, 2 + Scope 3]]-1,"NA")</f>
        <v>0.26102295004393961</v>
      </c>
      <c r="V94" s="12">
        <v>17709</v>
      </c>
      <c r="W94" s="12">
        <v>149418</v>
      </c>
      <c r="X94" s="12"/>
      <c r="Y94" s="12">
        <f t="shared" si="28"/>
        <v>167127</v>
      </c>
      <c r="Z94" s="12">
        <f>25934+63005+252683+88189</f>
        <v>429811</v>
      </c>
      <c r="AA94" s="12">
        <f t="shared" si="21"/>
        <v>596938</v>
      </c>
      <c r="AB94" s="12">
        <v>13924</v>
      </c>
      <c r="AC94" s="12">
        <v>158042</v>
      </c>
      <c r="AD94" s="12"/>
      <c r="AE94" s="12">
        <f t="shared" si="29"/>
        <v>171966</v>
      </c>
      <c r="AF94" s="12">
        <v>301410</v>
      </c>
      <c r="AG94" s="12">
        <f t="shared" si="23"/>
        <v>473376</v>
      </c>
      <c r="AH94" s="12">
        <v>16570</v>
      </c>
      <c r="AI94" s="12">
        <v>156719</v>
      </c>
      <c r="AJ94" s="12"/>
      <c r="AK94" s="12">
        <f t="shared" si="30"/>
        <v>173289</v>
      </c>
      <c r="AL94" s="12">
        <v>127671</v>
      </c>
      <c r="AM94" s="12">
        <f t="shared" si="25"/>
        <v>300960</v>
      </c>
      <c r="AN94" s="12">
        <v>15838</v>
      </c>
      <c r="AO94" s="12">
        <v>161303</v>
      </c>
      <c r="AP94" s="12"/>
      <c r="AQ94" s="12">
        <f t="shared" si="31"/>
        <v>177141</v>
      </c>
      <c r="AR94" s="12">
        <v>146373</v>
      </c>
      <c r="AS94" s="12">
        <f t="shared" si="26"/>
        <v>323514</v>
      </c>
      <c r="AT94" s="12">
        <v>16567</v>
      </c>
      <c r="AU94" s="12">
        <v>180096</v>
      </c>
      <c r="AV94" s="12"/>
      <c r="AW94" s="12">
        <f t="shared" si="32"/>
        <v>196663</v>
      </c>
      <c r="AX94" s="12">
        <v>173042</v>
      </c>
      <c r="AY94" s="12">
        <f t="shared" si="27"/>
        <v>369705</v>
      </c>
      <c r="BA94" s="3" t="s">
        <v>354</v>
      </c>
      <c r="BC94" s="3" t="s">
        <v>355</v>
      </c>
      <c r="BD94" s="42"/>
    </row>
    <row r="95" spans="1:56" ht="229.5">
      <c r="A95" s="21" t="s">
        <v>356</v>
      </c>
      <c r="B95" s="21" t="s">
        <v>394</v>
      </c>
      <c r="C95" s="21" t="s">
        <v>8</v>
      </c>
      <c r="D95" s="4" t="s">
        <v>165</v>
      </c>
      <c r="E95" s="11">
        <v>74094000000</v>
      </c>
      <c r="F95" s="5" t="str">
        <f>IF(ISNUMBER(Table1[[#This Row],[2019 Scope 3 ]]),IF(Table1[[#This Row],[Net Earnings/Income (2019)]]-k_cost*Table1[[#This Row],[2019 Total Scope 1, 2 + 3]]&lt;0,"Y","N"),"NA")</f>
        <v>N</v>
      </c>
      <c r="G95" s="54" t="str">
        <f>IF(ISNUMBER(Table1[[#This Row],[2019 Scope 3 ]]),IF(k_cost*Table1[[#This Row],[2019 Total Scope 1, 2 + 3]]/Table1[[#This Row],[Size (2019 Revenue)]]&gt;k_rev_max,"Y","N"),"NA")</f>
        <v>N</v>
      </c>
      <c r="H95" s="54" t="str">
        <f>IF(OR(Table1[[#This Row],[Net earnings post carbon price @85/t]]="Y",Table1[[#This Row],[Carbon costs in % revenue]] = "Y"),"Y",IF(OR(Table1[[#This Row],[Net earnings post carbon price @85/t]]="NA",Table1[[#This Row],[Carbon costs in % revenue]]="NA"),"NA","N"))</f>
        <v>N</v>
      </c>
      <c r="I95" s="11">
        <v>4400000000</v>
      </c>
      <c r="J95" s="10">
        <v>1999</v>
      </c>
      <c r="K95" t="s">
        <v>1</v>
      </c>
      <c r="L95" t="s">
        <v>0</v>
      </c>
      <c r="M95" t="s">
        <v>0</v>
      </c>
      <c r="P95" s="3" t="s">
        <v>357</v>
      </c>
      <c r="Q95" t="s">
        <v>1</v>
      </c>
      <c r="R95" t="s">
        <v>0</v>
      </c>
      <c r="T95" s="51">
        <f>IFERROR((Table1[[#This Row],[2019 Total Scope 1, 2 + 3]])/Table1[[#This Row],[2018 Total Scope 1, 2 + Scope 3]]-1,"NA")</f>
        <v>-9.7068664032273766E-3</v>
      </c>
      <c r="V95" s="12">
        <v>14223000</v>
      </c>
      <c r="W95" s="12">
        <v>731000</v>
      </c>
      <c r="X95" s="12"/>
      <c r="Y95" s="12">
        <f t="shared" si="28"/>
        <v>14954000</v>
      </c>
      <c r="Z95" s="12">
        <f>3122000+4629000+2820000+8198000+25000+69000+2079000+9000+57000</f>
        <v>21008000</v>
      </c>
      <c r="AA95" s="12">
        <f t="shared" si="21"/>
        <v>35962000</v>
      </c>
      <c r="AB95" s="12">
        <v>13851000</v>
      </c>
      <c r="AC95" s="12">
        <v>784000</v>
      </c>
      <c r="AD95" s="12">
        <f>(95.9+7.6)*1000</f>
        <v>103500</v>
      </c>
      <c r="AE95" s="12">
        <f t="shared" si="29"/>
        <v>14531500</v>
      </c>
      <c r="AF95" s="12">
        <v>21783000</v>
      </c>
      <c r="AG95" s="12">
        <f t="shared" si="23"/>
        <v>36314500</v>
      </c>
      <c r="AH95" s="12">
        <v>13047000</v>
      </c>
      <c r="AI95" s="12">
        <v>745000</v>
      </c>
      <c r="AJ95" s="12">
        <f>(77.9+6.3)*1000</f>
        <v>84200</v>
      </c>
      <c r="AK95" s="12">
        <f t="shared" si="30"/>
        <v>13707800</v>
      </c>
      <c r="AL95" s="12">
        <v>20071000</v>
      </c>
      <c r="AM95" s="12">
        <f t="shared" si="25"/>
        <v>33778800</v>
      </c>
      <c r="AN95" s="12">
        <v>12432000</v>
      </c>
      <c r="AO95" s="12">
        <v>831000</v>
      </c>
      <c r="AP95" s="12">
        <f>(95.7+6)*1000</f>
        <v>101700</v>
      </c>
      <c r="AQ95" s="12">
        <f t="shared" si="31"/>
        <v>13161300</v>
      </c>
      <c r="AR95" s="12">
        <v>17430000</v>
      </c>
      <c r="AS95" s="12">
        <f t="shared" si="26"/>
        <v>30591300</v>
      </c>
      <c r="AT95" s="12">
        <v>12197000</v>
      </c>
      <c r="AU95" s="12">
        <v>814000</v>
      </c>
      <c r="AV95" s="12">
        <f>(44.9+3.2)*1000</f>
        <v>48100</v>
      </c>
      <c r="AW95" s="12">
        <f t="shared" si="32"/>
        <v>12962900</v>
      </c>
      <c r="AX95" s="12">
        <v>16877000</v>
      </c>
      <c r="AY95" s="12">
        <f t="shared" si="27"/>
        <v>29839900</v>
      </c>
      <c r="AZ95" s="3" t="s">
        <v>358</v>
      </c>
      <c r="BA95" s="3" t="s">
        <v>359</v>
      </c>
      <c r="BC95" s="3" t="s">
        <v>360</v>
      </c>
      <c r="BD95" s="42"/>
    </row>
    <row r="96" spans="1:56" ht="178.5">
      <c r="A96" s="21" t="s">
        <v>361</v>
      </c>
      <c r="B96" s="21" t="s">
        <v>361</v>
      </c>
      <c r="C96" s="32" t="s">
        <v>6</v>
      </c>
      <c r="D96" s="4" t="s">
        <v>103</v>
      </c>
      <c r="E96" s="11">
        <v>25775000000</v>
      </c>
      <c r="F96" s="5" t="str">
        <f>IF(ISNUMBER(Table1[[#This Row],[2019 Scope 3 ]]),IF(Table1[[#This Row],[Net Earnings/Income (2019)]]-k_cost*Table1[[#This Row],[2019 Total Scope 1, 2 + 3]]&lt;0,"Y","N"),"NA")</f>
        <v>N</v>
      </c>
      <c r="G96" s="54" t="str">
        <f>IF(ISNUMBER(Table1[[#This Row],[2019 Scope 3 ]]),IF(k_cost*Table1[[#This Row],[2019 Total Scope 1, 2 + 3]]/Table1[[#This Row],[Size (2019 Revenue)]]&gt;k_rev_max,"Y","N"),"NA")</f>
        <v>N</v>
      </c>
      <c r="H96" s="54" t="str">
        <f>IF(OR(Table1[[#This Row],[Net earnings post carbon price @85/t]]="Y",Table1[[#This Row],[Carbon costs in % revenue]] = "Y"),"Y",IF(OR(Table1[[#This Row],[Net earnings post carbon price @85/t]]="NA",Table1[[#This Row],[Carbon costs in % revenue]]="NA"),"NA","N"))</f>
        <v>N</v>
      </c>
      <c r="I96" s="11">
        <v>6914000000</v>
      </c>
      <c r="J96" s="10" t="s">
        <v>362</v>
      </c>
      <c r="K96" t="s">
        <v>0</v>
      </c>
      <c r="L96" t="s">
        <v>0</v>
      </c>
      <c r="M96" t="s">
        <v>0</v>
      </c>
      <c r="P96" s="3" t="s">
        <v>363</v>
      </c>
      <c r="R96" t="s">
        <v>0</v>
      </c>
      <c r="T96" s="51">
        <f>IFERROR((Table1[[#This Row],[2019 Total Scope 1, 2 + 3]])/Table1[[#This Row],[2018 Total Scope 1, 2 + Scope 3]]-1,"NA")</f>
        <v>-0.31991370447152412</v>
      </c>
      <c r="V96" s="12">
        <v>56482</v>
      </c>
      <c r="W96" s="12">
        <v>176447</v>
      </c>
      <c r="X96" s="12"/>
      <c r="Y96" s="12">
        <f t="shared" si="28"/>
        <v>232929</v>
      </c>
      <c r="Z96" s="12">
        <f>8528+38762+79195+44088</f>
        <v>170573</v>
      </c>
      <c r="AA96" s="12">
        <f t="shared" si="21"/>
        <v>403502</v>
      </c>
      <c r="AB96" s="12">
        <v>63333</v>
      </c>
      <c r="AC96" s="12">
        <v>233322</v>
      </c>
      <c r="AD96" s="12">
        <f>5165+32382+48317</f>
        <v>85864</v>
      </c>
      <c r="AE96" s="12">
        <f t="shared" si="29"/>
        <v>210791</v>
      </c>
      <c r="AF96" s="50">
        <v>382519</v>
      </c>
      <c r="AG96" s="12">
        <f t="shared" si="23"/>
        <v>593310</v>
      </c>
      <c r="AH96" s="12">
        <v>55029</v>
      </c>
      <c r="AI96" s="12">
        <v>239367</v>
      </c>
      <c r="AJ96" s="12"/>
      <c r="AK96" s="12">
        <f t="shared" si="30"/>
        <v>294396</v>
      </c>
      <c r="AL96" s="12"/>
      <c r="AM96" s="12">
        <f t="shared" si="25"/>
        <v>294396</v>
      </c>
      <c r="AN96" s="12">
        <v>53544</v>
      </c>
      <c r="AO96" s="12">
        <v>325439</v>
      </c>
      <c r="AP96" s="12"/>
      <c r="AQ96" s="12">
        <f t="shared" si="31"/>
        <v>378983</v>
      </c>
      <c r="AR96" s="12">
        <f>4953+27620+54092</f>
        <v>86665</v>
      </c>
      <c r="AS96" s="12">
        <f t="shared" si="26"/>
        <v>465648</v>
      </c>
      <c r="AT96" s="12"/>
      <c r="AU96" s="12"/>
      <c r="AV96" s="12"/>
      <c r="AW96" s="12">
        <f t="shared" si="32"/>
        <v>0</v>
      </c>
      <c r="AX96" s="12"/>
      <c r="AY96" s="12">
        <f t="shared" si="27"/>
        <v>0</v>
      </c>
      <c r="BA96" s="3" t="s">
        <v>364</v>
      </c>
      <c r="BC96" s="3" t="s">
        <v>365</v>
      </c>
      <c r="BD96" s="42" t="s">
        <v>499</v>
      </c>
    </row>
    <row r="97" spans="1:56" ht="89.25">
      <c r="A97" s="21" t="s">
        <v>366</v>
      </c>
      <c r="B97" s="21" t="s">
        <v>442</v>
      </c>
      <c r="C97" s="21" t="s">
        <v>2</v>
      </c>
      <c r="D97" s="4" t="s">
        <v>99</v>
      </c>
      <c r="E97" s="5">
        <v>131860000000</v>
      </c>
      <c r="F97" s="5" t="str">
        <f>IF(ISNUMBER(Table1[[#This Row],[2019 Scope 3 ]]),IF(Table1[[#This Row],[Net Earnings/Income (2019)]]-k_cost*Table1[[#This Row],[2019 Total Scope 1, 2 + 3]]&lt;0,"Y","N"),"NA")</f>
        <v>N</v>
      </c>
      <c r="G97" s="54" t="str">
        <f>IF(ISNUMBER(Table1[[#This Row],[2019 Scope 3 ]]),IF(k_cost*Table1[[#This Row],[2019 Total Scope 1, 2 + 3]]/Table1[[#This Row],[Size (2019 Revenue)]]&gt;k_rev_max,"Y","N"),"NA")</f>
        <v>N</v>
      </c>
      <c r="H97" s="54" t="str">
        <f>IF(OR(Table1[[#This Row],[Net earnings post carbon price @85/t]]="Y",Table1[[#This Row],[Carbon costs in % revenue]] = "Y"),"Y",IF(OR(Table1[[#This Row],[Net earnings post carbon price @85/t]]="NA",Table1[[#This Row],[Carbon costs in % revenue]]="NA"),"NA","N"))</f>
        <v>N</v>
      </c>
      <c r="I97" s="5">
        <v>19790000000</v>
      </c>
      <c r="J97" s="9">
        <v>2000</v>
      </c>
      <c r="K97" s="5" t="s">
        <v>1</v>
      </c>
      <c r="L97" t="s">
        <v>1</v>
      </c>
      <c r="M97" t="s">
        <v>0</v>
      </c>
      <c r="N97">
        <v>2035</v>
      </c>
      <c r="O97">
        <v>2019</v>
      </c>
      <c r="Q97" t="s">
        <v>1</v>
      </c>
      <c r="R97" t="s">
        <v>0</v>
      </c>
      <c r="S97" t="s">
        <v>367</v>
      </c>
      <c r="T97" s="51" t="str">
        <f>IFERROR((Table1[[#This Row],[2019 Total Scope 1, 2 + 3]])/Table1[[#This Row],[2018 Total Scope 1, 2 + Scope 3]]-1,"NA")</f>
        <v>NA</v>
      </c>
      <c r="V97" s="12">
        <v>358753</v>
      </c>
      <c r="W97" s="12">
        <v>3982613</v>
      </c>
      <c r="X97" s="12"/>
      <c r="Y97" s="12">
        <f t="shared" si="28"/>
        <v>4341366</v>
      </c>
      <c r="Z97" s="12">
        <f>12502929+1057075+65443+36503+92882+511555+56906+2736735+1619</f>
        <v>17061647</v>
      </c>
      <c r="AA97" s="12">
        <f t="shared" si="21"/>
        <v>21403013</v>
      </c>
      <c r="AB97" s="12">
        <v>385241</v>
      </c>
      <c r="AC97" s="12">
        <v>4033579</v>
      </c>
      <c r="AD97" s="12"/>
      <c r="AE97" s="12">
        <f t="shared" si="29"/>
        <v>4418820</v>
      </c>
      <c r="AF97" s="12" t="s">
        <v>401</v>
      </c>
      <c r="AG97" s="12" t="str">
        <f t="shared" si="23"/>
        <v/>
      </c>
      <c r="AH97" s="12">
        <v>376735</v>
      </c>
      <c r="AI97" s="12">
        <v>4522261</v>
      </c>
      <c r="AJ97" s="12"/>
      <c r="AK97" s="12">
        <f t="shared" si="30"/>
        <v>4898996</v>
      </c>
      <c r="AL97" s="12">
        <v>69271</v>
      </c>
      <c r="AM97" s="12">
        <f t="shared" si="25"/>
        <v>4968267</v>
      </c>
      <c r="AN97" s="12">
        <v>372496</v>
      </c>
      <c r="AO97" s="12">
        <v>5529727</v>
      </c>
      <c r="AP97" s="12"/>
      <c r="AQ97" s="12">
        <f t="shared" si="31"/>
        <v>5902223</v>
      </c>
      <c r="AR97" s="12">
        <v>91365</v>
      </c>
      <c r="AS97" s="12">
        <f t="shared" si="26"/>
        <v>5993588</v>
      </c>
      <c r="AT97" s="12">
        <v>445704</v>
      </c>
      <c r="AU97" s="12">
        <v>5529153</v>
      </c>
      <c r="AV97" s="12"/>
      <c r="AW97" s="12">
        <f t="shared" si="32"/>
        <v>5974857</v>
      </c>
      <c r="AX97" s="12">
        <v>43333</v>
      </c>
      <c r="AY97" s="12">
        <f t="shared" si="27"/>
        <v>6018190</v>
      </c>
      <c r="BA97" s="3" t="s">
        <v>368</v>
      </c>
      <c r="BB97" t="s">
        <v>369</v>
      </c>
      <c r="BC97" s="3" t="s">
        <v>370</v>
      </c>
      <c r="BD97" s="42"/>
    </row>
    <row r="98" spans="1:56" ht="114.75">
      <c r="A98" s="21" t="s">
        <v>371</v>
      </c>
      <c r="B98" s="21" t="s">
        <v>462</v>
      </c>
      <c r="C98" s="32" t="s">
        <v>6</v>
      </c>
      <c r="D98" s="4" t="s">
        <v>89</v>
      </c>
      <c r="E98" s="5">
        <v>23000000000</v>
      </c>
      <c r="F98" s="5" t="str">
        <f>IF(ISNUMBER(Table1[[#This Row],[2019 Scope 3 ]]),IF(Table1[[#This Row],[Net Earnings/Income (2019)]]-k_cost*Table1[[#This Row],[2019 Total Scope 1, 2 + 3]]&lt;0,"Y","N"),"NA")</f>
        <v>N</v>
      </c>
      <c r="G98" s="54" t="str">
        <f>IF(ISNUMBER(Table1[[#This Row],[2019 Scope 3 ]]),IF(k_cost*Table1[[#This Row],[2019 Total Scope 1, 2 + 3]]/Table1[[#This Row],[Size (2019 Revenue)]]&gt;k_rev_max,"Y","N"),"NA")</f>
        <v>N</v>
      </c>
      <c r="H98" s="54" t="str">
        <f>IF(OR(Table1[[#This Row],[Net earnings post carbon price @85/t]]="Y",Table1[[#This Row],[Carbon costs in % revenue]] = "Y"),"Y",IF(OR(Table1[[#This Row],[Net earnings post carbon price @85/t]]="NA",Table1[[#This Row],[Carbon costs in % revenue]]="NA"),"NA","N"))</f>
        <v>N</v>
      </c>
      <c r="I98" s="5">
        <v>12100000000</v>
      </c>
      <c r="J98" s="9">
        <v>2008</v>
      </c>
      <c r="K98" s="5" t="s">
        <v>1</v>
      </c>
      <c r="L98" t="s">
        <v>0</v>
      </c>
      <c r="M98" t="s">
        <v>0</v>
      </c>
      <c r="R98" t="s">
        <v>1</v>
      </c>
      <c r="S98">
        <v>2019</v>
      </c>
      <c r="T98" s="51">
        <f>IFERROR((Table1[[#This Row],[2019 Total Scope 1, 2 + 3]])/Table1[[#This Row],[2018 Total Scope 1, 2 + Scope 3]]-1,"NA")</f>
        <v>0.9770039995693709</v>
      </c>
      <c r="V98" s="12">
        <v>8642</v>
      </c>
      <c r="W98" s="12">
        <v>51366</v>
      </c>
      <c r="X98" s="12"/>
      <c r="Y98" s="12">
        <f t="shared" si="28"/>
        <v>60008</v>
      </c>
      <c r="Z98" s="12">
        <f>430410+13729+2203+48009+29518+94</f>
        <v>523963</v>
      </c>
      <c r="AA98" s="12">
        <f t="shared" ref="AA98:AA101" si="33">IFERROR(Y98+Z98,"")</f>
        <v>583971</v>
      </c>
      <c r="AB98" s="12">
        <f>287390*0.03</f>
        <v>8621.6999999999989</v>
      </c>
      <c r="AC98" s="12">
        <f>287390*0.19</f>
        <v>54604.1</v>
      </c>
      <c r="AD98" s="12"/>
      <c r="AE98" s="12">
        <f t="shared" si="29"/>
        <v>63225.799999999996</v>
      </c>
      <c r="AF98" s="12">
        <f>153409+6583+2793+47000+22342+29</f>
        <v>232156</v>
      </c>
      <c r="AG98" s="12">
        <f t="shared" ref="AG98:AG101" si="34">IFERROR(AE98+AF98,"")</f>
        <v>295381.8</v>
      </c>
      <c r="AH98" s="12">
        <v>9143</v>
      </c>
      <c r="AI98" s="12">
        <v>56628</v>
      </c>
      <c r="AJ98" s="12"/>
      <c r="AK98" s="12">
        <f t="shared" si="30"/>
        <v>65771</v>
      </c>
      <c r="AL98" s="12">
        <v>55182</v>
      </c>
      <c r="AM98" s="12">
        <f t="shared" ref="AM98:AM101" si="35">IFERROR(AK98+AL98,"")</f>
        <v>120953</v>
      </c>
      <c r="AN98" s="12">
        <v>9005</v>
      </c>
      <c r="AO98" s="12">
        <v>68968</v>
      </c>
      <c r="AP98" s="12"/>
      <c r="AQ98" s="12">
        <f t="shared" si="31"/>
        <v>77973</v>
      </c>
      <c r="AR98" s="12">
        <v>49736</v>
      </c>
      <c r="AS98" s="12">
        <f t="shared" ref="AS98:AS101" si="36">IFERROR(AQ98+AR98,"")</f>
        <v>127709</v>
      </c>
      <c r="AT98" s="12">
        <v>17837</v>
      </c>
      <c r="AU98" s="12">
        <v>55177</v>
      </c>
      <c r="AV98" s="12"/>
      <c r="AW98" s="12">
        <f t="shared" si="32"/>
        <v>73014</v>
      </c>
      <c r="AX98" s="12">
        <v>33149</v>
      </c>
      <c r="AY98" s="12">
        <f t="shared" ref="AY98:AY101" si="37">IFERROR(AW98+AX98,"")</f>
        <v>106163</v>
      </c>
      <c r="AZ98" t="s">
        <v>0</v>
      </c>
      <c r="BA98" s="3" t="s">
        <v>372</v>
      </c>
      <c r="BB98" s="3" t="s">
        <v>373</v>
      </c>
      <c r="BC98" s="3" t="s">
        <v>374</v>
      </c>
      <c r="BD98" s="42"/>
    </row>
    <row r="99" spans="1:56" ht="51">
      <c r="A99" s="21" t="s">
        <v>375</v>
      </c>
      <c r="B99" s="21" t="s">
        <v>479</v>
      </c>
      <c r="C99" s="32" t="s">
        <v>7</v>
      </c>
      <c r="D99" s="4" t="s">
        <v>85</v>
      </c>
      <c r="E99" s="11">
        <v>136900000000</v>
      </c>
      <c r="F99" s="5" t="str">
        <f>IF(ISNUMBER(Table1[[#This Row],[2019 Scope 3 ]]),IF(Table1[[#This Row],[Net Earnings/Income (2019)]]-k_cost*Table1[[#This Row],[2019 Total Scope 1, 2 + 3]]&lt;0,"Y","N"),"NA")</f>
        <v>N</v>
      </c>
      <c r="G99" s="54" t="str">
        <f>IF(ISNUMBER(Table1[[#This Row],[2019 Scope 3 ]]),IF(k_cost*Table1[[#This Row],[2019 Total Scope 1, 2 + 3]]/Table1[[#This Row],[Size (2019 Revenue)]]&gt;k_rev_max,"Y","N"),"NA")</f>
        <v>N</v>
      </c>
      <c r="H99" s="54" t="str">
        <f>IF(OR(Table1[[#This Row],[Net earnings post carbon price @85/t]]="Y",Table1[[#This Row],[Carbon costs in % revenue]] = "Y"),"Y",IF(OR(Table1[[#This Row],[Net earnings post carbon price @85/t]]="NA",Table1[[#This Row],[Carbon costs in % revenue]]="NA"),"NA","N"))</f>
        <v>N</v>
      </c>
      <c r="I99" s="11">
        <v>3900000000</v>
      </c>
      <c r="J99" s="10">
        <v>1927</v>
      </c>
      <c r="K99" t="s">
        <v>1</v>
      </c>
      <c r="L99" t="s">
        <v>0</v>
      </c>
      <c r="M99" t="s">
        <v>0</v>
      </c>
      <c r="R99" t="s">
        <v>0</v>
      </c>
      <c r="T99" s="51">
        <f>IFERROR((Table1[[#This Row],[2019 Total Scope 1, 2 + 3]])/Table1[[#This Row],[2018 Total Scope 1, 2 + Scope 3]]-1,"NA")</f>
        <v>5.6364490371065834E-3</v>
      </c>
      <c r="V99" s="12">
        <v>389000</v>
      </c>
      <c r="W99" s="12">
        <v>1645000</v>
      </c>
      <c r="X99" s="12"/>
      <c r="Y99" s="12">
        <f t="shared" si="28"/>
        <v>2034000</v>
      </c>
      <c r="Z99" s="12">
        <v>107000</v>
      </c>
      <c r="AA99" s="12">
        <f t="shared" si="33"/>
        <v>2141000</v>
      </c>
      <c r="AB99" s="12">
        <v>370000</v>
      </c>
      <c r="AC99" s="12">
        <v>1639000</v>
      </c>
      <c r="AD99" s="12"/>
      <c r="AE99" s="12">
        <f t="shared" si="29"/>
        <v>2009000</v>
      </c>
      <c r="AF99" s="12">
        <v>120000</v>
      </c>
      <c r="AG99" s="12">
        <f t="shared" si="34"/>
        <v>2129000</v>
      </c>
      <c r="AH99" s="12">
        <v>368000</v>
      </c>
      <c r="AI99" s="12">
        <v>1863000</v>
      </c>
      <c r="AJ99" s="12"/>
      <c r="AK99" s="12">
        <f t="shared" si="30"/>
        <v>2231000</v>
      </c>
      <c r="AL99" s="12">
        <v>123000</v>
      </c>
      <c r="AM99" s="12">
        <f t="shared" si="35"/>
        <v>2354000</v>
      </c>
      <c r="AN99" s="12"/>
      <c r="AO99" s="12"/>
      <c r="AP99" s="12"/>
      <c r="AQ99" s="12">
        <f t="shared" si="31"/>
        <v>0</v>
      </c>
      <c r="AR99" s="12"/>
      <c r="AS99" s="12">
        <f t="shared" si="36"/>
        <v>0</v>
      </c>
      <c r="AT99" s="12"/>
      <c r="AU99" s="12"/>
      <c r="AV99" s="12"/>
      <c r="AW99" s="12">
        <f t="shared" si="32"/>
        <v>0</v>
      </c>
      <c r="AX99" s="12"/>
      <c r="AY99" s="12">
        <f t="shared" si="37"/>
        <v>0</v>
      </c>
      <c r="AZ99" t="s">
        <v>376</v>
      </c>
      <c r="BA99" s="18" t="s">
        <v>377</v>
      </c>
      <c r="BC99" s="3" t="s">
        <v>378</v>
      </c>
      <c r="BD99" s="42"/>
    </row>
    <row r="100" spans="1:56" ht="204">
      <c r="A100" s="21" t="s">
        <v>379</v>
      </c>
      <c r="B100" s="21" t="s">
        <v>379</v>
      </c>
      <c r="C100" s="21" t="s">
        <v>4</v>
      </c>
      <c r="D100" s="4" t="s">
        <v>85</v>
      </c>
      <c r="E100" s="5">
        <v>524000000000</v>
      </c>
      <c r="F100" s="5" t="str">
        <f>IF(ISNUMBER(Table1[[#This Row],[2019 Scope 3 ]]),IF(Table1[[#This Row],[Net Earnings/Income (2019)]]-k_cost*Table1[[#This Row],[2019 Total Scope 1, 2 + 3]]&lt;0,"Y","N"),"NA")</f>
        <v>Y</v>
      </c>
      <c r="G100" s="54" t="str">
        <f>IF(ISNUMBER(Table1[[#This Row],[2019 Scope 3 ]]),IF(k_cost*Table1[[#This Row],[2019 Total Scope 1, 2 + 3]]/Table1[[#This Row],[Size (2019 Revenue)]]&gt;k_rev_max,"Y","N"),"NA")</f>
        <v>N</v>
      </c>
      <c r="H100" s="54" t="str">
        <f>IF(OR(Table1[[#This Row],[Net earnings post carbon price @85/t]]="Y",Table1[[#This Row],[Carbon costs in % revenue]] = "Y"),"Y",IF(OR(Table1[[#This Row],[Net earnings post carbon price @85/t]]="NA",Table1[[#This Row],[Carbon costs in % revenue]]="NA"),"NA","N"))</f>
        <v>Y</v>
      </c>
      <c r="I100" s="5">
        <v>14880000000</v>
      </c>
      <c r="J100" s="9">
        <v>1972</v>
      </c>
      <c r="K100" s="5" t="s">
        <v>1</v>
      </c>
      <c r="L100" s="4" t="s">
        <v>1</v>
      </c>
      <c r="M100" t="s">
        <v>1</v>
      </c>
      <c r="N100">
        <v>2040</v>
      </c>
      <c r="P100" s="3" t="s">
        <v>380</v>
      </c>
      <c r="Q100" t="s">
        <v>0</v>
      </c>
      <c r="R100" t="s">
        <v>1</v>
      </c>
      <c r="S100">
        <v>2025</v>
      </c>
      <c r="T100" s="51">
        <f>IFERROR((Table1[[#This Row],[2019 Total Scope 1, 2 + 3]])/Table1[[#This Row],[2018 Total Scope 1, 2 + Scope 3]]-1,"NA")</f>
        <v>-2.764724364318516E-3</v>
      </c>
      <c r="V100" s="12">
        <v>6484616</v>
      </c>
      <c r="W100" s="12">
        <v>11078980</v>
      </c>
      <c r="X100" s="12"/>
      <c r="Y100" s="12">
        <f t="shared" si="28"/>
        <v>17563596</v>
      </c>
      <c r="Z100" s="12">
        <f>143267842+645328+3327874+342577+968265+76296+3500000+5099+32211000+130+130000</f>
        <v>184474411</v>
      </c>
      <c r="AA100" s="12">
        <f t="shared" si="33"/>
        <v>202038007</v>
      </c>
      <c r="AB100" s="12">
        <v>6101641</v>
      </c>
      <c r="AC100" s="12">
        <v>12022083</v>
      </c>
      <c r="AD100" s="12"/>
      <c r="AE100" s="12">
        <f t="shared" si="29"/>
        <v>18123724</v>
      </c>
      <c r="AF100" s="12">
        <f>143267842+645328+3327874+342577+968265+76296+3500000+5099+32211000+130+130000</f>
        <v>184474411</v>
      </c>
      <c r="AG100" s="12">
        <f t="shared" si="34"/>
        <v>202598135</v>
      </c>
      <c r="AH100" s="12">
        <v>12160000</v>
      </c>
      <c r="AI100" s="12">
        <v>6520000</v>
      </c>
      <c r="AJ100" s="12"/>
      <c r="AK100" s="12">
        <f t="shared" si="30"/>
        <v>18680000</v>
      </c>
      <c r="AL100" s="12"/>
      <c r="AM100" s="12">
        <f t="shared" si="35"/>
        <v>18680000</v>
      </c>
      <c r="AN100" s="12">
        <v>14080000</v>
      </c>
      <c r="AO100" s="12">
        <v>6650000</v>
      </c>
      <c r="AP100" s="12"/>
      <c r="AQ100" s="12">
        <f t="shared" si="31"/>
        <v>20730000</v>
      </c>
      <c r="AR100" s="12"/>
      <c r="AS100" s="12">
        <f t="shared" si="36"/>
        <v>20730000</v>
      </c>
      <c r="AT100" s="12">
        <v>14930000</v>
      </c>
      <c r="AU100" s="12">
        <v>6110000</v>
      </c>
      <c r="AV100" s="12"/>
      <c r="AW100" s="12">
        <f t="shared" si="32"/>
        <v>21040000</v>
      </c>
      <c r="AX100" s="12"/>
      <c r="AY100" s="12">
        <f t="shared" si="37"/>
        <v>21040000</v>
      </c>
      <c r="AZ100" s="3" t="s">
        <v>381</v>
      </c>
      <c r="BA100" s="3" t="s">
        <v>382</v>
      </c>
      <c r="BB100" s="3" t="s">
        <v>383</v>
      </c>
      <c r="BC100" s="3" t="s">
        <v>384</v>
      </c>
      <c r="BD100" s="42"/>
    </row>
    <row r="101" spans="1:56" ht="127.5">
      <c r="A101" s="21" t="s">
        <v>385</v>
      </c>
      <c r="B101" s="21" t="s">
        <v>385</v>
      </c>
      <c r="C101" s="32" t="s">
        <v>6</v>
      </c>
      <c r="D101" s="4" t="s">
        <v>103</v>
      </c>
      <c r="E101" s="5">
        <v>85060000000</v>
      </c>
      <c r="F101" s="5" t="str">
        <f>IF(ISNUMBER(Table1[[#This Row],[2019 Scope 3 ]]),IF(Table1[[#This Row],[Net Earnings/Income (2019)]]-k_cost*Table1[[#This Row],[2019 Total Scope 1, 2 + 3]]&lt;0,"Y","N"),"NA")</f>
        <v>N</v>
      </c>
      <c r="G101" s="54" t="str">
        <f>IF(ISNUMBER(Table1[[#This Row],[2019 Scope 3 ]]),IF(k_cost*Table1[[#This Row],[2019 Total Scope 1, 2 + 3]]/Table1[[#This Row],[Size (2019 Revenue)]]&gt;k_rev_max,"Y","N"),"NA")</f>
        <v>N</v>
      </c>
      <c r="H101" s="54" t="str">
        <f>IF(OR(Table1[[#This Row],[Net earnings post carbon price @85/t]]="Y",Table1[[#This Row],[Carbon costs in % revenue]] = "Y"),"Y",IF(OR(Table1[[#This Row],[Net earnings post carbon price @85/t]]="NA",Table1[[#This Row],[Carbon costs in % revenue]]="NA"),"NA","N"))</f>
        <v>N</v>
      </c>
      <c r="I101" s="5">
        <v>19550000000</v>
      </c>
      <c r="J101" s="9">
        <v>1978</v>
      </c>
      <c r="K101" s="5" t="s">
        <v>1</v>
      </c>
      <c r="L101" t="s">
        <v>0</v>
      </c>
      <c r="M101" t="s">
        <v>0</v>
      </c>
      <c r="P101" s="3" t="s">
        <v>386</v>
      </c>
      <c r="Q101" s="3" t="s">
        <v>387</v>
      </c>
      <c r="R101" t="s">
        <v>1</v>
      </c>
      <c r="S101">
        <v>2017</v>
      </c>
      <c r="T101" s="51">
        <f>IFERROR((Table1[[#This Row],[2019 Total Scope 1, 2 + 3]])/Table1[[#This Row],[2018 Total Scope 1, 2 + Scope 3]]-1,"NA")</f>
        <v>-0.21291325731022215</v>
      </c>
      <c r="V101" s="12">
        <v>91993</v>
      </c>
      <c r="W101" s="12">
        <v>4988</v>
      </c>
      <c r="X101" s="12"/>
      <c r="Y101" s="12">
        <f t="shared" si="28"/>
        <v>96981</v>
      </c>
      <c r="Z101" s="12">
        <f>2304829+455599+148420+9921+78277+613405</f>
        <v>3610451</v>
      </c>
      <c r="AA101" s="12">
        <f t="shared" si="33"/>
        <v>3707432</v>
      </c>
      <c r="AB101" s="12">
        <v>95316</v>
      </c>
      <c r="AC101" s="12">
        <v>833204</v>
      </c>
      <c r="AD101" s="12"/>
      <c r="AE101" s="12">
        <f t="shared" si="29"/>
        <v>928520</v>
      </c>
      <c r="AF101" s="12">
        <f>2347646+559600+156145+12132+93815+612464</f>
        <v>3781802</v>
      </c>
      <c r="AG101" s="12">
        <f t="shared" si="34"/>
        <v>4710322</v>
      </c>
      <c r="AH101" s="12">
        <v>85830</v>
      </c>
      <c r="AI101" s="12">
        <v>848520</v>
      </c>
      <c r="AJ101" s="12"/>
      <c r="AK101" s="12">
        <f t="shared" si="30"/>
        <v>934350</v>
      </c>
      <c r="AL101" s="12" t="s">
        <v>401</v>
      </c>
      <c r="AM101" s="12" t="str">
        <f t="shared" si="35"/>
        <v/>
      </c>
      <c r="AN101" s="12">
        <v>85628</v>
      </c>
      <c r="AO101" s="12">
        <v>974982</v>
      </c>
      <c r="AP101" s="12"/>
      <c r="AQ101" s="12">
        <f t="shared" si="31"/>
        <v>1060610</v>
      </c>
      <c r="AR101" s="12" t="s">
        <v>401</v>
      </c>
      <c r="AS101" s="12" t="str">
        <f t="shared" si="36"/>
        <v/>
      </c>
      <c r="AT101" s="12">
        <v>92610</v>
      </c>
      <c r="AU101" s="12">
        <v>1193278</v>
      </c>
      <c r="AV101" s="12"/>
      <c r="AW101" s="12">
        <f t="shared" si="32"/>
        <v>1285888</v>
      </c>
      <c r="AX101" s="12" t="s">
        <v>401</v>
      </c>
      <c r="AY101" s="12" t="str">
        <f t="shared" si="37"/>
        <v/>
      </c>
      <c r="BA101" s="3" t="s">
        <v>388</v>
      </c>
      <c r="BC101" s="3" t="s">
        <v>389</v>
      </c>
      <c r="BD101" s="42"/>
    </row>
    <row r="102" spans="1:56">
      <c r="A102" s="32"/>
      <c r="B102" s="32"/>
      <c r="D102" s="4"/>
      <c r="E102" s="37"/>
      <c r="F102" s="37"/>
      <c r="G102" s="37"/>
      <c r="H102" s="37"/>
      <c r="I102" s="37"/>
      <c r="J102" s="38"/>
      <c r="K102" s="37"/>
      <c r="V102" s="39"/>
      <c r="W102" s="39"/>
      <c r="X102" s="39"/>
      <c r="Y102" s="39"/>
      <c r="Z102" s="39"/>
      <c r="AA102" s="39"/>
      <c r="AB102" s="39"/>
      <c r="AC102" s="39"/>
      <c r="AD102" s="39"/>
      <c r="AE102" s="39"/>
      <c r="AF102" s="39"/>
      <c r="AG102" s="39"/>
      <c r="AH102" s="39"/>
      <c r="AI102" s="39"/>
      <c r="AJ102" s="39"/>
      <c r="AK102" s="39"/>
      <c r="AL102" s="39"/>
      <c r="AM102" s="39"/>
      <c r="AN102" s="39"/>
      <c r="AO102" s="39"/>
      <c r="AP102" s="39"/>
      <c r="AQ102" s="39"/>
      <c r="AR102" s="39"/>
      <c r="AS102" s="39"/>
      <c r="AT102" s="39"/>
      <c r="AU102" s="39"/>
      <c r="AV102" s="39"/>
      <c r="AW102" s="39"/>
      <c r="AX102" s="39"/>
      <c r="AY102" s="39"/>
      <c r="BA102" s="30"/>
      <c r="BC102" s="30"/>
    </row>
    <row r="103" spans="1:56">
      <c r="V103" s="17"/>
      <c r="W103" s="17"/>
      <c r="X103" s="17"/>
      <c r="Y103" s="17"/>
      <c r="Z103" s="17"/>
      <c r="AA103" s="17"/>
      <c r="AB103" s="17"/>
      <c r="AC103" s="17"/>
      <c r="AD103" s="17"/>
      <c r="AE103" s="17"/>
      <c r="AF103" s="17"/>
      <c r="AG103" s="17"/>
      <c r="AH103" s="17"/>
      <c r="AI103" s="17"/>
      <c r="AJ103" s="17"/>
      <c r="AK103" s="13"/>
      <c r="AL103" s="17"/>
      <c r="AM103" s="17"/>
      <c r="AN103" s="17"/>
      <c r="AO103" s="17"/>
      <c r="AP103" s="17"/>
      <c r="AQ103" s="17"/>
      <c r="AR103" s="17"/>
      <c r="AS103" s="17"/>
      <c r="AT103" s="17"/>
      <c r="AU103" s="17"/>
      <c r="AV103" s="17"/>
      <c r="AW103" s="17"/>
      <c r="AX103" s="17"/>
      <c r="AY103" s="17"/>
    </row>
    <row r="104" spans="1:56">
      <c r="V104" s="17"/>
      <c r="W104" s="17"/>
      <c r="X104" s="17"/>
      <c r="Y104" s="17"/>
      <c r="Z104" s="17"/>
      <c r="AA104" s="17"/>
      <c r="AB104" s="17"/>
      <c r="AC104" s="17"/>
      <c r="AD104" s="17"/>
      <c r="AE104" s="17"/>
      <c r="AF104" s="17"/>
      <c r="AG104" s="17"/>
      <c r="AH104" s="17"/>
      <c r="AI104" s="17"/>
      <c r="AJ104" s="17"/>
      <c r="AK104" s="13"/>
      <c r="AL104" s="17"/>
      <c r="AM104" s="17"/>
      <c r="AN104" s="17"/>
      <c r="AO104" s="17"/>
      <c r="AP104" s="17"/>
      <c r="AQ104" s="17"/>
      <c r="AR104" s="17"/>
      <c r="AS104" s="17"/>
      <c r="AT104" s="17"/>
      <c r="AU104" s="17"/>
      <c r="AV104" s="17"/>
      <c r="AW104" s="17"/>
      <c r="AX104" s="17"/>
      <c r="AY104" s="17"/>
    </row>
    <row r="105" spans="1:56">
      <c r="A105" s="4"/>
      <c r="V105" s="17"/>
      <c r="W105" s="17"/>
      <c r="X105" s="17"/>
      <c r="Y105" s="17"/>
      <c r="Z105" s="17"/>
      <c r="AA105" s="17"/>
      <c r="AB105" s="17"/>
      <c r="AC105" s="17"/>
      <c r="AD105" s="17"/>
      <c r="AE105" s="17"/>
      <c r="AF105" s="17"/>
      <c r="AG105" s="17"/>
      <c r="AH105" s="17"/>
      <c r="AI105" s="17"/>
      <c r="AJ105" s="17"/>
      <c r="AK105" s="13"/>
      <c r="AL105" s="17"/>
      <c r="AM105" s="17"/>
      <c r="AN105" s="17"/>
      <c r="AO105" s="17"/>
      <c r="AP105" s="17"/>
      <c r="AQ105" s="17"/>
      <c r="AR105" s="17"/>
      <c r="AS105" s="17"/>
      <c r="AT105" s="17"/>
      <c r="AU105" s="17"/>
      <c r="AV105" s="17"/>
      <c r="AW105" s="17"/>
      <c r="AX105" s="17"/>
      <c r="AY105" s="17"/>
    </row>
    <row r="106" spans="1:56">
      <c r="V106" s="17"/>
      <c r="W106" s="17"/>
      <c r="X106" s="17"/>
      <c r="Y106" s="17"/>
      <c r="Z106" s="17"/>
      <c r="AA106" s="17"/>
      <c r="AB106" s="17"/>
      <c r="AC106" s="17"/>
      <c r="AD106" s="17"/>
      <c r="AE106" s="17"/>
      <c r="AF106" s="17"/>
      <c r="AG106" s="17"/>
      <c r="AH106" s="17"/>
      <c r="AI106" s="17"/>
      <c r="AJ106" s="17"/>
      <c r="AK106" s="13"/>
      <c r="AL106" s="17"/>
      <c r="AM106" s="17"/>
      <c r="AN106" s="17"/>
      <c r="AO106" s="17"/>
      <c r="AP106" s="17"/>
      <c r="AQ106" s="17"/>
      <c r="AR106" s="17"/>
      <c r="AS106" s="17"/>
      <c r="AT106" s="17"/>
      <c r="AU106" s="17"/>
      <c r="AV106" s="17"/>
      <c r="AW106" s="17"/>
      <c r="AX106" s="17"/>
      <c r="AY106" s="17"/>
    </row>
    <row r="107" spans="1:56">
      <c r="V107" s="17"/>
      <c r="W107" s="17"/>
      <c r="X107" s="17"/>
      <c r="Y107" s="17"/>
      <c r="Z107" s="17"/>
      <c r="AA107" s="17"/>
      <c r="AB107" s="17"/>
      <c r="AC107" s="17"/>
      <c r="AD107" s="17"/>
      <c r="AE107" s="17"/>
      <c r="AF107" s="17"/>
      <c r="AG107" s="17"/>
      <c r="AH107" s="17"/>
      <c r="AI107" s="17"/>
      <c r="AJ107" s="17"/>
      <c r="AK107" s="13"/>
      <c r="AL107" s="17"/>
      <c r="AM107" s="17"/>
      <c r="AN107" s="17"/>
      <c r="AO107" s="17"/>
      <c r="AP107" s="17"/>
      <c r="AQ107" s="17"/>
      <c r="AR107" s="17"/>
      <c r="AS107" s="17"/>
      <c r="AT107" s="17"/>
      <c r="AU107" s="17"/>
      <c r="AV107" s="17"/>
      <c r="AW107" s="17"/>
      <c r="AX107" s="17"/>
      <c r="AY107" s="17"/>
    </row>
    <row r="108" spans="1:56">
      <c r="V108" s="17"/>
      <c r="W108" s="17"/>
      <c r="X108" s="17"/>
      <c r="Y108" s="17"/>
      <c r="Z108" s="17"/>
      <c r="AA108" s="17"/>
      <c r="AB108" s="17"/>
      <c r="AC108" s="17"/>
      <c r="AD108" s="17"/>
      <c r="AE108" s="17"/>
      <c r="AF108" s="17"/>
      <c r="AG108" s="17"/>
      <c r="AH108" s="17"/>
      <c r="AI108" s="17"/>
      <c r="AJ108" s="17"/>
      <c r="AK108" s="13"/>
      <c r="AL108" s="17"/>
      <c r="AM108" s="17"/>
      <c r="AN108" s="17"/>
      <c r="AO108" s="17"/>
      <c r="AP108" s="17"/>
      <c r="AQ108" s="17"/>
      <c r="AR108" s="17"/>
      <c r="AS108" s="17"/>
      <c r="AT108" s="17"/>
      <c r="AU108" s="17"/>
      <c r="AV108" s="17"/>
      <c r="AW108" s="17"/>
      <c r="AX108" s="17"/>
      <c r="AY108" s="17"/>
    </row>
    <row r="109" spans="1:56">
      <c r="V109" s="17"/>
      <c r="W109" s="17"/>
      <c r="X109" s="17"/>
      <c r="Y109" s="17"/>
      <c r="Z109" s="17"/>
      <c r="AA109" s="17"/>
      <c r="AB109" s="17"/>
      <c r="AC109" s="17"/>
      <c r="AD109" s="17"/>
      <c r="AE109" s="17"/>
      <c r="AF109" s="17"/>
      <c r="AG109" s="17"/>
      <c r="AH109" s="17"/>
      <c r="AI109" s="17"/>
      <c r="AJ109" s="17"/>
      <c r="AK109" s="13"/>
      <c r="AL109" s="17"/>
      <c r="AM109" s="17"/>
      <c r="AN109" s="17"/>
      <c r="AO109" s="17"/>
      <c r="AP109" s="17"/>
      <c r="AQ109" s="17"/>
      <c r="AR109" s="17"/>
      <c r="AS109" s="17"/>
      <c r="AT109" s="17"/>
      <c r="AU109" s="17"/>
      <c r="AV109" s="17"/>
      <c r="AW109" s="17"/>
      <c r="AX109" s="17"/>
      <c r="AY109" s="17"/>
    </row>
    <row r="110" spans="1:56">
      <c r="V110" s="17"/>
      <c r="W110" s="17"/>
      <c r="X110" s="17"/>
      <c r="Y110" s="17"/>
      <c r="Z110" s="17"/>
      <c r="AA110" s="17"/>
      <c r="AB110" s="17"/>
      <c r="AC110" s="17"/>
      <c r="AD110" s="17"/>
      <c r="AE110" s="17"/>
      <c r="AF110" s="17"/>
      <c r="AG110" s="17"/>
      <c r="AH110" s="17"/>
      <c r="AI110" s="17"/>
      <c r="AJ110" s="17"/>
      <c r="AK110" s="13"/>
      <c r="AL110" s="17"/>
      <c r="AM110" s="17"/>
      <c r="AN110" s="17"/>
      <c r="AO110" s="17"/>
      <c r="AP110" s="17"/>
      <c r="AQ110" s="17"/>
      <c r="AR110" s="17"/>
      <c r="AS110" s="17"/>
      <c r="AT110" s="17"/>
      <c r="AU110" s="17"/>
      <c r="AV110" s="17"/>
      <c r="AW110" s="17"/>
      <c r="AX110" s="17"/>
      <c r="AY110" s="17"/>
    </row>
    <row r="111" spans="1:56">
      <c r="V111" s="17"/>
      <c r="W111" s="17"/>
      <c r="X111" s="17"/>
      <c r="Y111" s="17"/>
      <c r="Z111" s="17"/>
      <c r="AA111" s="17"/>
      <c r="AB111" s="17"/>
      <c r="AC111" s="17"/>
      <c r="AD111" s="17"/>
      <c r="AE111" s="17"/>
      <c r="AF111" s="17"/>
      <c r="AG111" s="17"/>
      <c r="AH111" s="17"/>
      <c r="AI111" s="17"/>
      <c r="AJ111" s="17"/>
      <c r="AK111" s="13"/>
      <c r="AL111" s="17"/>
      <c r="AM111" s="17"/>
      <c r="AN111" s="17"/>
      <c r="AO111" s="17"/>
      <c r="AP111" s="17"/>
      <c r="AQ111" s="17"/>
      <c r="AR111" s="17"/>
      <c r="AS111" s="17"/>
      <c r="AT111" s="17"/>
      <c r="AU111" s="17"/>
      <c r="AV111" s="17"/>
      <c r="AW111" s="17"/>
      <c r="AX111" s="17"/>
      <c r="AY111" s="17"/>
    </row>
    <row r="112" spans="1:56">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c r="AV112" s="17"/>
      <c r="AW112" s="17"/>
      <c r="AX112" s="17"/>
      <c r="AY112" s="17"/>
    </row>
    <row r="113" spans="22:51">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c r="AV113" s="17"/>
      <c r="AW113" s="17"/>
      <c r="AX113" s="17"/>
      <c r="AY113" s="17"/>
    </row>
    <row r="114" spans="22:51">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c r="AW114" s="17"/>
      <c r="AX114" s="17"/>
      <c r="AY114" s="17"/>
    </row>
    <row r="115" spans="22:51">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c r="AV115" s="17"/>
      <c r="AW115" s="17"/>
      <c r="AX115" s="17"/>
      <c r="AY115" s="17"/>
    </row>
    <row r="116" spans="22:51">
      <c r="V116" s="17"/>
      <c r="W116" s="17"/>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c r="AT116" s="17"/>
      <c r="AU116" s="17"/>
      <c r="AV116" s="17"/>
      <c r="AW116" s="17"/>
      <c r="AX116" s="17"/>
      <c r="AY116" s="17"/>
    </row>
    <row r="117" spans="22:51">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c r="AU117" s="17"/>
      <c r="AV117" s="17"/>
      <c r="AW117" s="17"/>
      <c r="AX117" s="17"/>
      <c r="AY117" s="17"/>
    </row>
    <row r="118" spans="22:51">
      <c r="V118" s="17"/>
      <c r="W118" s="17"/>
      <c r="X118" s="17"/>
      <c r="Y118" s="17"/>
      <c r="Z118" s="17"/>
      <c r="AA118" s="17"/>
      <c r="AB118" s="17"/>
      <c r="AC118" s="17"/>
      <c r="AD118" s="17"/>
      <c r="AE118" s="17"/>
      <c r="AF118" s="17"/>
      <c r="AG118" s="17"/>
      <c r="AH118" s="17"/>
      <c r="AI118" s="17"/>
      <c r="AJ118" s="17"/>
      <c r="AK118" s="17"/>
      <c r="AL118" s="17"/>
      <c r="AM118" s="17"/>
      <c r="AN118" s="17"/>
      <c r="AO118" s="17"/>
      <c r="AP118" s="17"/>
      <c r="AQ118" s="17"/>
      <c r="AR118" s="17"/>
      <c r="AS118" s="17"/>
      <c r="AT118" s="17"/>
      <c r="AU118" s="17"/>
      <c r="AV118" s="17"/>
      <c r="AW118" s="17"/>
      <c r="AX118" s="17"/>
      <c r="AY118" s="17"/>
    </row>
    <row r="119" spans="22:51">
      <c r="V119" s="17"/>
      <c r="W119" s="17"/>
      <c r="X119" s="17"/>
      <c r="Y119" s="17"/>
      <c r="Z119" s="17"/>
      <c r="AA119" s="17"/>
      <c r="AB119" s="17"/>
      <c r="AC119" s="17"/>
      <c r="AD119" s="17"/>
      <c r="AE119" s="17"/>
      <c r="AF119" s="17"/>
      <c r="AG119" s="17"/>
      <c r="AH119" s="17"/>
      <c r="AI119" s="17"/>
      <c r="AJ119" s="17"/>
      <c r="AK119" s="17"/>
      <c r="AL119" s="17"/>
      <c r="AM119" s="17"/>
      <c r="AN119" s="17"/>
      <c r="AO119" s="17"/>
      <c r="AP119" s="17"/>
      <c r="AQ119" s="17"/>
      <c r="AR119" s="17"/>
      <c r="AS119" s="17"/>
      <c r="AT119" s="17"/>
      <c r="AU119" s="17"/>
      <c r="AV119" s="17"/>
      <c r="AW119" s="17"/>
      <c r="AX119" s="17"/>
      <c r="AY119" s="17"/>
    </row>
    <row r="120" spans="22:51">
      <c r="V120" s="17"/>
      <c r="W120" s="17"/>
      <c r="X120" s="17"/>
      <c r="Y120" s="17"/>
      <c r="Z120" s="17"/>
      <c r="AA120" s="17"/>
      <c r="AB120" s="17"/>
      <c r="AC120" s="17"/>
      <c r="AD120" s="17"/>
      <c r="AE120" s="17"/>
      <c r="AF120" s="17"/>
      <c r="AG120" s="17"/>
      <c r="AH120" s="17"/>
      <c r="AI120" s="17"/>
      <c r="AJ120" s="17"/>
      <c r="AK120" s="17"/>
      <c r="AL120" s="17"/>
      <c r="AM120" s="17"/>
      <c r="AN120" s="17"/>
      <c r="AO120" s="17"/>
      <c r="AP120" s="17"/>
      <c r="AQ120" s="17"/>
      <c r="AR120" s="17"/>
      <c r="AS120" s="17"/>
      <c r="AT120" s="17"/>
      <c r="AU120" s="17"/>
      <c r="AV120" s="17"/>
      <c r="AW120" s="17"/>
      <c r="AX120" s="17"/>
      <c r="AY120" s="17"/>
    </row>
    <row r="121" spans="22:51">
      <c r="V121" s="17"/>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c r="AU121" s="17"/>
      <c r="AV121" s="17"/>
      <c r="AW121" s="17"/>
      <c r="AX121" s="17"/>
      <c r="AY121" s="17"/>
    </row>
    <row r="122" spans="22:51">
      <c r="V122" s="17"/>
      <c r="W122" s="17"/>
      <c r="X122" s="17"/>
      <c r="Y122" s="17"/>
      <c r="Z122" s="17"/>
      <c r="AA122" s="17"/>
      <c r="AB122" s="17"/>
      <c r="AC122" s="17"/>
      <c r="AD122" s="17"/>
      <c r="AE122" s="17"/>
      <c r="AF122" s="17"/>
      <c r="AG122" s="17"/>
      <c r="AH122" s="17"/>
      <c r="AI122" s="17"/>
      <c r="AJ122" s="17"/>
      <c r="AK122" s="17"/>
      <c r="AL122" s="17"/>
      <c r="AM122" s="17"/>
      <c r="AN122" s="17"/>
      <c r="AO122" s="17"/>
      <c r="AP122" s="17"/>
      <c r="AQ122" s="17"/>
      <c r="AR122" s="17"/>
      <c r="AS122" s="17"/>
      <c r="AT122" s="17"/>
      <c r="AU122" s="17"/>
      <c r="AV122" s="17"/>
      <c r="AW122" s="17"/>
      <c r="AX122" s="17"/>
      <c r="AY122" s="17"/>
    </row>
    <row r="123" spans="22:51">
      <c r="V123" s="17"/>
      <c r="W123" s="17"/>
      <c r="X123" s="17"/>
      <c r="Y123" s="17"/>
      <c r="Z123" s="17"/>
      <c r="AA123" s="17"/>
      <c r="AB123" s="17"/>
      <c r="AC123" s="17"/>
      <c r="AD123" s="17"/>
      <c r="AE123" s="17"/>
      <c r="AF123" s="17"/>
      <c r="AG123" s="17"/>
      <c r="AH123" s="17"/>
      <c r="AI123" s="17"/>
      <c r="AJ123" s="17"/>
      <c r="AK123" s="17"/>
      <c r="AL123" s="17"/>
      <c r="AM123" s="17"/>
      <c r="AN123" s="17"/>
      <c r="AO123" s="17"/>
      <c r="AP123" s="17"/>
      <c r="AQ123" s="17"/>
      <c r="AR123" s="17"/>
      <c r="AS123" s="17"/>
      <c r="AT123" s="17"/>
      <c r="AU123" s="17"/>
      <c r="AV123" s="17"/>
      <c r="AW123" s="17"/>
      <c r="AX123" s="17"/>
      <c r="AY123" s="17"/>
    </row>
    <row r="124" spans="22:51">
      <c r="V124" s="17"/>
      <c r="W124" s="17"/>
      <c r="X124" s="17"/>
      <c r="Y124" s="17"/>
      <c r="Z124" s="17"/>
      <c r="AA124" s="17"/>
      <c r="AB124" s="17"/>
      <c r="AC124" s="17"/>
      <c r="AD124" s="17"/>
      <c r="AE124" s="17"/>
      <c r="AF124" s="17"/>
      <c r="AG124" s="17"/>
      <c r="AH124" s="17"/>
      <c r="AI124" s="17"/>
      <c r="AJ124" s="17"/>
      <c r="AK124" s="17"/>
      <c r="AL124" s="17"/>
      <c r="AM124" s="17"/>
      <c r="AN124" s="17"/>
      <c r="AO124" s="17"/>
      <c r="AP124" s="17"/>
      <c r="AQ124" s="17"/>
      <c r="AR124" s="17"/>
      <c r="AS124" s="17"/>
      <c r="AT124" s="17"/>
      <c r="AU124" s="17"/>
      <c r="AV124" s="17"/>
      <c r="AW124" s="17"/>
      <c r="AX124" s="17"/>
      <c r="AY124" s="17"/>
    </row>
    <row r="125" spans="22:51">
      <c r="V125" s="17"/>
      <c r="W125" s="17"/>
      <c r="X125" s="17"/>
      <c r="Y125" s="17"/>
      <c r="Z125" s="17"/>
      <c r="AA125" s="17"/>
      <c r="AB125" s="17"/>
      <c r="AC125" s="17"/>
      <c r="AD125" s="17"/>
      <c r="AE125" s="17"/>
      <c r="AF125" s="17"/>
      <c r="AG125" s="17"/>
      <c r="AH125" s="17"/>
      <c r="AI125" s="17"/>
      <c r="AJ125" s="17"/>
      <c r="AK125" s="17"/>
      <c r="AL125" s="17"/>
      <c r="AM125" s="17"/>
      <c r="AN125" s="17"/>
      <c r="AO125" s="17"/>
      <c r="AP125" s="17"/>
      <c r="AQ125" s="17"/>
      <c r="AR125" s="17"/>
      <c r="AS125" s="17"/>
      <c r="AT125" s="17"/>
      <c r="AU125" s="17"/>
      <c r="AV125" s="17"/>
      <c r="AW125" s="17"/>
      <c r="AX125" s="17"/>
      <c r="AY125" s="17"/>
    </row>
    <row r="126" spans="22:51">
      <c r="V126" s="17"/>
      <c r="W126" s="17"/>
      <c r="X126" s="17"/>
      <c r="Y126" s="17"/>
      <c r="Z126" s="17"/>
      <c r="AA126" s="17"/>
      <c r="AB126" s="17"/>
      <c r="AC126" s="17"/>
      <c r="AD126" s="17"/>
      <c r="AE126" s="17"/>
      <c r="AF126" s="17"/>
      <c r="AG126" s="17"/>
      <c r="AH126" s="17"/>
      <c r="AI126" s="17"/>
      <c r="AJ126" s="17"/>
      <c r="AK126" s="17"/>
      <c r="AL126" s="17"/>
      <c r="AM126" s="17"/>
      <c r="AN126" s="17"/>
      <c r="AO126" s="17"/>
      <c r="AP126" s="17"/>
      <c r="AQ126" s="17"/>
      <c r="AR126" s="17"/>
      <c r="AS126" s="17"/>
      <c r="AT126" s="17"/>
      <c r="AU126" s="17"/>
      <c r="AV126" s="17"/>
      <c r="AW126" s="17"/>
      <c r="AX126" s="17"/>
      <c r="AY126" s="17"/>
    </row>
    <row r="127" spans="22:51">
      <c r="V127" s="17"/>
      <c r="W127" s="17"/>
      <c r="X127" s="17"/>
      <c r="Y127" s="17"/>
      <c r="Z127" s="17"/>
      <c r="AA127" s="17"/>
      <c r="AB127" s="17"/>
      <c r="AC127" s="17"/>
      <c r="AD127" s="17"/>
      <c r="AE127" s="17"/>
      <c r="AF127" s="17"/>
      <c r="AG127" s="17"/>
      <c r="AH127" s="17"/>
      <c r="AI127" s="17"/>
      <c r="AJ127" s="17"/>
      <c r="AK127" s="17"/>
      <c r="AL127" s="17"/>
      <c r="AM127" s="17"/>
      <c r="AN127" s="17"/>
      <c r="AO127" s="17"/>
      <c r="AP127" s="17"/>
      <c r="AQ127" s="17"/>
      <c r="AR127" s="17"/>
      <c r="AS127" s="17"/>
      <c r="AT127" s="17"/>
      <c r="AU127" s="17"/>
      <c r="AV127" s="17"/>
      <c r="AW127" s="17"/>
      <c r="AX127" s="17"/>
      <c r="AY127" s="17"/>
    </row>
    <row r="128" spans="22:51">
      <c r="V128" s="17"/>
      <c r="W128" s="17"/>
      <c r="X128" s="17"/>
      <c r="Y128" s="17"/>
      <c r="Z128" s="17"/>
      <c r="AA128" s="17"/>
      <c r="AB128" s="17"/>
      <c r="AC128" s="17"/>
      <c r="AD128" s="17"/>
      <c r="AE128" s="17"/>
      <c r="AF128" s="17"/>
      <c r="AG128" s="17"/>
      <c r="AH128" s="17"/>
      <c r="AI128" s="17"/>
      <c r="AJ128" s="17"/>
      <c r="AK128" s="17"/>
      <c r="AL128" s="17"/>
      <c r="AM128" s="17"/>
      <c r="AN128" s="17"/>
      <c r="AO128" s="17"/>
      <c r="AP128" s="17"/>
      <c r="AQ128" s="17"/>
      <c r="AR128" s="17"/>
      <c r="AS128" s="17"/>
      <c r="AT128" s="17"/>
      <c r="AU128" s="17"/>
      <c r="AV128" s="17"/>
      <c r="AW128" s="17"/>
      <c r="AX128" s="17"/>
      <c r="AY128" s="17"/>
    </row>
    <row r="129" spans="22:51">
      <c r="V129" s="17"/>
      <c r="W129" s="17"/>
      <c r="X129" s="17"/>
      <c r="Y129" s="17"/>
      <c r="Z129" s="17"/>
      <c r="AA129" s="17"/>
      <c r="AB129" s="17"/>
      <c r="AC129" s="17"/>
      <c r="AD129" s="17"/>
      <c r="AE129" s="17"/>
      <c r="AF129" s="17"/>
      <c r="AG129" s="17"/>
      <c r="AH129" s="17"/>
      <c r="AI129" s="17"/>
      <c r="AJ129" s="17"/>
      <c r="AK129" s="17"/>
      <c r="AL129" s="17"/>
      <c r="AM129" s="17"/>
      <c r="AN129" s="17"/>
      <c r="AO129" s="17"/>
      <c r="AP129" s="17"/>
      <c r="AQ129" s="17"/>
      <c r="AR129" s="17"/>
      <c r="AS129" s="17"/>
      <c r="AT129" s="17"/>
      <c r="AU129" s="17"/>
      <c r="AV129" s="17"/>
      <c r="AW129" s="17"/>
      <c r="AX129" s="17"/>
      <c r="AY129" s="17"/>
    </row>
    <row r="130" spans="22:51">
      <c r="V130" s="17"/>
      <c r="W130" s="17"/>
      <c r="X130" s="17"/>
      <c r="Y130" s="17"/>
      <c r="Z130" s="17"/>
      <c r="AA130" s="17"/>
      <c r="AB130" s="17"/>
      <c r="AC130" s="17"/>
      <c r="AD130" s="17"/>
      <c r="AE130" s="17"/>
      <c r="AF130" s="17"/>
      <c r="AG130" s="17"/>
      <c r="AH130" s="17"/>
      <c r="AI130" s="17"/>
      <c r="AJ130" s="17"/>
      <c r="AK130" s="17"/>
      <c r="AL130" s="17"/>
      <c r="AM130" s="17"/>
      <c r="AN130" s="17"/>
      <c r="AO130" s="17"/>
      <c r="AP130" s="17"/>
      <c r="AQ130" s="17"/>
      <c r="AR130" s="17"/>
      <c r="AS130" s="17"/>
      <c r="AT130" s="17"/>
      <c r="AU130" s="17"/>
      <c r="AV130" s="17"/>
      <c r="AW130" s="17"/>
      <c r="AX130" s="17"/>
      <c r="AY130" s="17"/>
    </row>
    <row r="131" spans="22:51">
      <c r="V131" s="17"/>
      <c r="W131" s="17"/>
      <c r="X131" s="17"/>
      <c r="Y131" s="17"/>
      <c r="Z131" s="17"/>
      <c r="AA131" s="17"/>
      <c r="AB131" s="17"/>
      <c r="AC131" s="17"/>
      <c r="AD131" s="17"/>
      <c r="AE131" s="17"/>
      <c r="AF131" s="17"/>
      <c r="AG131" s="17"/>
      <c r="AH131" s="17"/>
      <c r="AI131" s="17"/>
      <c r="AJ131" s="17"/>
      <c r="AK131" s="17"/>
      <c r="AL131" s="17"/>
      <c r="AM131" s="17"/>
      <c r="AN131" s="17"/>
      <c r="AO131" s="17"/>
      <c r="AP131" s="17"/>
      <c r="AQ131" s="17"/>
      <c r="AR131" s="17"/>
      <c r="AS131" s="17"/>
      <c r="AT131" s="17"/>
      <c r="AU131" s="17"/>
      <c r="AV131" s="17"/>
      <c r="AW131" s="17"/>
      <c r="AX131" s="17"/>
      <c r="AY131" s="17"/>
    </row>
    <row r="132" spans="22:51">
      <c r="V132" s="17"/>
      <c r="W132" s="17"/>
      <c r="X132" s="17"/>
      <c r="Y132" s="17"/>
      <c r="Z132" s="17"/>
      <c r="AA132" s="17"/>
      <c r="AB132" s="17"/>
      <c r="AC132" s="17"/>
      <c r="AD132" s="17"/>
      <c r="AE132" s="17"/>
      <c r="AF132" s="17"/>
      <c r="AG132" s="17"/>
      <c r="AH132" s="17"/>
      <c r="AI132" s="17"/>
      <c r="AJ132" s="17"/>
      <c r="AK132" s="17"/>
      <c r="AL132" s="17"/>
      <c r="AM132" s="17"/>
      <c r="AN132" s="17"/>
      <c r="AO132" s="17"/>
      <c r="AP132" s="17"/>
      <c r="AQ132" s="17"/>
      <c r="AR132" s="17"/>
      <c r="AS132" s="17"/>
      <c r="AT132" s="17"/>
      <c r="AU132" s="17"/>
      <c r="AV132" s="17"/>
      <c r="AW132" s="17"/>
      <c r="AX132" s="17"/>
      <c r="AY132" s="17"/>
    </row>
    <row r="133" spans="22:51">
      <c r="V133" s="17"/>
      <c r="W133" s="17"/>
      <c r="X133" s="17"/>
      <c r="Y133" s="17"/>
      <c r="Z133" s="17"/>
      <c r="AA133" s="17"/>
      <c r="AB133" s="17"/>
      <c r="AC133" s="17"/>
      <c r="AD133" s="17"/>
      <c r="AE133" s="17"/>
      <c r="AF133" s="17"/>
      <c r="AG133" s="17"/>
      <c r="AH133" s="17"/>
      <c r="AI133" s="17"/>
      <c r="AJ133" s="17"/>
      <c r="AK133" s="17"/>
      <c r="AL133" s="17"/>
      <c r="AM133" s="17"/>
      <c r="AN133" s="17"/>
      <c r="AO133" s="17"/>
      <c r="AP133" s="17"/>
      <c r="AQ133" s="17"/>
      <c r="AR133" s="17"/>
      <c r="AS133" s="17"/>
      <c r="AT133" s="17"/>
      <c r="AU133" s="17"/>
      <c r="AV133" s="17"/>
      <c r="AW133" s="17"/>
      <c r="AX133" s="17"/>
      <c r="AY133" s="17"/>
    </row>
    <row r="134" spans="22:51">
      <c r="V134" s="17"/>
      <c r="W134" s="17"/>
      <c r="X134" s="17"/>
      <c r="Y134" s="17"/>
      <c r="Z134" s="17"/>
      <c r="AA134" s="17"/>
      <c r="AB134" s="17"/>
      <c r="AC134" s="17"/>
      <c r="AD134" s="17"/>
      <c r="AE134" s="17"/>
      <c r="AF134" s="17"/>
      <c r="AG134" s="17"/>
      <c r="AH134" s="17"/>
      <c r="AI134" s="17"/>
      <c r="AJ134" s="17"/>
      <c r="AK134" s="17"/>
      <c r="AL134" s="17"/>
      <c r="AM134" s="17"/>
      <c r="AN134" s="17"/>
      <c r="AO134" s="17"/>
      <c r="AP134" s="17"/>
      <c r="AQ134" s="17"/>
      <c r="AR134" s="17"/>
      <c r="AS134" s="17"/>
      <c r="AT134" s="17"/>
      <c r="AU134" s="17"/>
      <c r="AV134" s="17"/>
      <c r="AW134" s="17"/>
      <c r="AX134" s="17"/>
      <c r="AY134" s="17"/>
    </row>
    <row r="135" spans="22:51">
      <c r="V135" s="17"/>
      <c r="W135" s="17"/>
      <c r="X135" s="17"/>
      <c r="Y135" s="17"/>
      <c r="Z135" s="17"/>
      <c r="AA135" s="17"/>
      <c r="AB135" s="17"/>
      <c r="AC135" s="17"/>
      <c r="AD135" s="17"/>
      <c r="AE135" s="17"/>
      <c r="AF135" s="17"/>
      <c r="AG135" s="17"/>
      <c r="AH135" s="17"/>
      <c r="AI135" s="17"/>
      <c r="AJ135" s="17"/>
      <c r="AK135" s="17"/>
      <c r="AL135" s="17"/>
      <c r="AM135" s="17"/>
      <c r="AN135" s="17"/>
      <c r="AO135" s="17"/>
      <c r="AP135" s="17"/>
      <c r="AQ135" s="17"/>
      <c r="AR135" s="17"/>
      <c r="AS135" s="17"/>
      <c r="AT135" s="17"/>
      <c r="AU135" s="17"/>
      <c r="AV135" s="17"/>
      <c r="AW135" s="17"/>
      <c r="AX135" s="17"/>
      <c r="AY135" s="17"/>
    </row>
    <row r="136" spans="22:51">
      <c r="V136" s="17"/>
      <c r="W136" s="17"/>
      <c r="X136" s="17"/>
      <c r="Y136" s="17"/>
      <c r="Z136" s="17"/>
      <c r="AA136" s="17"/>
      <c r="AB136" s="17"/>
      <c r="AC136" s="17"/>
      <c r="AD136" s="17"/>
      <c r="AE136" s="17"/>
      <c r="AF136" s="17"/>
      <c r="AG136" s="17"/>
      <c r="AH136" s="17"/>
      <c r="AI136" s="17"/>
      <c r="AJ136" s="17"/>
      <c r="AK136" s="17"/>
      <c r="AL136" s="17"/>
      <c r="AM136" s="17"/>
      <c r="AN136" s="17"/>
      <c r="AO136" s="17"/>
      <c r="AP136" s="17"/>
      <c r="AQ136" s="17"/>
      <c r="AR136" s="17"/>
      <c r="AS136" s="17"/>
      <c r="AT136" s="17"/>
      <c r="AU136" s="17"/>
      <c r="AV136" s="17"/>
      <c r="AW136" s="17"/>
      <c r="AX136" s="17"/>
      <c r="AY136" s="17"/>
    </row>
    <row r="137" spans="22:51">
      <c r="V137" s="17"/>
      <c r="W137" s="17"/>
      <c r="X137" s="17"/>
      <c r="Y137" s="17"/>
      <c r="Z137" s="17"/>
      <c r="AA137" s="17"/>
      <c r="AB137" s="17"/>
      <c r="AC137" s="17"/>
      <c r="AD137" s="17"/>
      <c r="AE137" s="17"/>
      <c r="AF137" s="17"/>
      <c r="AG137" s="17"/>
      <c r="AH137" s="17"/>
      <c r="AI137" s="17"/>
      <c r="AJ137" s="17"/>
      <c r="AK137" s="17"/>
      <c r="AL137" s="17"/>
      <c r="AM137" s="17"/>
      <c r="AN137" s="17"/>
      <c r="AO137" s="17"/>
      <c r="AP137" s="17"/>
      <c r="AQ137" s="17"/>
      <c r="AR137" s="17"/>
      <c r="AS137" s="17"/>
      <c r="AT137" s="17"/>
      <c r="AU137" s="17"/>
      <c r="AV137" s="17"/>
      <c r="AW137" s="17"/>
      <c r="AX137" s="17"/>
      <c r="AY137" s="17"/>
    </row>
    <row r="138" spans="22:51">
      <c r="V138" s="17"/>
      <c r="W138" s="17"/>
      <c r="X138" s="17"/>
      <c r="Y138" s="17"/>
      <c r="Z138" s="17"/>
      <c r="AA138" s="17"/>
      <c r="AB138" s="17"/>
      <c r="AC138" s="17"/>
      <c r="AD138" s="17"/>
      <c r="AE138" s="17"/>
      <c r="AF138" s="17"/>
      <c r="AG138" s="17"/>
      <c r="AH138" s="17"/>
      <c r="AI138" s="17"/>
      <c r="AJ138" s="17"/>
      <c r="AK138" s="17"/>
      <c r="AL138" s="17"/>
      <c r="AM138" s="17"/>
      <c r="AN138" s="17"/>
      <c r="AO138" s="17"/>
      <c r="AP138" s="17"/>
      <c r="AQ138" s="17"/>
      <c r="AR138" s="17"/>
      <c r="AS138" s="17"/>
      <c r="AT138" s="17"/>
      <c r="AU138" s="17"/>
      <c r="AV138" s="17"/>
      <c r="AW138" s="17"/>
      <c r="AX138" s="17"/>
      <c r="AY138" s="17"/>
    </row>
    <row r="139" spans="22:51">
      <c r="V139" s="17"/>
      <c r="W139" s="17"/>
      <c r="X139" s="17"/>
      <c r="Y139" s="17"/>
      <c r="Z139" s="17"/>
      <c r="AA139" s="17"/>
      <c r="AB139" s="17"/>
      <c r="AC139" s="17"/>
      <c r="AD139" s="17"/>
      <c r="AE139" s="17"/>
      <c r="AF139" s="17"/>
      <c r="AG139" s="17"/>
      <c r="AH139" s="17"/>
      <c r="AI139" s="17"/>
      <c r="AJ139" s="17"/>
      <c r="AK139" s="17"/>
      <c r="AL139" s="17"/>
      <c r="AM139" s="17"/>
      <c r="AN139" s="17"/>
      <c r="AO139" s="17"/>
      <c r="AP139" s="17"/>
      <c r="AQ139" s="17"/>
      <c r="AR139" s="17"/>
      <c r="AS139" s="17"/>
      <c r="AT139" s="17"/>
      <c r="AU139" s="17"/>
      <c r="AV139" s="17"/>
      <c r="AW139" s="17"/>
      <c r="AX139" s="17"/>
      <c r="AY139" s="17"/>
    </row>
    <row r="140" spans="22:51">
      <c r="V140" s="17"/>
      <c r="W140" s="17"/>
      <c r="X140" s="17"/>
      <c r="Y140" s="17"/>
      <c r="Z140" s="17"/>
      <c r="AA140" s="17"/>
      <c r="AB140" s="17"/>
      <c r="AC140" s="17"/>
      <c r="AD140" s="17"/>
      <c r="AE140" s="17"/>
      <c r="AF140" s="17"/>
      <c r="AG140" s="17"/>
      <c r="AH140" s="17"/>
      <c r="AI140" s="17"/>
      <c r="AJ140" s="17"/>
      <c r="AK140" s="17"/>
      <c r="AL140" s="17"/>
      <c r="AM140" s="17"/>
      <c r="AN140" s="17"/>
      <c r="AO140" s="17"/>
      <c r="AP140" s="17"/>
      <c r="AQ140" s="17"/>
      <c r="AR140" s="17"/>
      <c r="AS140" s="17"/>
      <c r="AT140" s="17"/>
      <c r="AU140" s="17"/>
      <c r="AV140" s="17"/>
      <c r="AW140" s="17"/>
      <c r="AX140" s="17"/>
      <c r="AY140" s="17"/>
    </row>
    <row r="141" spans="22:51">
      <c r="V141" s="17"/>
      <c r="W141" s="17"/>
      <c r="X141" s="17"/>
      <c r="Y141" s="17"/>
      <c r="Z141" s="17"/>
      <c r="AA141" s="17"/>
      <c r="AB141" s="17"/>
      <c r="AC141" s="17"/>
      <c r="AD141" s="17"/>
      <c r="AE141" s="17"/>
      <c r="AF141" s="17"/>
      <c r="AG141" s="17"/>
      <c r="AH141" s="17"/>
      <c r="AI141" s="17"/>
      <c r="AJ141" s="17"/>
      <c r="AK141" s="17"/>
      <c r="AL141" s="17"/>
      <c r="AM141" s="17"/>
      <c r="AN141" s="17"/>
      <c r="AO141" s="17"/>
      <c r="AP141" s="17"/>
      <c r="AQ141" s="17"/>
      <c r="AR141" s="17"/>
      <c r="AS141" s="17"/>
      <c r="AT141" s="17"/>
      <c r="AU141" s="17"/>
      <c r="AV141" s="17"/>
      <c r="AW141" s="17"/>
      <c r="AX141" s="17"/>
      <c r="AY141" s="17"/>
    </row>
    <row r="142" spans="22:51">
      <c r="V142" s="17"/>
      <c r="W142" s="17"/>
      <c r="X142" s="17"/>
      <c r="Y142" s="17"/>
      <c r="Z142" s="17"/>
      <c r="AA142" s="17"/>
      <c r="AB142" s="17"/>
      <c r="AC142" s="17"/>
      <c r="AD142" s="17"/>
      <c r="AE142" s="17"/>
      <c r="AF142" s="17"/>
      <c r="AG142" s="17"/>
      <c r="AH142" s="17"/>
      <c r="AI142" s="17"/>
      <c r="AJ142" s="17"/>
      <c r="AK142" s="17"/>
      <c r="AL142" s="17"/>
      <c r="AM142" s="17"/>
      <c r="AN142" s="17"/>
      <c r="AO142" s="17"/>
      <c r="AP142" s="17"/>
      <c r="AQ142" s="17"/>
      <c r="AR142" s="17"/>
      <c r="AS142" s="17"/>
      <c r="AT142" s="17"/>
      <c r="AU142" s="17"/>
      <c r="AV142" s="17"/>
      <c r="AW142" s="17"/>
      <c r="AX142" s="17"/>
      <c r="AY142" s="17"/>
    </row>
    <row r="143" spans="22:51">
      <c r="V143" s="17"/>
      <c r="W143" s="17"/>
      <c r="X143" s="17"/>
      <c r="Y143" s="17"/>
      <c r="Z143" s="17"/>
      <c r="AA143" s="17"/>
      <c r="AB143" s="17"/>
      <c r="AC143" s="17"/>
      <c r="AD143" s="17"/>
      <c r="AE143" s="17"/>
      <c r="AF143" s="17"/>
      <c r="AG143" s="17"/>
      <c r="AH143" s="17"/>
      <c r="AI143" s="17"/>
      <c r="AJ143" s="17"/>
      <c r="AK143" s="17"/>
      <c r="AL143" s="17"/>
      <c r="AM143" s="17"/>
      <c r="AN143" s="17"/>
      <c r="AO143" s="17"/>
      <c r="AP143" s="17"/>
      <c r="AQ143" s="17"/>
      <c r="AR143" s="17"/>
      <c r="AS143" s="17"/>
      <c r="AT143" s="17"/>
      <c r="AU143" s="17"/>
      <c r="AV143" s="17"/>
      <c r="AW143" s="17"/>
      <c r="AX143" s="17"/>
      <c r="AY143" s="17"/>
    </row>
    <row r="144" spans="22:51">
      <c r="V144" s="17"/>
      <c r="W144" s="17"/>
      <c r="X144" s="17"/>
      <c r="Y144" s="17"/>
      <c r="Z144" s="17"/>
      <c r="AA144" s="17"/>
      <c r="AB144" s="17"/>
      <c r="AC144" s="17"/>
      <c r="AD144" s="17"/>
      <c r="AE144" s="17"/>
      <c r="AF144" s="17"/>
      <c r="AG144" s="17"/>
      <c r="AH144" s="17"/>
      <c r="AI144" s="17"/>
      <c r="AJ144" s="17"/>
      <c r="AK144" s="17"/>
      <c r="AL144" s="17"/>
      <c r="AM144" s="17"/>
      <c r="AN144" s="17"/>
      <c r="AO144" s="17"/>
      <c r="AP144" s="17"/>
      <c r="AQ144" s="17"/>
      <c r="AR144" s="17"/>
      <c r="AS144" s="17"/>
      <c r="AT144" s="17"/>
      <c r="AU144" s="17"/>
      <c r="AV144" s="17"/>
      <c r="AW144" s="17"/>
      <c r="AX144" s="17"/>
      <c r="AY144" s="17"/>
    </row>
    <row r="145" spans="22:51">
      <c r="V145" s="17"/>
      <c r="W145" s="17"/>
      <c r="X145" s="17"/>
      <c r="Y145" s="17"/>
      <c r="Z145" s="17"/>
      <c r="AA145" s="17"/>
      <c r="AB145" s="17"/>
      <c r="AC145" s="17"/>
      <c r="AD145" s="17"/>
      <c r="AE145" s="17"/>
      <c r="AF145" s="17"/>
      <c r="AG145" s="17"/>
      <c r="AH145" s="17"/>
      <c r="AI145" s="17"/>
      <c r="AJ145" s="17"/>
      <c r="AK145" s="17"/>
      <c r="AL145" s="17"/>
      <c r="AM145" s="17"/>
      <c r="AN145" s="17"/>
      <c r="AO145" s="17"/>
      <c r="AP145" s="17"/>
      <c r="AQ145" s="17"/>
      <c r="AR145" s="17"/>
      <c r="AS145" s="17"/>
      <c r="AT145" s="17"/>
      <c r="AU145" s="17"/>
      <c r="AV145" s="17"/>
      <c r="AW145" s="17"/>
      <c r="AX145" s="17"/>
      <c r="AY145" s="17"/>
    </row>
    <row r="146" spans="22:51">
      <c r="V146" s="17"/>
      <c r="W146" s="17"/>
      <c r="X146" s="17"/>
      <c r="Y146" s="17"/>
      <c r="Z146" s="17"/>
      <c r="AA146" s="17"/>
      <c r="AB146" s="17"/>
      <c r="AC146" s="17"/>
      <c r="AD146" s="17"/>
      <c r="AE146" s="17"/>
      <c r="AF146" s="17"/>
      <c r="AG146" s="17"/>
      <c r="AH146" s="17"/>
      <c r="AI146" s="17"/>
      <c r="AJ146" s="17"/>
      <c r="AK146" s="17"/>
      <c r="AL146" s="17"/>
      <c r="AM146" s="17"/>
      <c r="AN146" s="17"/>
      <c r="AO146" s="17"/>
      <c r="AP146" s="17"/>
      <c r="AQ146" s="17"/>
      <c r="AR146" s="17"/>
      <c r="AS146" s="17"/>
      <c r="AT146" s="17"/>
      <c r="AU146" s="17"/>
      <c r="AV146" s="17"/>
      <c r="AW146" s="17"/>
      <c r="AX146" s="17"/>
      <c r="AY146" s="17"/>
    </row>
    <row r="147" spans="22:51">
      <c r="V147" s="17"/>
      <c r="W147" s="17"/>
      <c r="X147" s="17"/>
      <c r="Y147" s="17"/>
      <c r="Z147" s="17"/>
      <c r="AA147" s="17"/>
      <c r="AB147" s="17"/>
      <c r="AC147" s="17"/>
      <c r="AD147" s="17"/>
      <c r="AE147" s="17"/>
      <c r="AF147" s="17"/>
      <c r="AG147" s="17"/>
      <c r="AH147" s="17"/>
      <c r="AI147" s="17"/>
      <c r="AJ147" s="17"/>
      <c r="AK147" s="17"/>
      <c r="AL147" s="17"/>
      <c r="AM147" s="17"/>
      <c r="AN147" s="17"/>
      <c r="AO147" s="17"/>
      <c r="AP147" s="17"/>
      <c r="AQ147" s="17"/>
      <c r="AR147" s="17"/>
      <c r="AS147" s="17"/>
      <c r="AT147" s="17"/>
      <c r="AU147" s="17"/>
      <c r="AV147" s="17"/>
      <c r="AW147" s="17"/>
      <c r="AX147" s="17"/>
      <c r="AY147" s="17"/>
    </row>
    <row r="148" spans="22:51">
      <c r="V148" s="17"/>
      <c r="W148" s="17"/>
      <c r="X148" s="17"/>
      <c r="Y148" s="17"/>
      <c r="Z148" s="17"/>
      <c r="AA148" s="17"/>
      <c r="AB148" s="17"/>
      <c r="AC148" s="17"/>
      <c r="AD148" s="17"/>
      <c r="AE148" s="17"/>
      <c r="AF148" s="17"/>
      <c r="AG148" s="17"/>
      <c r="AH148" s="17"/>
      <c r="AI148" s="17"/>
      <c r="AJ148" s="17"/>
      <c r="AK148" s="17"/>
      <c r="AL148" s="17"/>
      <c r="AM148" s="17"/>
      <c r="AN148" s="17"/>
      <c r="AO148" s="17"/>
      <c r="AP148" s="17"/>
      <c r="AQ148" s="17"/>
      <c r="AR148" s="17"/>
      <c r="AS148" s="17"/>
      <c r="AT148" s="17"/>
      <c r="AU148" s="17"/>
      <c r="AV148" s="17"/>
      <c r="AW148" s="17"/>
      <c r="AX148" s="17"/>
      <c r="AY148" s="17"/>
    </row>
    <row r="149" spans="22:51">
      <c r="V149" s="17"/>
      <c r="W149" s="17"/>
      <c r="X149" s="17"/>
      <c r="Y149" s="17"/>
      <c r="Z149" s="17"/>
      <c r="AA149" s="17"/>
      <c r="AB149" s="17"/>
      <c r="AC149" s="17"/>
      <c r="AD149" s="17"/>
      <c r="AE149" s="17"/>
      <c r="AF149" s="17"/>
      <c r="AG149" s="17"/>
      <c r="AH149" s="17"/>
      <c r="AI149" s="17"/>
      <c r="AJ149" s="17"/>
      <c r="AK149" s="17"/>
      <c r="AL149" s="17"/>
      <c r="AM149" s="17"/>
      <c r="AN149" s="17"/>
      <c r="AO149" s="17"/>
      <c r="AP149" s="17"/>
      <c r="AQ149" s="17"/>
      <c r="AR149" s="17"/>
      <c r="AS149" s="17"/>
      <c r="AT149" s="17"/>
      <c r="AU149" s="17"/>
      <c r="AV149" s="17"/>
      <c r="AW149" s="17"/>
      <c r="AX149" s="17"/>
      <c r="AY149" s="17"/>
    </row>
    <row r="150" spans="22:51">
      <c r="V150" s="17"/>
      <c r="W150" s="17"/>
      <c r="X150" s="17"/>
      <c r="Y150" s="17"/>
      <c r="Z150" s="17"/>
      <c r="AA150" s="17"/>
      <c r="AB150" s="17"/>
      <c r="AC150" s="17"/>
      <c r="AD150" s="17"/>
      <c r="AE150" s="17"/>
      <c r="AF150" s="17"/>
      <c r="AG150" s="17"/>
      <c r="AH150" s="17"/>
      <c r="AI150" s="17"/>
      <c r="AJ150" s="17"/>
      <c r="AK150" s="17"/>
      <c r="AL150" s="17"/>
      <c r="AM150" s="17"/>
      <c r="AN150" s="17"/>
      <c r="AO150" s="17"/>
      <c r="AP150" s="17"/>
      <c r="AQ150" s="17"/>
      <c r="AR150" s="17"/>
      <c r="AS150" s="17"/>
      <c r="AT150" s="17"/>
      <c r="AU150" s="17"/>
      <c r="AV150" s="17"/>
      <c r="AW150" s="17"/>
      <c r="AX150" s="17"/>
      <c r="AY150" s="17"/>
    </row>
    <row r="151" spans="22:51">
      <c r="V151" s="17"/>
      <c r="W151" s="17"/>
      <c r="X151" s="17"/>
      <c r="Y151" s="17"/>
      <c r="Z151" s="17"/>
      <c r="AA151" s="17"/>
      <c r="AB151" s="17"/>
      <c r="AC151" s="17"/>
      <c r="AD151" s="17"/>
      <c r="AE151" s="17"/>
      <c r="AF151" s="17"/>
      <c r="AG151" s="17"/>
      <c r="AH151" s="17"/>
      <c r="AI151" s="17"/>
      <c r="AJ151" s="17"/>
      <c r="AK151" s="17"/>
      <c r="AL151" s="17"/>
      <c r="AM151" s="17"/>
      <c r="AN151" s="17"/>
      <c r="AO151" s="17"/>
      <c r="AP151" s="17"/>
      <c r="AQ151" s="17"/>
      <c r="AR151" s="17"/>
      <c r="AS151" s="17"/>
      <c r="AT151" s="17"/>
      <c r="AU151" s="17"/>
      <c r="AV151" s="17"/>
      <c r="AW151" s="17"/>
      <c r="AX151" s="17"/>
      <c r="AY151" s="17"/>
    </row>
    <row r="152" spans="22:51">
      <c r="V152" s="17"/>
      <c r="W152" s="17"/>
      <c r="X152" s="17"/>
      <c r="Y152" s="17"/>
      <c r="Z152" s="17"/>
      <c r="AA152" s="17"/>
      <c r="AB152" s="17"/>
      <c r="AC152" s="17"/>
      <c r="AD152" s="17"/>
      <c r="AE152" s="17"/>
      <c r="AF152" s="17"/>
      <c r="AG152" s="17"/>
      <c r="AH152" s="17"/>
      <c r="AI152" s="17"/>
      <c r="AJ152" s="17"/>
      <c r="AK152" s="17"/>
      <c r="AL152" s="17"/>
      <c r="AM152" s="17"/>
      <c r="AN152" s="17"/>
      <c r="AO152" s="17"/>
      <c r="AP152" s="17"/>
      <c r="AQ152" s="17"/>
      <c r="AR152" s="17"/>
      <c r="AS152" s="17"/>
      <c r="AT152" s="17"/>
      <c r="AU152" s="17"/>
      <c r="AV152" s="17"/>
      <c r="AW152" s="17"/>
      <c r="AX152" s="17"/>
      <c r="AY152" s="17"/>
    </row>
    <row r="153" spans="22:51">
      <c r="V153" s="17"/>
      <c r="W153" s="17"/>
      <c r="X153" s="17"/>
      <c r="Y153" s="17"/>
      <c r="Z153" s="17"/>
      <c r="AA153" s="17"/>
      <c r="AB153" s="17"/>
      <c r="AC153" s="17"/>
      <c r="AD153" s="17"/>
      <c r="AE153" s="17"/>
      <c r="AF153" s="17"/>
      <c r="AG153" s="17"/>
      <c r="AH153" s="17"/>
      <c r="AI153" s="17"/>
      <c r="AJ153" s="17"/>
      <c r="AK153" s="17"/>
      <c r="AL153" s="17"/>
      <c r="AM153" s="17"/>
      <c r="AN153" s="17"/>
      <c r="AO153" s="17"/>
      <c r="AP153" s="17"/>
      <c r="AQ153" s="17"/>
      <c r="AR153" s="17"/>
      <c r="AS153" s="17"/>
      <c r="AT153" s="17"/>
      <c r="AU153" s="17"/>
      <c r="AV153" s="17"/>
      <c r="AW153" s="17"/>
      <c r="AX153" s="17"/>
      <c r="AY153" s="17"/>
    </row>
    <row r="154" spans="22:51">
      <c r="V154" s="17"/>
      <c r="W154" s="17"/>
      <c r="X154" s="17"/>
      <c r="Y154" s="17"/>
      <c r="Z154" s="17"/>
      <c r="AA154" s="17"/>
      <c r="AB154" s="17"/>
      <c r="AC154" s="17"/>
      <c r="AD154" s="17"/>
      <c r="AE154" s="17"/>
      <c r="AF154" s="17"/>
      <c r="AG154" s="17"/>
      <c r="AH154" s="17"/>
      <c r="AI154" s="17"/>
      <c r="AJ154" s="17"/>
      <c r="AK154" s="17"/>
      <c r="AL154" s="17"/>
      <c r="AM154" s="17"/>
      <c r="AN154" s="17"/>
      <c r="AO154" s="17"/>
      <c r="AP154" s="17"/>
      <c r="AQ154" s="17"/>
      <c r="AR154" s="17"/>
      <c r="AS154" s="17"/>
      <c r="AT154" s="17"/>
      <c r="AU154" s="17"/>
      <c r="AV154" s="17"/>
      <c r="AW154" s="17"/>
      <c r="AX154" s="17"/>
      <c r="AY154" s="17"/>
    </row>
    <row r="155" spans="22:51">
      <c r="V155" s="17"/>
      <c r="W155" s="17"/>
      <c r="X155" s="17"/>
      <c r="Y155" s="17"/>
      <c r="Z155" s="17"/>
      <c r="AA155" s="17"/>
      <c r="AB155" s="17"/>
      <c r="AC155" s="17"/>
      <c r="AD155" s="17"/>
      <c r="AE155" s="17"/>
      <c r="AF155" s="17"/>
      <c r="AG155" s="17"/>
      <c r="AH155" s="17"/>
      <c r="AI155" s="17"/>
      <c r="AJ155" s="17"/>
      <c r="AK155" s="17"/>
      <c r="AL155" s="17"/>
      <c r="AM155" s="17"/>
      <c r="AN155" s="17"/>
      <c r="AO155" s="17"/>
      <c r="AP155" s="17"/>
      <c r="AQ155" s="17"/>
      <c r="AR155" s="17"/>
      <c r="AS155" s="17"/>
      <c r="AT155" s="17"/>
      <c r="AU155" s="17"/>
      <c r="AV155" s="17"/>
      <c r="AW155" s="17"/>
      <c r="AX155" s="17"/>
      <c r="AY155" s="17"/>
    </row>
    <row r="156" spans="22:51">
      <c r="V156" s="17"/>
      <c r="W156" s="17"/>
      <c r="X156" s="17"/>
      <c r="Y156" s="17"/>
      <c r="Z156" s="17"/>
      <c r="AA156" s="17"/>
      <c r="AB156" s="17"/>
      <c r="AC156" s="17"/>
      <c r="AD156" s="17"/>
      <c r="AE156" s="17"/>
      <c r="AF156" s="17"/>
      <c r="AG156" s="17"/>
      <c r="AH156" s="17"/>
      <c r="AI156" s="17"/>
      <c r="AJ156" s="17"/>
      <c r="AK156" s="17"/>
      <c r="AL156" s="17"/>
      <c r="AM156" s="17"/>
      <c r="AN156" s="17"/>
      <c r="AO156" s="17"/>
      <c r="AP156" s="17"/>
      <c r="AQ156" s="17"/>
      <c r="AR156" s="17"/>
      <c r="AS156" s="17"/>
      <c r="AT156" s="17"/>
      <c r="AU156" s="17"/>
      <c r="AV156" s="17"/>
      <c r="AW156" s="17"/>
      <c r="AX156" s="17"/>
      <c r="AY156" s="17"/>
    </row>
    <row r="157" spans="22:51">
      <c r="V157" s="17"/>
      <c r="W157" s="17"/>
      <c r="X157" s="17"/>
      <c r="Y157" s="17"/>
      <c r="Z157" s="17"/>
      <c r="AA157" s="17"/>
      <c r="AB157" s="17"/>
      <c r="AC157" s="17"/>
      <c r="AD157" s="17"/>
      <c r="AE157" s="17"/>
      <c r="AF157" s="17"/>
      <c r="AG157" s="17"/>
      <c r="AH157" s="17"/>
      <c r="AI157" s="17"/>
      <c r="AJ157" s="17"/>
      <c r="AK157" s="17"/>
      <c r="AL157" s="17"/>
      <c r="AM157" s="17"/>
      <c r="AN157" s="17"/>
      <c r="AO157" s="17"/>
      <c r="AP157" s="17"/>
      <c r="AQ157" s="17"/>
      <c r="AR157" s="17"/>
      <c r="AS157" s="17"/>
      <c r="AT157" s="17"/>
      <c r="AU157" s="17"/>
      <c r="AV157" s="17"/>
      <c r="AW157" s="17"/>
      <c r="AX157" s="17"/>
      <c r="AY157" s="17"/>
    </row>
    <row r="158" spans="22:51">
      <c r="V158" s="17"/>
      <c r="W158" s="17"/>
      <c r="X158" s="17"/>
      <c r="Y158" s="17"/>
      <c r="Z158" s="17"/>
      <c r="AA158" s="17"/>
      <c r="AB158" s="17"/>
      <c r="AC158" s="17"/>
      <c r="AD158" s="17"/>
      <c r="AE158" s="17"/>
      <c r="AF158" s="17"/>
      <c r="AG158" s="17"/>
      <c r="AH158" s="17"/>
      <c r="AI158" s="17"/>
      <c r="AJ158" s="17"/>
      <c r="AK158" s="17"/>
      <c r="AL158" s="17"/>
      <c r="AM158" s="17"/>
      <c r="AN158" s="17"/>
      <c r="AO158" s="17"/>
      <c r="AP158" s="17"/>
      <c r="AQ158" s="17"/>
      <c r="AR158" s="17"/>
      <c r="AS158" s="17"/>
      <c r="AT158" s="17"/>
      <c r="AU158" s="17"/>
      <c r="AV158" s="17"/>
      <c r="AW158" s="17"/>
      <c r="AX158" s="17"/>
      <c r="AY158" s="17"/>
    </row>
    <row r="159" spans="22:51">
      <c r="V159" s="17"/>
      <c r="W159" s="17"/>
      <c r="X159" s="17"/>
      <c r="Y159" s="17"/>
      <c r="Z159" s="17"/>
      <c r="AA159" s="17"/>
      <c r="AB159" s="17"/>
      <c r="AC159" s="17"/>
      <c r="AD159" s="17"/>
      <c r="AE159" s="17"/>
      <c r="AF159" s="17"/>
      <c r="AG159" s="17"/>
      <c r="AH159" s="17"/>
      <c r="AI159" s="17"/>
      <c r="AJ159" s="17"/>
      <c r="AK159" s="17"/>
      <c r="AL159" s="17"/>
      <c r="AM159" s="17"/>
      <c r="AN159" s="17"/>
      <c r="AO159" s="17"/>
      <c r="AP159" s="17"/>
      <c r="AQ159" s="17"/>
      <c r="AR159" s="17"/>
      <c r="AS159" s="17"/>
      <c r="AT159" s="17"/>
      <c r="AU159" s="17"/>
      <c r="AV159" s="17"/>
      <c r="AW159" s="17"/>
      <c r="AX159" s="17"/>
      <c r="AY159" s="17"/>
    </row>
    <row r="160" spans="22:51">
      <c r="V160" s="17"/>
      <c r="W160" s="17"/>
      <c r="X160" s="17"/>
      <c r="Y160" s="17"/>
      <c r="Z160" s="17"/>
      <c r="AA160" s="17"/>
      <c r="AB160" s="17"/>
      <c r="AC160" s="17"/>
      <c r="AD160" s="17"/>
      <c r="AE160" s="17"/>
      <c r="AF160" s="17"/>
      <c r="AG160" s="17"/>
      <c r="AH160" s="17"/>
      <c r="AI160" s="17"/>
      <c r="AJ160" s="17"/>
      <c r="AK160" s="17"/>
      <c r="AL160" s="17"/>
      <c r="AM160" s="17"/>
      <c r="AN160" s="17"/>
      <c r="AO160" s="17"/>
      <c r="AP160" s="17"/>
      <c r="AQ160" s="17"/>
      <c r="AR160" s="17"/>
      <c r="AS160" s="17"/>
      <c r="AT160" s="17"/>
      <c r="AU160" s="17"/>
      <c r="AV160" s="17"/>
      <c r="AW160" s="17"/>
      <c r="AX160" s="17"/>
      <c r="AY160" s="17"/>
    </row>
    <row r="161" spans="22:51">
      <c r="V161" s="17"/>
      <c r="W161" s="17"/>
      <c r="X161" s="17"/>
      <c r="Y161" s="17"/>
      <c r="Z161" s="17"/>
      <c r="AA161" s="17"/>
      <c r="AB161" s="17"/>
      <c r="AC161" s="17"/>
      <c r="AD161" s="17"/>
      <c r="AE161" s="17"/>
      <c r="AF161" s="17"/>
      <c r="AG161" s="17"/>
      <c r="AH161" s="17"/>
      <c r="AI161" s="17"/>
      <c r="AJ161" s="17"/>
      <c r="AK161" s="17"/>
      <c r="AL161" s="17"/>
      <c r="AM161" s="17"/>
      <c r="AN161" s="17"/>
      <c r="AO161" s="17"/>
      <c r="AP161" s="17"/>
      <c r="AQ161" s="17"/>
      <c r="AR161" s="17"/>
      <c r="AS161" s="17"/>
      <c r="AT161" s="17"/>
      <c r="AU161" s="17"/>
      <c r="AV161" s="17"/>
      <c r="AW161" s="17"/>
      <c r="AX161" s="17"/>
      <c r="AY161" s="17"/>
    </row>
    <row r="162" spans="22:51">
      <c r="V162" s="17"/>
      <c r="W162" s="17"/>
      <c r="X162" s="17"/>
      <c r="Y162" s="17"/>
      <c r="Z162" s="17"/>
      <c r="AA162" s="17"/>
      <c r="AB162" s="17"/>
      <c r="AC162" s="17"/>
      <c r="AD162" s="17"/>
      <c r="AE162" s="17"/>
      <c r="AF162" s="17"/>
      <c r="AG162" s="17"/>
      <c r="AH162" s="17"/>
      <c r="AI162" s="17"/>
      <c r="AJ162" s="17"/>
      <c r="AK162" s="17"/>
      <c r="AL162" s="17"/>
      <c r="AM162" s="17"/>
      <c r="AN162" s="17"/>
      <c r="AO162" s="17"/>
      <c r="AP162" s="17"/>
      <c r="AQ162" s="17"/>
      <c r="AR162" s="17"/>
      <c r="AS162" s="17"/>
      <c r="AT162" s="17"/>
      <c r="AU162" s="17"/>
      <c r="AV162" s="17"/>
      <c r="AW162" s="17"/>
      <c r="AX162" s="17"/>
      <c r="AY162" s="17"/>
    </row>
    <row r="163" spans="22:51">
      <c r="V163" s="17"/>
      <c r="W163" s="17"/>
      <c r="X163" s="17"/>
      <c r="Y163" s="17"/>
      <c r="Z163" s="17"/>
      <c r="AA163" s="17"/>
      <c r="AB163" s="17"/>
      <c r="AC163" s="17"/>
      <c r="AD163" s="17"/>
      <c r="AE163" s="17"/>
      <c r="AF163" s="17"/>
      <c r="AG163" s="17"/>
      <c r="AH163" s="17"/>
      <c r="AI163" s="17"/>
      <c r="AJ163" s="17"/>
      <c r="AK163" s="17"/>
      <c r="AL163" s="17"/>
      <c r="AM163" s="17"/>
      <c r="AN163" s="17"/>
      <c r="AO163" s="17"/>
      <c r="AP163" s="17"/>
      <c r="AQ163" s="17"/>
      <c r="AR163" s="17"/>
      <c r="AS163" s="17"/>
      <c r="AT163" s="17"/>
      <c r="AU163" s="17"/>
      <c r="AV163" s="17"/>
      <c r="AW163" s="17"/>
      <c r="AX163" s="17"/>
      <c r="AY163" s="17"/>
    </row>
    <row r="164" spans="22:51">
      <c r="V164" s="17"/>
      <c r="W164" s="17"/>
      <c r="X164" s="17"/>
      <c r="Y164" s="17"/>
      <c r="Z164" s="17"/>
      <c r="AA164" s="17"/>
      <c r="AB164" s="17"/>
      <c r="AC164" s="17"/>
      <c r="AD164" s="17"/>
      <c r="AE164" s="17"/>
      <c r="AF164" s="17"/>
      <c r="AG164" s="17"/>
      <c r="AH164" s="17"/>
      <c r="AI164" s="17"/>
      <c r="AJ164" s="17"/>
      <c r="AK164" s="17"/>
      <c r="AL164" s="17"/>
      <c r="AM164" s="17"/>
      <c r="AN164" s="17"/>
      <c r="AO164" s="17"/>
      <c r="AP164" s="17"/>
      <c r="AQ164" s="17"/>
      <c r="AR164" s="17"/>
      <c r="AS164" s="17"/>
      <c r="AT164" s="17"/>
      <c r="AU164" s="17"/>
      <c r="AV164" s="17"/>
      <c r="AW164" s="17"/>
      <c r="AX164" s="17"/>
      <c r="AY164" s="17"/>
    </row>
    <row r="165" spans="22:51">
      <c r="V165" s="17"/>
      <c r="W165" s="17"/>
      <c r="X165" s="17"/>
      <c r="Y165" s="17"/>
      <c r="Z165" s="17"/>
      <c r="AA165" s="17"/>
      <c r="AB165" s="17"/>
      <c r="AC165" s="17"/>
      <c r="AD165" s="17"/>
      <c r="AE165" s="17"/>
      <c r="AF165" s="17"/>
      <c r="AG165" s="17"/>
      <c r="AH165" s="17"/>
      <c r="AI165" s="17"/>
      <c r="AJ165" s="17"/>
      <c r="AK165" s="17"/>
      <c r="AL165" s="17"/>
      <c r="AM165" s="17"/>
      <c r="AN165" s="17"/>
      <c r="AO165" s="17"/>
      <c r="AP165" s="17"/>
      <c r="AQ165" s="17"/>
      <c r="AR165" s="17"/>
      <c r="AS165" s="17"/>
      <c r="AT165" s="17"/>
      <c r="AU165" s="17"/>
      <c r="AV165" s="17"/>
      <c r="AW165" s="17"/>
      <c r="AX165" s="17"/>
      <c r="AY165" s="17"/>
    </row>
    <row r="166" spans="22:51">
      <c r="V166" s="17"/>
      <c r="W166" s="17"/>
      <c r="X166" s="17"/>
      <c r="Y166" s="17"/>
      <c r="Z166" s="17"/>
      <c r="AA166" s="17"/>
      <c r="AB166" s="17"/>
      <c r="AC166" s="17"/>
      <c r="AD166" s="17"/>
      <c r="AE166" s="17"/>
      <c r="AF166" s="17"/>
      <c r="AG166" s="17"/>
      <c r="AH166" s="17"/>
      <c r="AI166" s="17"/>
      <c r="AJ166" s="17"/>
      <c r="AK166" s="17"/>
      <c r="AL166" s="17"/>
      <c r="AM166" s="17"/>
      <c r="AN166" s="17"/>
      <c r="AO166" s="17"/>
      <c r="AP166" s="17"/>
      <c r="AQ166" s="17"/>
      <c r="AR166" s="17"/>
      <c r="AS166" s="17"/>
      <c r="AT166" s="17"/>
      <c r="AU166" s="17"/>
      <c r="AV166" s="17"/>
      <c r="AW166" s="17"/>
      <c r="AX166" s="17"/>
      <c r="AY166" s="17"/>
    </row>
    <row r="167" spans="22:51">
      <c r="V167" s="17"/>
      <c r="W167" s="17"/>
      <c r="X167" s="17"/>
      <c r="Y167" s="17"/>
      <c r="Z167" s="17"/>
      <c r="AA167" s="17"/>
      <c r="AB167" s="17"/>
      <c r="AC167" s="17"/>
      <c r="AD167" s="17"/>
      <c r="AE167" s="17"/>
      <c r="AF167" s="17"/>
      <c r="AG167" s="17"/>
      <c r="AH167" s="17"/>
      <c r="AI167" s="17"/>
      <c r="AJ167" s="17"/>
      <c r="AK167" s="17"/>
      <c r="AL167" s="17"/>
      <c r="AM167" s="17"/>
      <c r="AN167" s="17"/>
      <c r="AO167" s="17"/>
      <c r="AP167" s="17"/>
      <c r="AQ167" s="17"/>
      <c r="AR167" s="17"/>
      <c r="AS167" s="17"/>
      <c r="AT167" s="17"/>
      <c r="AU167" s="17"/>
      <c r="AV167" s="17"/>
      <c r="AW167" s="17"/>
      <c r="AX167" s="17"/>
      <c r="AY167" s="17"/>
    </row>
    <row r="168" spans="22:51">
      <c r="V168" s="17"/>
      <c r="W168" s="17"/>
      <c r="X168" s="17"/>
      <c r="Y168" s="17"/>
      <c r="Z168" s="17"/>
      <c r="AA168" s="17"/>
      <c r="AB168" s="17"/>
      <c r="AC168" s="17"/>
      <c r="AD168" s="17"/>
      <c r="AE168" s="17"/>
      <c r="AF168" s="17"/>
      <c r="AG168" s="17"/>
      <c r="AH168" s="17"/>
      <c r="AI168" s="17"/>
      <c r="AJ168" s="17"/>
      <c r="AK168" s="17"/>
      <c r="AL168" s="17"/>
      <c r="AM168" s="17"/>
      <c r="AN168" s="17"/>
      <c r="AO168" s="17"/>
      <c r="AP168" s="17"/>
      <c r="AQ168" s="17"/>
      <c r="AR168" s="17"/>
      <c r="AS168" s="17"/>
      <c r="AT168" s="17"/>
      <c r="AU168" s="17"/>
      <c r="AV168" s="17"/>
      <c r="AW168" s="17"/>
      <c r="AX168" s="17"/>
      <c r="AY168" s="17"/>
    </row>
    <row r="169" spans="22:51">
      <c r="V169" s="17"/>
      <c r="W169" s="17"/>
      <c r="X169" s="17"/>
      <c r="Y169" s="17"/>
      <c r="Z169" s="17"/>
      <c r="AA169" s="17"/>
      <c r="AB169" s="17"/>
      <c r="AC169" s="17"/>
      <c r="AD169" s="17"/>
      <c r="AE169" s="17"/>
      <c r="AF169" s="17"/>
      <c r="AG169" s="17"/>
      <c r="AH169" s="17"/>
      <c r="AI169" s="17"/>
      <c r="AJ169" s="17"/>
      <c r="AK169" s="17"/>
      <c r="AL169" s="17"/>
      <c r="AM169" s="17"/>
      <c r="AN169" s="17"/>
      <c r="AO169" s="17"/>
      <c r="AP169" s="17"/>
      <c r="AQ169" s="17"/>
      <c r="AR169" s="17"/>
      <c r="AS169" s="17"/>
      <c r="AT169" s="17"/>
      <c r="AU169" s="17"/>
      <c r="AV169" s="17"/>
      <c r="AW169" s="17"/>
      <c r="AX169" s="17"/>
      <c r="AY169" s="17"/>
    </row>
    <row r="170" spans="22:51">
      <c r="V170" s="17"/>
      <c r="W170" s="17"/>
      <c r="X170" s="17"/>
      <c r="Y170" s="17"/>
      <c r="Z170" s="17"/>
      <c r="AA170" s="17"/>
      <c r="AB170" s="17"/>
      <c r="AC170" s="17"/>
      <c r="AD170" s="17"/>
      <c r="AE170" s="17"/>
      <c r="AF170" s="17"/>
      <c r="AG170" s="17"/>
      <c r="AH170" s="17"/>
      <c r="AI170" s="17"/>
      <c r="AJ170" s="17"/>
      <c r="AK170" s="17"/>
      <c r="AL170" s="17"/>
      <c r="AM170" s="17"/>
      <c r="AN170" s="17"/>
      <c r="AO170" s="17"/>
      <c r="AP170" s="17"/>
      <c r="AQ170" s="17"/>
      <c r="AR170" s="17"/>
      <c r="AS170" s="17"/>
      <c r="AT170" s="17"/>
      <c r="AU170" s="17"/>
      <c r="AV170" s="17"/>
      <c r="AW170" s="17"/>
      <c r="AX170" s="17"/>
      <c r="AY170" s="17"/>
    </row>
    <row r="171" spans="22:51">
      <c r="V171" s="17"/>
      <c r="W171" s="17"/>
      <c r="X171" s="17"/>
      <c r="Y171" s="17"/>
      <c r="Z171" s="17"/>
      <c r="AA171" s="17"/>
      <c r="AB171" s="17"/>
      <c r="AC171" s="17"/>
      <c r="AD171" s="17"/>
      <c r="AE171" s="17"/>
      <c r="AF171" s="17"/>
      <c r="AG171" s="17"/>
      <c r="AH171" s="17"/>
      <c r="AI171" s="17"/>
      <c r="AJ171" s="17"/>
      <c r="AK171" s="17"/>
      <c r="AL171" s="17"/>
      <c r="AM171" s="17"/>
      <c r="AN171" s="17"/>
      <c r="AO171" s="17"/>
      <c r="AP171" s="17"/>
      <c r="AQ171" s="17"/>
      <c r="AR171" s="17"/>
      <c r="AS171" s="17"/>
      <c r="AT171" s="17"/>
      <c r="AU171" s="17"/>
      <c r="AV171" s="17"/>
      <c r="AW171" s="17"/>
      <c r="AX171" s="17"/>
      <c r="AY171" s="17"/>
    </row>
    <row r="172" spans="22:51">
      <c r="V172" s="17"/>
      <c r="W172" s="17"/>
      <c r="X172" s="17"/>
      <c r="Y172" s="17"/>
      <c r="Z172" s="17"/>
      <c r="AA172" s="17"/>
      <c r="AB172" s="17"/>
      <c r="AC172" s="17"/>
      <c r="AD172" s="17"/>
      <c r="AE172" s="17"/>
      <c r="AF172" s="17"/>
      <c r="AG172" s="17"/>
      <c r="AH172" s="17"/>
      <c r="AI172" s="17"/>
      <c r="AJ172" s="17"/>
      <c r="AK172" s="17"/>
      <c r="AL172" s="17"/>
      <c r="AM172" s="17"/>
      <c r="AN172" s="17"/>
      <c r="AO172" s="17"/>
      <c r="AP172" s="17"/>
      <c r="AQ172" s="17"/>
      <c r="AR172" s="17"/>
      <c r="AS172" s="17"/>
      <c r="AT172" s="17"/>
      <c r="AU172" s="17"/>
      <c r="AV172" s="17"/>
      <c r="AW172" s="17"/>
      <c r="AX172" s="17"/>
      <c r="AY172" s="17"/>
    </row>
    <row r="173" spans="22:51">
      <c r="V173" s="17"/>
      <c r="W173" s="17"/>
      <c r="X173" s="17"/>
      <c r="Y173" s="17"/>
      <c r="Z173" s="17"/>
      <c r="AA173" s="17"/>
      <c r="AB173" s="17"/>
      <c r="AC173" s="17"/>
      <c r="AD173" s="17"/>
      <c r="AE173" s="17"/>
      <c r="AF173" s="17"/>
      <c r="AG173" s="17"/>
      <c r="AH173" s="17"/>
      <c r="AI173" s="17"/>
      <c r="AJ173" s="17"/>
      <c r="AK173" s="17"/>
      <c r="AL173" s="17"/>
      <c r="AM173" s="17"/>
      <c r="AN173" s="17"/>
      <c r="AO173" s="17"/>
      <c r="AP173" s="17"/>
      <c r="AQ173" s="17"/>
      <c r="AR173" s="17"/>
      <c r="AS173" s="17"/>
      <c r="AT173" s="17"/>
      <c r="AU173" s="17"/>
      <c r="AV173" s="17"/>
      <c r="AW173" s="17"/>
      <c r="AX173" s="17"/>
      <c r="AY173" s="17"/>
    </row>
    <row r="174" spans="22:51">
      <c r="V174" s="17"/>
      <c r="W174" s="17"/>
      <c r="X174" s="17"/>
      <c r="Y174" s="17"/>
      <c r="Z174" s="17"/>
      <c r="AA174" s="17"/>
      <c r="AB174" s="17"/>
      <c r="AC174" s="17"/>
      <c r="AD174" s="17"/>
      <c r="AE174" s="17"/>
      <c r="AF174" s="17"/>
      <c r="AG174" s="17"/>
      <c r="AH174" s="17"/>
      <c r="AI174" s="17"/>
      <c r="AJ174" s="17"/>
      <c r="AK174" s="17"/>
      <c r="AL174" s="17"/>
      <c r="AM174" s="17"/>
      <c r="AN174" s="17"/>
      <c r="AO174" s="17"/>
      <c r="AP174" s="17"/>
      <c r="AQ174" s="17"/>
      <c r="AR174" s="17"/>
      <c r="AS174" s="17"/>
      <c r="AT174" s="17"/>
      <c r="AU174" s="17"/>
      <c r="AV174" s="17"/>
      <c r="AW174" s="17"/>
      <c r="AX174" s="17"/>
      <c r="AY174" s="17"/>
    </row>
    <row r="175" spans="22:51">
      <c r="V175" s="17"/>
      <c r="W175" s="17"/>
      <c r="X175" s="17"/>
      <c r="Y175" s="17"/>
      <c r="Z175" s="17"/>
      <c r="AA175" s="17"/>
      <c r="AB175" s="17"/>
      <c r="AC175" s="17"/>
      <c r="AD175" s="17"/>
      <c r="AE175" s="17"/>
      <c r="AF175" s="17"/>
      <c r="AG175" s="17"/>
      <c r="AH175" s="17"/>
      <c r="AI175" s="17"/>
      <c r="AJ175" s="17"/>
      <c r="AK175" s="17"/>
      <c r="AL175" s="17"/>
      <c r="AM175" s="17"/>
      <c r="AN175" s="17"/>
      <c r="AO175" s="17"/>
      <c r="AP175" s="17"/>
      <c r="AQ175" s="17"/>
      <c r="AR175" s="17"/>
      <c r="AS175" s="17"/>
      <c r="AT175" s="17"/>
      <c r="AU175" s="17"/>
      <c r="AV175" s="17"/>
      <c r="AW175" s="17"/>
      <c r="AX175" s="17"/>
      <c r="AY175" s="17"/>
    </row>
    <row r="176" spans="22:51">
      <c r="V176" s="17"/>
      <c r="W176" s="17"/>
      <c r="X176" s="17"/>
      <c r="Y176" s="17"/>
      <c r="Z176" s="17"/>
      <c r="AA176" s="17"/>
      <c r="AB176" s="17"/>
      <c r="AC176" s="17"/>
      <c r="AD176" s="17"/>
      <c r="AE176" s="17"/>
      <c r="AF176" s="17"/>
      <c r="AG176" s="17"/>
      <c r="AH176" s="17"/>
      <c r="AI176" s="17"/>
      <c r="AJ176" s="17"/>
      <c r="AK176" s="17"/>
      <c r="AL176" s="17"/>
      <c r="AM176" s="17"/>
      <c r="AN176" s="17"/>
      <c r="AO176" s="17"/>
      <c r="AP176" s="17"/>
      <c r="AQ176" s="17"/>
      <c r="AR176" s="17"/>
      <c r="AS176" s="17"/>
      <c r="AT176" s="17"/>
      <c r="AU176" s="17"/>
      <c r="AV176" s="17"/>
      <c r="AW176" s="17"/>
      <c r="AX176" s="17"/>
      <c r="AY176" s="17"/>
    </row>
    <row r="177" spans="22:51">
      <c r="V177" s="17"/>
      <c r="W177" s="17"/>
      <c r="X177" s="17"/>
      <c r="Y177" s="17"/>
      <c r="Z177" s="17"/>
      <c r="AA177" s="17"/>
      <c r="AB177" s="17"/>
      <c r="AC177" s="17"/>
      <c r="AD177" s="17"/>
      <c r="AE177" s="17"/>
      <c r="AF177" s="17"/>
      <c r="AG177" s="17"/>
      <c r="AH177" s="17"/>
      <c r="AI177" s="17"/>
      <c r="AJ177" s="17"/>
      <c r="AK177" s="17"/>
      <c r="AL177" s="17"/>
      <c r="AM177" s="17"/>
      <c r="AN177" s="17"/>
      <c r="AO177" s="17"/>
      <c r="AP177" s="17"/>
      <c r="AQ177" s="17"/>
      <c r="AR177" s="17"/>
      <c r="AS177" s="17"/>
      <c r="AT177" s="17"/>
      <c r="AU177" s="17"/>
      <c r="AV177" s="17"/>
      <c r="AW177" s="17"/>
      <c r="AX177" s="17"/>
      <c r="AY177" s="17"/>
    </row>
    <row r="178" spans="22:51">
      <c r="V178" s="17"/>
      <c r="W178" s="17"/>
      <c r="X178" s="17"/>
      <c r="Y178" s="17"/>
      <c r="Z178" s="17"/>
      <c r="AA178" s="17"/>
      <c r="AB178" s="17"/>
      <c r="AC178" s="17"/>
      <c r="AD178" s="17"/>
      <c r="AE178" s="17"/>
      <c r="AF178" s="17"/>
      <c r="AG178" s="17"/>
      <c r="AH178" s="17"/>
      <c r="AI178" s="17"/>
      <c r="AJ178" s="17"/>
      <c r="AK178" s="17"/>
      <c r="AL178" s="17"/>
      <c r="AM178" s="17"/>
      <c r="AN178" s="17"/>
      <c r="AO178" s="17"/>
      <c r="AP178" s="17"/>
      <c r="AQ178" s="17"/>
      <c r="AR178" s="17"/>
      <c r="AS178" s="17"/>
      <c r="AT178" s="17"/>
      <c r="AU178" s="17"/>
      <c r="AV178" s="17"/>
      <c r="AW178" s="17"/>
      <c r="AX178" s="17"/>
      <c r="AY178" s="17"/>
    </row>
    <row r="179" spans="22:51">
      <c r="V179" s="17"/>
      <c r="W179" s="17"/>
      <c r="X179" s="17"/>
      <c r="Y179" s="17"/>
      <c r="Z179" s="17"/>
      <c r="AA179" s="17"/>
      <c r="AB179" s="17"/>
      <c r="AC179" s="17"/>
      <c r="AD179" s="17"/>
      <c r="AE179" s="17"/>
      <c r="AF179" s="17"/>
      <c r="AG179" s="17"/>
      <c r="AH179" s="17"/>
      <c r="AI179" s="17"/>
      <c r="AJ179" s="17"/>
      <c r="AK179" s="17"/>
      <c r="AL179" s="17"/>
      <c r="AM179" s="17"/>
      <c r="AN179" s="17"/>
      <c r="AO179" s="17"/>
      <c r="AP179" s="17"/>
      <c r="AQ179" s="17"/>
      <c r="AR179" s="17"/>
      <c r="AS179" s="17"/>
      <c r="AT179" s="17"/>
      <c r="AU179" s="17"/>
      <c r="AV179" s="17"/>
      <c r="AW179" s="17"/>
      <c r="AX179" s="17"/>
      <c r="AY179" s="17"/>
    </row>
    <row r="180" spans="22:51">
      <c r="V180" s="17"/>
      <c r="W180" s="17"/>
      <c r="X180" s="17"/>
      <c r="Y180" s="17"/>
      <c r="Z180" s="17"/>
      <c r="AA180" s="17"/>
      <c r="AB180" s="17"/>
      <c r="AC180" s="17"/>
      <c r="AD180" s="17"/>
      <c r="AE180" s="17"/>
      <c r="AF180" s="17"/>
      <c r="AG180" s="17"/>
      <c r="AH180" s="17"/>
      <c r="AI180" s="17"/>
      <c r="AJ180" s="17"/>
      <c r="AK180" s="17"/>
      <c r="AL180" s="17"/>
      <c r="AM180" s="17"/>
      <c r="AN180" s="17"/>
      <c r="AO180" s="17"/>
      <c r="AP180" s="17"/>
      <c r="AQ180" s="17"/>
      <c r="AR180" s="17"/>
      <c r="AS180" s="17"/>
      <c r="AT180" s="17"/>
      <c r="AU180" s="17"/>
      <c r="AV180" s="17"/>
      <c r="AW180" s="17"/>
      <c r="AX180" s="17"/>
      <c r="AY180" s="17"/>
    </row>
    <row r="181" spans="22:51">
      <c r="V181" s="17"/>
      <c r="W181" s="17"/>
      <c r="X181" s="17"/>
      <c r="Y181" s="17"/>
      <c r="Z181" s="17"/>
      <c r="AA181" s="17"/>
      <c r="AB181" s="17"/>
      <c r="AC181" s="17"/>
      <c r="AD181" s="17"/>
      <c r="AE181" s="17"/>
      <c r="AF181" s="17"/>
      <c r="AG181" s="17"/>
      <c r="AH181" s="17"/>
      <c r="AI181" s="17"/>
      <c r="AJ181" s="17"/>
      <c r="AK181" s="17"/>
      <c r="AL181" s="17"/>
      <c r="AM181" s="17"/>
      <c r="AN181" s="17"/>
      <c r="AO181" s="17"/>
      <c r="AP181" s="17"/>
      <c r="AQ181" s="17"/>
      <c r="AR181" s="17"/>
      <c r="AS181" s="17"/>
      <c r="AT181" s="17"/>
      <c r="AU181" s="17"/>
      <c r="AV181" s="17"/>
      <c r="AW181" s="17"/>
      <c r="AX181" s="17"/>
      <c r="AY181" s="17"/>
    </row>
  </sheetData>
  <phoneticPr fontId="8" type="noConversion"/>
  <hyperlinks>
    <hyperlink ref="BC24" r:id="rId1" xr:uid="{E2FBD465-37BD-47C2-B298-1DAC5BD95783}"/>
  </hyperlinks>
  <pageMargins left="0.7" right="0.7" top="0.75" bottom="0.75" header="0.3" footer="0.3"/>
  <pageSetup orientation="portrait"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DAA04-11BE-44D0-BE7F-6E9CF9E10A5B}">
  <dimension ref="A1:Q13"/>
  <sheetViews>
    <sheetView showGridLines="0" workbookViewId="0">
      <selection activeCell="L12" sqref="L12"/>
    </sheetView>
  </sheetViews>
  <sheetFormatPr defaultRowHeight="12.75"/>
  <cols>
    <col min="1" max="1" width="21.85546875" bestFit="1" customWidth="1"/>
    <col min="2" max="3" width="21.85546875" customWidth="1"/>
    <col min="4" max="7" width="22.7109375" customWidth="1"/>
    <col min="10" max="10" width="10.85546875" bestFit="1" customWidth="1"/>
    <col min="11" max="11" width="9.5703125" bestFit="1" customWidth="1"/>
    <col min="12" max="12" width="12.28515625" bestFit="1" customWidth="1"/>
    <col min="13" max="13" width="7.140625" bestFit="1" customWidth="1"/>
    <col min="14" max="14" width="7.140625" customWidth="1"/>
  </cols>
  <sheetData>
    <row r="1" spans="1:17">
      <c r="B1" s="48" t="s">
        <v>496</v>
      </c>
      <c r="C1" s="48" t="s">
        <v>497</v>
      </c>
      <c r="D1" s="48" t="s">
        <v>490</v>
      </c>
      <c r="E1" s="48" t="s">
        <v>489</v>
      </c>
      <c r="F1" s="47" t="s">
        <v>486</v>
      </c>
      <c r="G1" s="47" t="s">
        <v>487</v>
      </c>
      <c r="H1" s="47" t="s">
        <v>492</v>
      </c>
      <c r="I1" s="47" t="s">
        <v>491</v>
      </c>
      <c r="J1" s="47" t="s">
        <v>508</v>
      </c>
      <c r="K1" s="47" t="s">
        <v>509</v>
      </c>
      <c r="L1" s="55" t="s">
        <v>511</v>
      </c>
      <c r="M1" s="47" t="s">
        <v>501</v>
      </c>
      <c r="O1" s="47" t="s">
        <v>494</v>
      </c>
      <c r="P1" s="47" t="s">
        <v>495</v>
      </c>
      <c r="Q1" s="47" t="s">
        <v>500</v>
      </c>
    </row>
    <row r="2" spans="1:17">
      <c r="A2" s="40" t="s">
        <v>2</v>
      </c>
      <c r="B2" s="46">
        <f>COUNTIFS(company!$C:$C, sector!$A2,company!$Z:$Z,"NR", company!$AF:$AF,"NR")</f>
        <v>5</v>
      </c>
      <c r="C2" s="46">
        <f>M2-B2</f>
        <v>3</v>
      </c>
      <c r="D2" s="46">
        <f>COUNTIFS(company!$L:$L,"N",company!$C:$C,sector!$A2 )</f>
        <v>4</v>
      </c>
      <c r="E2" s="46">
        <f>COUNTIFS(company!$L:$L,"Y",company!$C:$C,sector!$A2 )</f>
        <v>4</v>
      </c>
      <c r="F2" s="46">
        <f>COUNTIFS(company!$M:$M,"N",company!$C:$C,sector!$A2 )</f>
        <v>6</v>
      </c>
      <c r="G2" s="46">
        <f>COUNTIFS(company!$M:$M,"Y",company!$C:$C,sector!$A2 )</f>
        <v>2</v>
      </c>
      <c r="H2" s="46">
        <f>COUNTIFS(company!$R:$R,"N",company!$C:$C,sector!$A2 )</f>
        <v>6</v>
      </c>
      <c r="I2" s="46">
        <f>COUNTIFS(company!$R:$R,"Y",company!$C:$C,sector!$A2 )</f>
        <v>2</v>
      </c>
      <c r="J2" s="46">
        <f>COUNTIFS(company!$C:$C,sector!$A2,company!$H:$H,"Y")</f>
        <v>0</v>
      </c>
      <c r="K2" s="46">
        <f>COUNTIFS(company!$C:$C,sector!$A2,company!$H:$H,"N")</f>
        <v>3</v>
      </c>
      <c r="L2" s="54">
        <f>J2/SUM(J2:K2)</f>
        <v>0</v>
      </c>
      <c r="M2">
        <f>H2+I2</f>
        <v>8</v>
      </c>
      <c r="O2" t="b">
        <f>(D2+E2) = (F2+G2)</f>
        <v>1</v>
      </c>
      <c r="P2" t="b">
        <f>(F2 + G2) = (H2 + I2)</f>
        <v>1</v>
      </c>
      <c r="Q2" t="b">
        <f>(B2+C2)=(D2+E2)</f>
        <v>1</v>
      </c>
    </row>
    <row r="3" spans="1:17">
      <c r="A3" s="40" t="s">
        <v>3</v>
      </c>
      <c r="B3" s="46">
        <f>COUNTIFS(company!$C:$C, sector!$A3,company!$Z:$Z,"NR", company!$AF:$AF,"NR")</f>
        <v>1</v>
      </c>
      <c r="C3" s="46">
        <f t="shared" ref="C3:C12" si="0">M3-B3</f>
        <v>8</v>
      </c>
      <c r="D3" s="46">
        <f>COUNTIFS(company!$L:$L,"N",company!$C:$C,sector!$A3 )</f>
        <v>4</v>
      </c>
      <c r="E3" s="46">
        <f>COUNTIFS(company!$L:$L,"Y",company!$C:$C,sector!$A3 )</f>
        <v>5</v>
      </c>
      <c r="F3" s="46">
        <f>COUNTIFS(company!$M:$M,"N",company!$C:$C,sector!$A3 )</f>
        <v>5</v>
      </c>
      <c r="G3" s="46">
        <f>COUNTIFS(company!$M:$M,"Y",company!$C:$C,sector!$A3 )</f>
        <v>4</v>
      </c>
      <c r="H3" s="46">
        <f>COUNTIFS(company!$R:$R,"N",company!$C:$C,sector!$A3 )</f>
        <v>4</v>
      </c>
      <c r="I3" s="46">
        <f>COUNTIFS(company!$R:$R,"Y",company!$C:$C,sector!$A3 )</f>
        <v>5</v>
      </c>
      <c r="J3" s="46">
        <f>COUNTIFS(company!$C:$C,sector!$A3,company!$H:$H,"Y")</f>
        <v>6</v>
      </c>
      <c r="K3" s="46">
        <f>COUNTIFS(company!$C:$C,sector!$A3,company!$H:$H,"N")</f>
        <v>2</v>
      </c>
      <c r="L3" s="54">
        <f t="shared" ref="L3:L13" si="1">J3/SUM(J3:K3)</f>
        <v>0.75</v>
      </c>
      <c r="M3">
        <f t="shared" ref="M3:M12" si="2">H3+I3</f>
        <v>9</v>
      </c>
      <c r="O3" t="b">
        <f t="shared" ref="O3:O12" si="3">(D3+E3) = (F3+G3)</f>
        <v>1</v>
      </c>
      <c r="P3" t="b">
        <f t="shared" ref="P3:P12" si="4">(F3 + G3) = (H3 + I3)</f>
        <v>1</v>
      </c>
      <c r="Q3" t="b">
        <f t="shared" ref="Q3:Q12" si="5">(B3+C3)=(D3+E3)</f>
        <v>1</v>
      </c>
    </row>
    <row r="4" spans="1:17">
      <c r="A4" s="40" t="s">
        <v>4</v>
      </c>
      <c r="B4" s="46">
        <f>COUNTIFS(company!$C:$C, sector!$A4,company!$Z:$Z,"NR", company!$AF:$AF,"NR")</f>
        <v>2</v>
      </c>
      <c r="C4" s="46">
        <f t="shared" si="0"/>
        <v>9</v>
      </c>
      <c r="D4" s="46">
        <f>COUNTIFS(company!$L:$L,"N",company!$C:$C,sector!$A4 )</f>
        <v>9</v>
      </c>
      <c r="E4" s="46">
        <f>COUNTIFS(company!$L:$L,"Y",company!$C:$C,sector!$A4 )</f>
        <v>2</v>
      </c>
      <c r="F4" s="46">
        <f>COUNTIFS(company!$M:$M,"N",company!$C:$C,sector!$A4 )</f>
        <v>2</v>
      </c>
      <c r="G4" s="46">
        <f>COUNTIFS(company!$M:$M,"Y",company!$C:$C,sector!$A4 )</f>
        <v>9</v>
      </c>
      <c r="H4" s="46">
        <f>COUNTIFS(company!$R:$R,"N",company!$C:$C,sector!$A4 )</f>
        <v>8</v>
      </c>
      <c r="I4" s="46">
        <f>COUNTIFS(company!$R:$R,"Y",company!$C:$C,sector!$A4 )</f>
        <v>3</v>
      </c>
      <c r="J4" s="46">
        <f>COUNTIFS(company!$C:$C,sector!$A4,company!$H:$H,"Y")</f>
        <v>7</v>
      </c>
      <c r="K4" s="46">
        <f>COUNTIFS(company!$C:$C,sector!$A4,company!$H:$H,"N")</f>
        <v>1</v>
      </c>
      <c r="L4" s="54">
        <f t="shared" si="1"/>
        <v>0.875</v>
      </c>
      <c r="M4">
        <f t="shared" si="2"/>
        <v>11</v>
      </c>
      <c r="O4" t="b">
        <f t="shared" si="3"/>
        <v>1</v>
      </c>
      <c r="P4" t="b">
        <f t="shared" si="4"/>
        <v>1</v>
      </c>
      <c r="Q4" t="b">
        <f t="shared" si="5"/>
        <v>1</v>
      </c>
    </row>
    <row r="5" spans="1:17">
      <c r="A5" s="40" t="s">
        <v>5</v>
      </c>
      <c r="B5" s="46">
        <f>COUNTIFS(company!$C:$C, sector!$A5,company!$Z:$Z,"NR", company!$AF:$AF,"NR")</f>
        <v>2</v>
      </c>
      <c r="C5" s="46">
        <f t="shared" si="0"/>
        <v>4</v>
      </c>
      <c r="D5" s="46">
        <f>COUNTIFS(company!$L:$L,"N",company!$C:$C,sector!$A5 )</f>
        <v>5</v>
      </c>
      <c r="E5" s="46">
        <f>COUNTIFS(company!$L:$L,"Y",company!$C:$C,sector!$A5 )</f>
        <v>1</v>
      </c>
      <c r="F5" s="46">
        <f>COUNTIFS(company!$M:$M,"N",company!$C:$C,sector!$A5 )</f>
        <v>5</v>
      </c>
      <c r="G5" s="46">
        <f>COUNTIFS(company!$M:$M,"Y",company!$C:$C,sector!$A5 )</f>
        <v>1</v>
      </c>
      <c r="H5" s="46">
        <f>COUNTIFS(company!$R:$R,"N",company!$C:$C,sector!$A5 )</f>
        <v>6</v>
      </c>
      <c r="I5" s="46">
        <f>COUNTIFS(company!$R:$R,"Y",company!$C:$C,sector!$A5 )</f>
        <v>0</v>
      </c>
      <c r="J5" s="46">
        <f>COUNTIFS(company!$C:$C,sector!$A5,company!$H:$H,"Y")</f>
        <v>3</v>
      </c>
      <c r="K5" s="46">
        <f>COUNTIFS(company!$C:$C,sector!$A5,company!$H:$H,"N")</f>
        <v>0</v>
      </c>
      <c r="L5" s="54">
        <f t="shared" si="1"/>
        <v>1</v>
      </c>
      <c r="M5">
        <f t="shared" si="2"/>
        <v>6</v>
      </c>
      <c r="O5" t="b">
        <f t="shared" si="3"/>
        <v>1</v>
      </c>
      <c r="P5" t="b">
        <f t="shared" si="4"/>
        <v>1</v>
      </c>
      <c r="Q5" t="b">
        <f t="shared" si="5"/>
        <v>1</v>
      </c>
    </row>
    <row r="6" spans="1:17">
      <c r="A6" s="40" t="s">
        <v>6</v>
      </c>
      <c r="B6" s="46">
        <f>COUNTIFS(company!$C:$C, sector!$A6,company!$Z:$Z,"NR", company!$AF:$AF,"NR")</f>
        <v>2</v>
      </c>
      <c r="C6" s="46">
        <f t="shared" si="0"/>
        <v>16</v>
      </c>
      <c r="D6" s="46">
        <f>COUNTIFS(company!$L:$L,"N",company!$C:$C,sector!$A6 )</f>
        <v>11</v>
      </c>
      <c r="E6" s="46">
        <f>COUNTIFS(company!$L:$L,"Y",company!$C:$C,sector!$A6 )</f>
        <v>7</v>
      </c>
      <c r="F6" s="46">
        <f>COUNTIFS(company!$M:$M,"N",company!$C:$C,sector!$A6 )</f>
        <v>16</v>
      </c>
      <c r="G6" s="46">
        <f>COUNTIFS(company!$M:$M,"Y",company!$C:$C,sector!$A6 )</f>
        <v>2</v>
      </c>
      <c r="H6" s="46">
        <f>COUNTIFS(company!$R:$R,"N",company!$C:$C,sector!$A6 )</f>
        <v>7</v>
      </c>
      <c r="I6" s="46">
        <f>COUNTIFS(company!$R:$R,"Y",company!$C:$C,sector!$A6 )</f>
        <v>11</v>
      </c>
      <c r="J6" s="46">
        <f>COUNTIFS(company!$C:$C,sector!$A6,company!$H:$H,"Y")</f>
        <v>0</v>
      </c>
      <c r="K6" s="46">
        <f>COUNTIFS(company!$C:$C,sector!$A6,company!$H:$H,"N")</f>
        <v>16</v>
      </c>
      <c r="L6" s="54">
        <f t="shared" si="1"/>
        <v>0</v>
      </c>
      <c r="M6">
        <f t="shared" si="2"/>
        <v>18</v>
      </c>
      <c r="O6" t="b">
        <f t="shared" si="3"/>
        <v>1</v>
      </c>
      <c r="P6" t="b">
        <f t="shared" si="4"/>
        <v>1</v>
      </c>
      <c r="Q6" t="b">
        <f t="shared" si="5"/>
        <v>1</v>
      </c>
    </row>
    <row r="7" spans="1:17">
      <c r="A7" s="40" t="s">
        <v>7</v>
      </c>
      <c r="B7" s="46">
        <f>COUNTIFS(company!$C:$C, sector!$A7,company!$Z:$Z,"NR", company!$AF:$AF,"NR")</f>
        <v>3</v>
      </c>
      <c r="C7" s="46">
        <f t="shared" si="0"/>
        <v>13</v>
      </c>
      <c r="D7" s="46">
        <f>COUNTIFS(company!$L:$L,"N",company!$C:$C,sector!$A7 )</f>
        <v>15</v>
      </c>
      <c r="E7" s="46">
        <f>COUNTIFS(company!$L:$L,"Y",company!$C:$C,sector!$A7 )</f>
        <v>1</v>
      </c>
      <c r="F7" s="46">
        <f>COUNTIFS(company!$M:$M,"N",company!$C:$C,sector!$A7 )</f>
        <v>13</v>
      </c>
      <c r="G7" s="46">
        <f>COUNTIFS(company!$M:$M,"Y",company!$C:$C,sector!$A7 )</f>
        <v>3</v>
      </c>
      <c r="H7" s="46">
        <f>COUNTIFS(company!$R:$R,"N",company!$C:$C,sector!$A7 )</f>
        <v>13</v>
      </c>
      <c r="I7" s="46">
        <f>COUNTIFS(company!$R:$R,"Y",company!$C:$C,sector!$A7 )</f>
        <v>3</v>
      </c>
      <c r="J7" s="46">
        <f>COUNTIFS(company!$C:$C,sector!$A7,company!$H:$H,"Y")</f>
        <v>0</v>
      </c>
      <c r="K7" s="46">
        <f>COUNTIFS(company!$C:$C,sector!$A7,company!$H:$H,"N")</f>
        <v>13</v>
      </c>
      <c r="L7" s="54">
        <f t="shared" si="1"/>
        <v>0</v>
      </c>
      <c r="M7">
        <f t="shared" si="2"/>
        <v>16</v>
      </c>
      <c r="O7" t="b">
        <f t="shared" si="3"/>
        <v>1</v>
      </c>
      <c r="P7" t="b">
        <f t="shared" si="4"/>
        <v>1</v>
      </c>
      <c r="Q7" t="b">
        <f t="shared" si="5"/>
        <v>1</v>
      </c>
    </row>
    <row r="8" spans="1:17">
      <c r="A8" s="40" t="s">
        <v>8</v>
      </c>
      <c r="B8" s="46">
        <f>COUNTIFS(company!$C:$C, sector!$A8,company!$Z:$Z,"NR", company!$AF:$AF,"NR")</f>
        <v>3</v>
      </c>
      <c r="C8" s="46">
        <f t="shared" si="0"/>
        <v>9</v>
      </c>
      <c r="D8" s="46">
        <f>COUNTIFS(company!$L:$L,"N",company!$C:$C,sector!$A8 )</f>
        <v>12</v>
      </c>
      <c r="E8" s="46">
        <f>COUNTIFS(company!$L:$L,"Y",company!$C:$C,sector!$A8 )</f>
        <v>0</v>
      </c>
      <c r="F8" s="46">
        <f>COUNTIFS(company!$M:$M,"N",company!$C:$C,sector!$A8 )</f>
        <v>11</v>
      </c>
      <c r="G8" s="46">
        <f>COUNTIFS(company!$M:$M,"Y",company!$C:$C,sector!$A8 )</f>
        <v>1</v>
      </c>
      <c r="H8" s="46">
        <f>COUNTIFS(company!$R:$R,"N",company!$C:$C,sector!$A8 )</f>
        <v>11</v>
      </c>
      <c r="I8" s="46">
        <f>COUNTIFS(company!$R:$R,"Y",company!$C:$C,sector!$A8 )</f>
        <v>1</v>
      </c>
      <c r="J8" s="46">
        <f>COUNTIFS(company!$C:$C,sector!$A8,company!$H:$H,"Y")</f>
        <v>3</v>
      </c>
      <c r="K8" s="46">
        <f>COUNTIFS(company!$C:$C,sector!$A8,company!$H:$H,"N")</f>
        <v>6</v>
      </c>
      <c r="L8" s="54">
        <f t="shared" si="1"/>
        <v>0.33333333333333331</v>
      </c>
      <c r="M8">
        <f t="shared" si="2"/>
        <v>12</v>
      </c>
      <c r="O8" t="b">
        <f t="shared" si="3"/>
        <v>1</v>
      </c>
      <c r="P8" t="b">
        <f t="shared" si="4"/>
        <v>1</v>
      </c>
      <c r="Q8" t="b">
        <f t="shared" si="5"/>
        <v>1</v>
      </c>
    </row>
    <row r="9" spans="1:17">
      <c r="A9" s="40" t="s">
        <v>9</v>
      </c>
      <c r="B9" s="46">
        <f>COUNTIFS(company!$C:$C, sector!$A9,company!$Z:$Z,"NR", company!$AF:$AF,"NR")</f>
        <v>0</v>
      </c>
      <c r="C9" s="46">
        <f t="shared" si="0"/>
        <v>2</v>
      </c>
      <c r="D9" s="46">
        <f>COUNTIFS(company!$L:$L,"N",company!$C:$C,sector!$A9 )</f>
        <v>0</v>
      </c>
      <c r="E9" s="46">
        <f>COUNTIFS(company!$L:$L,"Y",company!$C:$C,sector!$A9 )</f>
        <v>2</v>
      </c>
      <c r="F9" s="46">
        <f>COUNTIFS(company!$M:$M,"N",company!$C:$C,sector!$A9 )</f>
        <v>2</v>
      </c>
      <c r="G9" s="46">
        <f>COUNTIFS(company!$M:$M,"Y",company!$C:$C,sector!$A9 )</f>
        <v>0</v>
      </c>
      <c r="H9" s="46">
        <f>COUNTIFS(company!$R:$R,"N",company!$C:$C,sector!$A9 )</f>
        <v>2</v>
      </c>
      <c r="I9" s="46">
        <f>COUNTIFS(company!$R:$R,"Y",company!$C:$C,sector!$A9 )</f>
        <v>0</v>
      </c>
      <c r="J9" s="46">
        <f>COUNTIFS(company!$C:$C,sector!$A9,company!$H:$H,"Y")</f>
        <v>2</v>
      </c>
      <c r="K9" s="46">
        <f>COUNTIFS(company!$C:$C,sector!$A9,company!$H:$H,"N")</f>
        <v>0</v>
      </c>
      <c r="L9" s="54">
        <f t="shared" si="1"/>
        <v>1</v>
      </c>
      <c r="M9">
        <f t="shared" si="2"/>
        <v>2</v>
      </c>
      <c r="O9" t="b">
        <f t="shared" si="3"/>
        <v>1</v>
      </c>
      <c r="P9" t="b">
        <f t="shared" si="4"/>
        <v>1</v>
      </c>
      <c r="Q9" t="b">
        <f t="shared" si="5"/>
        <v>1</v>
      </c>
    </row>
    <row r="10" spans="1:17">
      <c r="A10" s="40" t="s">
        <v>10</v>
      </c>
      <c r="B10" s="46">
        <f>COUNTIFS(company!$C:$C, sector!$A10,company!$Z:$Z,"NR", company!$AF:$AF,"NR")</f>
        <v>1</v>
      </c>
      <c r="C10" s="46">
        <f t="shared" si="0"/>
        <v>1</v>
      </c>
      <c r="D10" s="46">
        <f>COUNTIFS(company!$L:$L,"N",company!$C:$C,sector!$A10 )</f>
        <v>2</v>
      </c>
      <c r="E10" s="46">
        <f>COUNTIFS(company!$L:$L,"Y",company!$C:$C,sector!$A10 )</f>
        <v>0</v>
      </c>
      <c r="F10" s="46">
        <f>COUNTIFS(company!$M:$M,"N",company!$C:$C,sector!$A10 )</f>
        <v>2</v>
      </c>
      <c r="G10" s="46">
        <f>COUNTIFS(company!$M:$M,"Y",company!$C:$C,sector!$A10 )</f>
        <v>0</v>
      </c>
      <c r="H10" s="46">
        <f>COUNTIFS(company!$R:$R,"N",company!$C:$C,sector!$A10 )</f>
        <v>2</v>
      </c>
      <c r="I10" s="46">
        <f>COUNTIFS(company!$R:$R,"Y",company!$C:$C,sector!$A10 )</f>
        <v>0</v>
      </c>
      <c r="J10" s="46">
        <f>COUNTIFS(company!$C:$C,sector!$A10,company!$H:$H,"Y")</f>
        <v>0</v>
      </c>
      <c r="K10" s="46">
        <f>COUNTIFS(company!$C:$C,sector!$A10,company!$H:$H,"N")</f>
        <v>1</v>
      </c>
      <c r="L10" s="54">
        <f t="shared" si="1"/>
        <v>0</v>
      </c>
      <c r="M10">
        <f t="shared" si="2"/>
        <v>2</v>
      </c>
      <c r="O10" t="b">
        <f t="shared" si="3"/>
        <v>1</v>
      </c>
      <c r="P10" t="b">
        <f t="shared" si="4"/>
        <v>1</v>
      </c>
      <c r="Q10" t="b">
        <f t="shared" si="5"/>
        <v>1</v>
      </c>
    </row>
    <row r="11" spans="1:17">
      <c r="A11" s="40" t="s">
        <v>11</v>
      </c>
      <c r="B11" s="46">
        <f>COUNTIFS(company!$C:$C, sector!$A11,company!$Z:$Z,"NR", company!$AF:$AF,"NR")</f>
        <v>1</v>
      </c>
      <c r="C11" s="46">
        <f t="shared" si="0"/>
        <v>11</v>
      </c>
      <c r="D11" s="46">
        <f>COUNTIFS(company!$L:$L,"N",company!$C:$C,sector!$A11 )</f>
        <v>9</v>
      </c>
      <c r="E11" s="46">
        <f>COUNTIFS(company!$L:$L,"Y",company!$C:$C,sector!$A11 )</f>
        <v>3</v>
      </c>
      <c r="F11" s="46">
        <f>COUNTIFS(company!$M:$M,"N",company!$C:$C,sector!$A11 )</f>
        <v>7</v>
      </c>
      <c r="G11" s="46">
        <f>COUNTIFS(company!$M:$M,"Y",company!$C:$C,sector!$A11 )</f>
        <v>5</v>
      </c>
      <c r="H11" s="46">
        <f>COUNTIFS(company!$R:$R,"N",company!$C:$C,sector!$A11 )</f>
        <v>7</v>
      </c>
      <c r="I11" s="46">
        <f>COUNTIFS(company!$R:$R,"Y",company!$C:$C,sector!$A11 )</f>
        <v>5</v>
      </c>
      <c r="J11" s="46">
        <f>COUNTIFS(company!$C:$C,sector!$A11,company!$H:$H,"Y")</f>
        <v>0</v>
      </c>
      <c r="K11" s="46">
        <f>COUNTIFS(company!$C:$C,sector!$A11,company!$H:$H,"N")</f>
        <v>11</v>
      </c>
      <c r="L11" s="54">
        <f t="shared" si="1"/>
        <v>0</v>
      </c>
      <c r="M11">
        <f t="shared" si="2"/>
        <v>12</v>
      </c>
      <c r="O11" t="b">
        <f t="shared" si="3"/>
        <v>1</v>
      </c>
      <c r="P11" t="b">
        <f t="shared" si="4"/>
        <v>1</v>
      </c>
      <c r="Q11" t="b">
        <f t="shared" si="5"/>
        <v>1</v>
      </c>
    </row>
    <row r="12" spans="1:17">
      <c r="A12" s="40" t="s">
        <v>12</v>
      </c>
      <c r="B12" s="46">
        <f>COUNTIFS(company!$C:$C, sector!$A12,company!$Z:$Z,"NR", company!$AF:$AF,"NR")</f>
        <v>1</v>
      </c>
      <c r="C12" s="46">
        <f t="shared" si="0"/>
        <v>3</v>
      </c>
      <c r="D12" s="46">
        <f>COUNTIFS(company!$L:$L,"N",company!$C:$C,sector!$A12 )</f>
        <v>3</v>
      </c>
      <c r="E12" s="46">
        <f>COUNTIFS(company!$L:$L,"Y",company!$C:$C,sector!$A12 )</f>
        <v>1</v>
      </c>
      <c r="F12" s="46">
        <f>COUNTIFS(company!$M:$M,"N",company!$C:$C,sector!$A12 )</f>
        <v>4</v>
      </c>
      <c r="G12" s="46">
        <f>COUNTIFS(company!$M:$M,"Y",company!$C:$C,sector!$A12 )</f>
        <v>0</v>
      </c>
      <c r="H12" s="46">
        <f>COUNTIFS(company!$R:$R,"N",company!$C:$C,sector!$A12 )</f>
        <v>4</v>
      </c>
      <c r="I12" s="46">
        <f>COUNTIFS(company!$R:$R,"Y",company!$C:$C,sector!$A12 )</f>
        <v>0</v>
      </c>
      <c r="J12" s="46">
        <f>COUNTIFS(company!$C:$C,sector!$A12,company!$H:$H,"Y")</f>
        <v>3</v>
      </c>
      <c r="K12" s="46">
        <f>COUNTIFS(company!$C:$C,sector!$A12,company!$H:$H,"N")</f>
        <v>0</v>
      </c>
      <c r="L12" s="54">
        <f t="shared" si="1"/>
        <v>1</v>
      </c>
      <c r="M12">
        <f t="shared" si="2"/>
        <v>4</v>
      </c>
      <c r="O12" t="b">
        <f t="shared" si="3"/>
        <v>1</v>
      </c>
      <c r="P12" t="b">
        <f t="shared" si="4"/>
        <v>1</v>
      </c>
      <c r="Q12" t="b">
        <f t="shared" si="5"/>
        <v>1</v>
      </c>
    </row>
    <row r="13" spans="1:17">
      <c r="A13" s="44" t="s">
        <v>488</v>
      </c>
      <c r="B13" s="45">
        <f t="shared" ref="B13:C13" si="6">SUM(B2:B12)</f>
        <v>21</v>
      </c>
      <c r="C13" s="45">
        <f t="shared" si="6"/>
        <v>79</v>
      </c>
      <c r="D13" s="45">
        <f t="shared" ref="D13:M13" si="7">SUM(D2:D12)</f>
        <v>74</v>
      </c>
      <c r="E13" s="45">
        <f t="shared" si="7"/>
        <v>26</v>
      </c>
      <c r="F13" s="45">
        <f t="shared" si="7"/>
        <v>73</v>
      </c>
      <c r="G13" s="45">
        <f t="shared" si="7"/>
        <v>27</v>
      </c>
      <c r="H13" s="45">
        <f t="shared" si="7"/>
        <v>70</v>
      </c>
      <c r="I13" s="45">
        <f t="shared" si="7"/>
        <v>30</v>
      </c>
      <c r="J13" s="45">
        <f t="shared" si="7"/>
        <v>24</v>
      </c>
      <c r="K13" s="45">
        <f t="shared" si="7"/>
        <v>53</v>
      </c>
      <c r="L13" s="56">
        <f t="shared" si="1"/>
        <v>0.31168831168831168</v>
      </c>
      <c r="M13" s="45">
        <f t="shared" si="7"/>
        <v>100</v>
      </c>
    </row>
  </sheetData>
  <phoneticPr fontId="8"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74103-F822-449A-ACC8-59863F902887}">
  <dimension ref="A1:D26"/>
  <sheetViews>
    <sheetView workbookViewId="0">
      <selection activeCell="C7" sqref="C7"/>
    </sheetView>
  </sheetViews>
  <sheetFormatPr defaultRowHeight="12.75"/>
  <cols>
    <col min="1" max="1" width="29.5703125" bestFit="1" customWidth="1"/>
    <col min="2" max="2" width="33.85546875" bestFit="1" customWidth="1"/>
    <col min="3" max="3" width="35.5703125" bestFit="1" customWidth="1"/>
  </cols>
  <sheetData>
    <row r="1" spans="1:4" ht="31.5">
      <c r="A1" t="s">
        <v>62</v>
      </c>
      <c r="B1" s="76" t="s">
        <v>585</v>
      </c>
      <c r="C1" s="77" t="str">
        <f>VLOOKUP(A1,companies!$B:$D,3,FALSE)</f>
        <v xml:space="preserve"> US88579Y1010</v>
      </c>
      <c r="D1" t="b">
        <f t="shared" ref="D1:D26" si="0">C1=B1</f>
        <v>0</v>
      </c>
    </row>
    <row r="2" spans="1:4" ht="31.5">
      <c r="A2" t="s">
        <v>65</v>
      </c>
      <c r="B2" s="76" t="s">
        <v>538</v>
      </c>
      <c r="C2" s="77" t="str">
        <f>VLOOKUP(A2,companies!$B:$D,3,FALSE)</f>
        <v xml:space="preserve"> US0028241000</v>
      </c>
      <c r="D2" t="b">
        <f t="shared" si="0"/>
        <v>0</v>
      </c>
    </row>
    <row r="3" spans="1:4" ht="31.5">
      <c r="A3" t="s">
        <v>68</v>
      </c>
      <c r="B3" s="76" t="s">
        <v>537</v>
      </c>
      <c r="C3" s="77" t="str">
        <f>VLOOKUP(A3,companies!$B:$D,3,FALSE)</f>
        <v xml:space="preserve"> US00287Y1091</v>
      </c>
      <c r="D3" t="b">
        <f t="shared" si="0"/>
        <v>0</v>
      </c>
    </row>
    <row r="4" spans="1:4" ht="31.5">
      <c r="A4" t="s">
        <v>71</v>
      </c>
      <c r="B4" s="76" t="s">
        <v>530</v>
      </c>
      <c r="C4" s="77" t="str">
        <f>VLOOKUP(A4,companies!$B:$D,3,FALSE)</f>
        <v xml:space="preserve"> IE00B4BNMY34</v>
      </c>
      <c r="D4" t="b">
        <f t="shared" si="0"/>
        <v>0</v>
      </c>
    </row>
    <row r="5" spans="1:4" ht="31.5">
      <c r="A5" s="21" t="s">
        <v>73</v>
      </c>
      <c r="B5" s="76" t="s">
        <v>513</v>
      </c>
      <c r="C5" s="77" t="str">
        <f>VLOOKUP(A5,companies!$B:$D,3,FALSE)</f>
        <v xml:space="preserve"> US00724F1012</v>
      </c>
      <c r="D5" t="b">
        <f t="shared" si="0"/>
        <v>0</v>
      </c>
    </row>
    <row r="6" spans="1:4" ht="30">
      <c r="A6" s="4" t="s">
        <v>75</v>
      </c>
      <c r="B6" s="78" t="s">
        <v>539</v>
      </c>
      <c r="C6" s="77" t="str">
        <f>VLOOKUP(A6,companies!$B:$D,3,FALSE)</f>
        <v xml:space="preserve"> US0200021014</v>
      </c>
      <c r="D6" t="b">
        <f t="shared" si="0"/>
        <v>0</v>
      </c>
    </row>
    <row r="7" spans="1:4" ht="30">
      <c r="A7" t="s">
        <v>78</v>
      </c>
      <c r="B7" s="80" t="s">
        <v>540</v>
      </c>
      <c r="C7" s="81" t="str">
        <f>VLOOKUP(A7,companies!$B:$D,3,FALSE)</f>
        <v xml:space="preserve"> US02079K1079</v>
      </c>
      <c r="D7" t="b">
        <f t="shared" si="0"/>
        <v>0</v>
      </c>
    </row>
    <row r="8" spans="1:4" ht="30">
      <c r="A8" t="s">
        <v>81</v>
      </c>
      <c r="B8" s="79" t="s">
        <v>527</v>
      </c>
      <c r="C8" s="77" t="str">
        <f>VLOOKUP(A8,companies!$B:$D,3,FALSE)</f>
        <v xml:space="preserve"> US02209S1033</v>
      </c>
      <c r="D8" t="b">
        <f t="shared" si="0"/>
        <v>0</v>
      </c>
    </row>
    <row r="9" spans="1:4" ht="30">
      <c r="A9" t="s">
        <v>84</v>
      </c>
      <c r="B9" s="79" t="s">
        <v>541</v>
      </c>
      <c r="C9" s="77" t="str">
        <f>VLOOKUP(A9,companies!$B:$D,3,FALSE)</f>
        <v>A</v>
      </c>
      <c r="D9" t="b">
        <f t="shared" si="0"/>
        <v>0</v>
      </c>
    </row>
    <row r="10" spans="1:4" ht="30">
      <c r="A10" t="s">
        <v>88</v>
      </c>
      <c r="B10" s="79" t="s">
        <v>545</v>
      </c>
      <c r="C10" s="77" t="str">
        <f>VLOOKUP(A10,companies!$B:$D,3,FALSE)</f>
        <v xml:space="preserve"> US0258161092</v>
      </c>
      <c r="D10" t="b">
        <f t="shared" si="0"/>
        <v>0</v>
      </c>
    </row>
    <row r="11" spans="1:4" ht="30">
      <c r="A11" s="4" t="s">
        <v>414</v>
      </c>
      <c r="B11" s="79" t="s">
        <v>544</v>
      </c>
      <c r="C11" s="77" t="str">
        <f>VLOOKUP(A11,companies!$B:$D,3,FALSE)</f>
        <v xml:space="preserve"> US0268747849</v>
      </c>
      <c r="D11" t="b">
        <f t="shared" si="0"/>
        <v>0</v>
      </c>
    </row>
    <row r="12" spans="1:4" ht="30">
      <c r="A12" s="21" t="s">
        <v>91</v>
      </c>
      <c r="B12" s="79" t="s">
        <v>543</v>
      </c>
      <c r="C12" s="77" t="str">
        <f>VLOOKUP(A12,companies!$B:$D,3,FALSE)</f>
        <v xml:space="preserve"> US03027X1000</v>
      </c>
      <c r="D12" t="b">
        <f t="shared" si="0"/>
        <v>0</v>
      </c>
    </row>
    <row r="13" spans="1:4" ht="30">
      <c r="A13" t="s">
        <v>93</v>
      </c>
      <c r="B13" s="79" t="s">
        <v>542</v>
      </c>
      <c r="C13" s="77" t="str">
        <f>VLOOKUP(A13,companies!$B:$D,3,FALSE)</f>
        <v xml:space="preserve"> US0311621009</v>
      </c>
      <c r="D13" t="b">
        <f t="shared" si="0"/>
        <v>0</v>
      </c>
    </row>
    <row r="14" spans="1:4" ht="30">
      <c r="A14" t="s">
        <v>95</v>
      </c>
      <c r="B14" s="79" t="s">
        <v>546</v>
      </c>
      <c r="C14" s="77" t="str">
        <f>VLOOKUP(A14,companies!$B:$D,3,FALSE)</f>
        <v xml:space="preserve"> US0378331005</v>
      </c>
      <c r="D14" t="b">
        <f t="shared" si="0"/>
        <v>0</v>
      </c>
    </row>
    <row r="15" spans="1:4" ht="30">
      <c r="A15" t="s">
        <v>98</v>
      </c>
      <c r="B15" s="79" t="s">
        <v>532</v>
      </c>
      <c r="C15" s="77" t="str">
        <f>VLOOKUP(A15,companies!$B:$D,3,FALSE)</f>
        <v xml:space="preserve"> US00206R1023</v>
      </c>
      <c r="D15" t="b">
        <f t="shared" si="0"/>
        <v>0</v>
      </c>
    </row>
    <row r="16" spans="1:4" ht="30">
      <c r="A16" t="s">
        <v>102</v>
      </c>
      <c r="B16" s="79" t="s">
        <v>547</v>
      </c>
      <c r="C16" s="77" t="str">
        <f>VLOOKUP(A16,companies!$B:$D,3,FALSE)</f>
        <v xml:space="preserve"> US0605051046</v>
      </c>
      <c r="D16" t="b">
        <f t="shared" si="0"/>
        <v>0</v>
      </c>
    </row>
    <row r="17" spans="1:4" ht="30">
      <c r="A17" s="21" t="s">
        <v>106</v>
      </c>
      <c r="B17" s="79" t="s">
        <v>548</v>
      </c>
      <c r="C17" s="77" t="str">
        <f>VLOOKUP(A17,companies!$B:$D,3,FALSE)</f>
        <v>B</v>
      </c>
      <c r="D17" t="b">
        <f t="shared" si="0"/>
        <v>0</v>
      </c>
    </row>
    <row r="18" spans="1:4" ht="30">
      <c r="A18" s="21" t="s">
        <v>107</v>
      </c>
      <c r="B18" s="79" t="s">
        <v>514</v>
      </c>
      <c r="C18" s="77" t="str">
        <f>VLOOKUP(A18,companies!$B:$D,3,FALSE)</f>
        <v xml:space="preserve"> US09062X1037</v>
      </c>
      <c r="D18" t="b">
        <f t="shared" si="0"/>
        <v>0</v>
      </c>
    </row>
    <row r="19" spans="1:4" ht="30">
      <c r="A19" s="21" t="s">
        <v>108</v>
      </c>
      <c r="B19" s="78" t="s">
        <v>549</v>
      </c>
      <c r="C19" s="77" t="str">
        <f>VLOOKUP(A19,companies!$B:$D,3,FALSE)</f>
        <v xml:space="preserve"> US09247X1019</v>
      </c>
      <c r="D19" t="b">
        <f t="shared" si="0"/>
        <v>0</v>
      </c>
    </row>
    <row r="20" spans="1:4" ht="30">
      <c r="A20" s="21" t="s">
        <v>111</v>
      </c>
      <c r="B20" s="79" t="s">
        <v>550</v>
      </c>
      <c r="C20" s="77" t="str">
        <f>VLOOKUP(A20,companies!$B:$D,3,FALSE)</f>
        <v xml:space="preserve"> US0970231058</v>
      </c>
      <c r="D20" t="b">
        <f t="shared" si="0"/>
        <v>0</v>
      </c>
    </row>
    <row r="21" spans="1:4" ht="30">
      <c r="A21" s="21" t="s">
        <v>113</v>
      </c>
      <c r="B21" s="79" t="s">
        <v>552</v>
      </c>
      <c r="C21" s="77" t="str">
        <f>VLOOKUP(A21,companies!$B:$D,3,FALSE)</f>
        <v>US09857L1089</v>
      </c>
      <c r="D21" t="b">
        <f t="shared" si="0"/>
        <v>1</v>
      </c>
    </row>
    <row r="22" spans="1:4" ht="30">
      <c r="A22" s="21" t="s">
        <v>115</v>
      </c>
      <c r="B22" s="79" t="s">
        <v>553</v>
      </c>
      <c r="C22" s="77" t="str">
        <f>VLOOKUP(A22,companies!$B:$D,3,FALSE)</f>
        <v xml:space="preserve"> US1101221083</v>
      </c>
      <c r="D22" t="b">
        <f t="shared" si="0"/>
        <v>0</v>
      </c>
    </row>
    <row r="23" spans="1:4" ht="30">
      <c r="A23" s="21" t="s">
        <v>117</v>
      </c>
      <c r="B23" s="79" t="s">
        <v>554</v>
      </c>
      <c r="C23" s="77" t="str">
        <f>VLOOKUP(A23,companies!$B:$D,3,FALSE)</f>
        <v xml:space="preserve"> US14040H1059</v>
      </c>
      <c r="D23" t="b">
        <f t="shared" si="0"/>
        <v>0</v>
      </c>
    </row>
    <row r="24" spans="1:4" ht="30">
      <c r="A24" s="21" t="s">
        <v>120</v>
      </c>
      <c r="B24" s="79" t="s">
        <v>555</v>
      </c>
      <c r="C24" s="77" t="str">
        <f>VLOOKUP(A24,companies!$B:$D,3,FALSE)</f>
        <v>US1491231015</v>
      </c>
      <c r="D24" t="b">
        <f t="shared" si="0"/>
        <v>1</v>
      </c>
    </row>
    <row r="25" spans="1:4" ht="30">
      <c r="A25" s="21" t="s">
        <v>123</v>
      </c>
      <c r="B25" s="79" t="s">
        <v>556</v>
      </c>
      <c r="C25" s="77" t="str">
        <f>VLOOKUP(A25,companies!$B:$D,3,FALSE)</f>
        <v>US16119P1084</v>
      </c>
      <c r="D25" t="b">
        <f t="shared" si="0"/>
        <v>1</v>
      </c>
    </row>
    <row r="26" spans="1:4" ht="30">
      <c r="A26" s="21" t="s">
        <v>125</v>
      </c>
      <c r="B26" s="79" t="s">
        <v>551</v>
      </c>
      <c r="C26" s="77" t="str">
        <f>VLOOKUP(A26,companies!$B:$D,3,FALSE)</f>
        <v>US1667641005</v>
      </c>
      <c r="D26" t="b">
        <f t="shared" si="0"/>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80746-FE96-423E-B267-A4AA2C85E34F}">
  <dimension ref="A1:G101"/>
  <sheetViews>
    <sheetView showGridLines="0" workbookViewId="0">
      <selection activeCell="D1" sqref="D1"/>
    </sheetView>
  </sheetViews>
  <sheetFormatPr defaultColWidth="8.7109375" defaultRowHeight="9"/>
  <cols>
    <col min="1" max="1" width="12.85546875" style="58" bestFit="1" customWidth="1"/>
    <col min="2" max="2" width="29.5703125" style="58" customWidth="1"/>
    <col min="3" max="4" width="21.42578125" style="58" customWidth="1"/>
    <col min="5" max="6" width="13.85546875" style="58" customWidth="1"/>
    <col min="7" max="16384" width="8.7109375" style="58"/>
  </cols>
  <sheetData>
    <row r="1" spans="1:7">
      <c r="A1" s="60" t="s">
        <v>557</v>
      </c>
      <c r="B1" s="60" t="s">
        <v>566</v>
      </c>
      <c r="C1" s="60" t="s">
        <v>565</v>
      </c>
      <c r="D1" s="60" t="s">
        <v>512</v>
      </c>
      <c r="E1" s="60" t="s">
        <v>564</v>
      </c>
      <c r="F1" s="60" t="s">
        <v>1050</v>
      </c>
      <c r="G1" s="60" t="s">
        <v>1051</v>
      </c>
    </row>
    <row r="2" spans="1:7">
      <c r="A2" s="59">
        <v>1</v>
      </c>
      <c r="B2" s="58" t="s">
        <v>62</v>
      </c>
      <c r="C2" s="58" t="s">
        <v>62</v>
      </c>
      <c r="D2" s="58" t="s">
        <v>586</v>
      </c>
      <c r="E2" s="58" t="s">
        <v>587</v>
      </c>
      <c r="F2" s="58" t="s">
        <v>585</v>
      </c>
      <c r="G2" s="58" t="s">
        <v>584</v>
      </c>
    </row>
    <row r="3" spans="1:7">
      <c r="A3" s="59">
        <f>A2+1</f>
        <v>2</v>
      </c>
      <c r="B3" s="58" t="s">
        <v>65</v>
      </c>
      <c r="C3" s="58" t="s">
        <v>65</v>
      </c>
      <c r="D3" s="58" t="s">
        <v>577</v>
      </c>
      <c r="E3" s="58" t="s">
        <v>578</v>
      </c>
      <c r="F3" s="58" t="s">
        <v>538</v>
      </c>
      <c r="G3" s="58" t="s">
        <v>576</v>
      </c>
    </row>
    <row r="4" spans="1:7">
      <c r="A4" s="59">
        <f t="shared" ref="A4:A67" si="0">A3+1</f>
        <v>3</v>
      </c>
      <c r="B4" s="58" t="s">
        <v>68</v>
      </c>
      <c r="C4" s="58" t="s">
        <v>454</v>
      </c>
      <c r="D4" s="58" t="s">
        <v>1026</v>
      </c>
      <c r="E4" s="58" t="s">
        <v>1027</v>
      </c>
      <c r="F4" s="58" t="s">
        <v>537</v>
      </c>
      <c r="G4" s="58" t="s">
        <v>1025</v>
      </c>
    </row>
    <row r="5" spans="1:7">
      <c r="A5" s="59">
        <f t="shared" si="0"/>
        <v>4</v>
      </c>
      <c r="B5" s="58" t="s">
        <v>71</v>
      </c>
      <c r="C5" s="58" t="s">
        <v>71</v>
      </c>
      <c r="D5" s="58" t="s">
        <v>1048</v>
      </c>
      <c r="E5" s="58" t="s">
        <v>1049</v>
      </c>
      <c r="F5" s="58" t="s">
        <v>530</v>
      </c>
      <c r="G5" s="58" t="s">
        <v>1047</v>
      </c>
    </row>
    <row r="6" spans="1:7">
      <c r="A6" s="59">
        <f t="shared" si="0"/>
        <v>5</v>
      </c>
      <c r="B6" s="58" t="s">
        <v>73</v>
      </c>
      <c r="C6" s="58" t="s">
        <v>463</v>
      </c>
      <c r="D6" s="58" t="s">
        <v>595</v>
      </c>
      <c r="E6" s="58" t="s">
        <v>596</v>
      </c>
      <c r="F6" s="58" t="s">
        <v>513</v>
      </c>
      <c r="G6" s="58" t="s">
        <v>594</v>
      </c>
    </row>
    <row r="7" spans="1:7">
      <c r="A7" s="59">
        <f t="shared" si="0"/>
        <v>6</v>
      </c>
      <c r="B7" s="58" t="s">
        <v>75</v>
      </c>
      <c r="C7" s="58" t="s">
        <v>459</v>
      </c>
      <c r="D7" s="58" t="s">
        <v>612</v>
      </c>
      <c r="E7" s="58" t="s">
        <v>613</v>
      </c>
      <c r="F7" s="58" t="s">
        <v>539</v>
      </c>
      <c r="G7" s="58" t="s">
        <v>611</v>
      </c>
    </row>
    <row r="8" spans="1:7">
      <c r="A8" s="59">
        <f t="shared" si="0"/>
        <v>7</v>
      </c>
      <c r="B8" s="58" t="s">
        <v>78</v>
      </c>
      <c r="C8" s="58" t="s">
        <v>482</v>
      </c>
      <c r="D8" s="58" t="s">
        <v>1105</v>
      </c>
      <c r="E8" s="58" t="s">
        <v>828</v>
      </c>
      <c r="F8" s="58" t="s">
        <v>540</v>
      </c>
      <c r="G8" s="58" t="s">
        <v>827</v>
      </c>
    </row>
    <row r="9" spans="1:7">
      <c r="A9" s="59">
        <f t="shared" si="0"/>
        <v>8</v>
      </c>
      <c r="B9" s="58" t="s">
        <v>81</v>
      </c>
      <c r="C9" s="58" t="s">
        <v>474</v>
      </c>
      <c r="D9" s="58" t="s">
        <v>622</v>
      </c>
      <c r="E9" s="58" t="s">
        <v>623</v>
      </c>
      <c r="F9" s="58" t="s">
        <v>527</v>
      </c>
      <c r="G9" s="58" t="s">
        <v>621</v>
      </c>
    </row>
    <row r="10" spans="1:7" customFormat="1" ht="12.75">
      <c r="A10" s="59">
        <f t="shared" si="0"/>
        <v>9</v>
      </c>
      <c r="B10" s="58" t="s">
        <v>84</v>
      </c>
      <c r="C10" s="58" t="s">
        <v>408</v>
      </c>
      <c r="D10" s="58" t="s">
        <v>1400</v>
      </c>
      <c r="E10" s="58"/>
      <c r="F10" s="58" t="s">
        <v>541</v>
      </c>
      <c r="G10" s="58"/>
    </row>
    <row r="11" spans="1:7">
      <c r="A11" s="59">
        <f t="shared" si="0"/>
        <v>10</v>
      </c>
      <c r="B11" s="58" t="s">
        <v>88</v>
      </c>
      <c r="C11" s="58" t="s">
        <v>88</v>
      </c>
      <c r="D11" s="58" t="s">
        <v>628</v>
      </c>
      <c r="E11" s="58" t="s">
        <v>629</v>
      </c>
      <c r="F11" s="58" t="s">
        <v>545</v>
      </c>
      <c r="G11" s="58" t="s">
        <v>627</v>
      </c>
    </row>
    <row r="12" spans="1:7">
      <c r="A12" s="59">
        <f t="shared" si="0"/>
        <v>11</v>
      </c>
      <c r="B12" s="58" t="s">
        <v>414</v>
      </c>
      <c r="C12" s="58" t="s">
        <v>390</v>
      </c>
      <c r="D12" s="58" t="s">
        <v>631</v>
      </c>
      <c r="E12" s="58" t="s">
        <v>632</v>
      </c>
      <c r="F12" s="58" t="s">
        <v>544</v>
      </c>
      <c r="G12" s="58" t="s">
        <v>630</v>
      </c>
    </row>
    <row r="13" spans="1:7">
      <c r="A13" s="59">
        <f t="shared" si="0"/>
        <v>12</v>
      </c>
      <c r="B13" s="58" t="s">
        <v>91</v>
      </c>
      <c r="C13" s="58" t="s">
        <v>91</v>
      </c>
      <c r="D13" s="58" t="s">
        <v>639</v>
      </c>
      <c r="E13" s="58" t="s">
        <v>640</v>
      </c>
      <c r="F13" s="58" t="s">
        <v>543</v>
      </c>
      <c r="G13" s="58" t="s">
        <v>638</v>
      </c>
    </row>
    <row r="14" spans="1:7">
      <c r="A14" s="59">
        <f t="shared" si="0"/>
        <v>13</v>
      </c>
      <c r="B14" s="58" t="s">
        <v>93</v>
      </c>
      <c r="C14" s="58" t="s">
        <v>456</v>
      </c>
      <c r="D14" s="58" t="s">
        <v>644</v>
      </c>
      <c r="E14" s="58" t="s">
        <v>645</v>
      </c>
      <c r="F14" s="58" t="s">
        <v>542</v>
      </c>
      <c r="G14" s="58" t="s">
        <v>643</v>
      </c>
    </row>
    <row r="15" spans="1:7">
      <c r="A15" s="59">
        <f t="shared" si="0"/>
        <v>14</v>
      </c>
      <c r="B15" s="58" t="s">
        <v>95</v>
      </c>
      <c r="C15" s="58" t="s">
        <v>402</v>
      </c>
      <c r="D15" s="58" t="s">
        <v>651</v>
      </c>
      <c r="E15" s="58" t="s">
        <v>652</v>
      </c>
      <c r="F15" s="58" t="s">
        <v>546</v>
      </c>
      <c r="G15" s="58" t="s">
        <v>650</v>
      </c>
    </row>
    <row r="16" spans="1:7">
      <c r="A16" s="59">
        <f t="shared" si="0"/>
        <v>15</v>
      </c>
      <c r="B16" s="58" t="s">
        <v>98</v>
      </c>
      <c r="C16" s="58" t="s">
        <v>404</v>
      </c>
      <c r="D16" s="58" t="s">
        <v>661</v>
      </c>
      <c r="E16" s="58" t="s">
        <v>662</v>
      </c>
      <c r="F16" s="58" t="s">
        <v>532</v>
      </c>
      <c r="G16" s="58" t="s">
        <v>660</v>
      </c>
    </row>
    <row r="17" spans="1:7">
      <c r="A17" s="59">
        <f t="shared" si="0"/>
        <v>16</v>
      </c>
      <c r="B17" s="58" t="s">
        <v>102</v>
      </c>
      <c r="C17" s="58" t="s">
        <v>102</v>
      </c>
      <c r="D17" s="58" t="s">
        <v>668</v>
      </c>
      <c r="E17" s="58" t="s">
        <v>669</v>
      </c>
      <c r="F17" s="58" t="s">
        <v>547</v>
      </c>
      <c r="G17" s="58" t="s">
        <v>667</v>
      </c>
    </row>
    <row r="18" spans="1:7" customFormat="1" ht="12.75">
      <c r="A18" s="59">
        <f t="shared" si="0"/>
        <v>17</v>
      </c>
      <c r="B18" s="58" t="s">
        <v>106</v>
      </c>
      <c r="C18" s="58" t="s">
        <v>395</v>
      </c>
      <c r="D18" s="58" t="s">
        <v>1401</v>
      </c>
      <c r="E18" s="58"/>
      <c r="F18" s="58" t="s">
        <v>548</v>
      </c>
      <c r="G18" s="58"/>
    </row>
    <row r="19" spans="1:7">
      <c r="A19" s="59">
        <f t="shared" si="0"/>
        <v>18</v>
      </c>
      <c r="B19" s="58" t="s">
        <v>107</v>
      </c>
      <c r="C19" s="58" t="s">
        <v>460</v>
      </c>
      <c r="D19" s="58" t="s">
        <v>680</v>
      </c>
      <c r="E19" s="58" t="s">
        <v>681</v>
      </c>
      <c r="F19" s="58" t="s">
        <v>514</v>
      </c>
      <c r="G19" s="58" t="s">
        <v>679</v>
      </c>
    </row>
    <row r="20" spans="1:7">
      <c r="A20" s="59">
        <f t="shared" si="0"/>
        <v>19</v>
      </c>
      <c r="B20" s="58" t="s">
        <v>108</v>
      </c>
      <c r="C20" s="58" t="s">
        <v>396</v>
      </c>
      <c r="D20" s="58" t="s">
        <v>683</v>
      </c>
      <c r="E20" s="58" t="s">
        <v>684</v>
      </c>
      <c r="F20" s="58" t="s">
        <v>549</v>
      </c>
      <c r="G20" s="58" t="s">
        <v>682</v>
      </c>
    </row>
    <row r="21" spans="1:7">
      <c r="A21" s="59">
        <f t="shared" si="0"/>
        <v>20</v>
      </c>
      <c r="B21" s="58" t="s">
        <v>111</v>
      </c>
      <c r="C21" s="58" t="s">
        <v>111</v>
      </c>
      <c r="D21" s="58" t="s">
        <v>690</v>
      </c>
      <c r="E21" s="58" t="s">
        <v>691</v>
      </c>
      <c r="F21" s="58" t="s">
        <v>550</v>
      </c>
      <c r="G21" s="58" t="s">
        <v>689</v>
      </c>
    </row>
    <row r="22" spans="1:7" customFormat="1" ht="12.75">
      <c r="A22" s="59">
        <f t="shared" si="0"/>
        <v>21</v>
      </c>
      <c r="B22" s="58" t="s">
        <v>113</v>
      </c>
      <c r="C22" s="58" t="s">
        <v>461</v>
      </c>
      <c r="D22" s="58" t="s">
        <v>552</v>
      </c>
      <c r="E22" s="58"/>
      <c r="F22" s="58" t="s">
        <v>552</v>
      </c>
      <c r="G22" s="58"/>
    </row>
    <row r="23" spans="1:7">
      <c r="A23" s="59">
        <f t="shared" si="0"/>
        <v>22</v>
      </c>
      <c r="B23" s="58" t="s">
        <v>115</v>
      </c>
      <c r="C23" s="58" t="s">
        <v>115</v>
      </c>
      <c r="D23" s="58" t="s">
        <v>695</v>
      </c>
      <c r="E23" s="58" t="s">
        <v>696</v>
      </c>
      <c r="F23" s="58" t="s">
        <v>553</v>
      </c>
      <c r="G23" s="58" t="s">
        <v>694</v>
      </c>
    </row>
    <row r="24" spans="1:7">
      <c r="A24" s="59">
        <f t="shared" si="0"/>
        <v>23</v>
      </c>
      <c r="B24" s="58" t="s">
        <v>117</v>
      </c>
      <c r="C24" s="58" t="s">
        <v>466</v>
      </c>
      <c r="D24" s="58" t="s">
        <v>702</v>
      </c>
      <c r="E24" s="58" t="s">
        <v>703</v>
      </c>
      <c r="F24" s="58" t="s">
        <v>554</v>
      </c>
      <c r="G24" s="58" t="s">
        <v>701</v>
      </c>
    </row>
    <row r="25" spans="1:7" customFormat="1" ht="12.75">
      <c r="A25" s="59">
        <f t="shared" si="0"/>
        <v>24</v>
      </c>
      <c r="B25" s="58" t="s">
        <v>120</v>
      </c>
      <c r="C25" s="58" t="s">
        <v>447</v>
      </c>
      <c r="D25" s="58" t="s">
        <v>555</v>
      </c>
      <c r="E25" s="58"/>
      <c r="F25" s="58" t="s">
        <v>555</v>
      </c>
      <c r="G25" s="58"/>
    </row>
    <row r="26" spans="1:7" customFormat="1" ht="12.75">
      <c r="A26" s="59">
        <f t="shared" si="0"/>
        <v>25</v>
      </c>
      <c r="B26" s="58" t="s">
        <v>123</v>
      </c>
      <c r="C26" s="58" t="s">
        <v>397</v>
      </c>
      <c r="D26" s="58" t="s">
        <v>556</v>
      </c>
      <c r="E26" s="58"/>
      <c r="F26" s="58" t="s">
        <v>556</v>
      </c>
      <c r="G26" s="58"/>
    </row>
    <row r="27" spans="1:7" customFormat="1" ht="12.75">
      <c r="A27" s="59">
        <f t="shared" si="0"/>
        <v>26</v>
      </c>
      <c r="B27" s="58" t="s">
        <v>125</v>
      </c>
      <c r="C27" s="58" t="s">
        <v>125</v>
      </c>
      <c r="D27" s="58" t="s">
        <v>551</v>
      </c>
      <c r="E27" s="58"/>
      <c r="F27" s="58" t="s">
        <v>551</v>
      </c>
      <c r="G27" s="58"/>
    </row>
    <row r="28" spans="1:7">
      <c r="A28" s="59">
        <f t="shared" si="0"/>
        <v>27</v>
      </c>
      <c r="B28" s="58" t="s">
        <v>128</v>
      </c>
      <c r="C28" s="58" t="s">
        <v>407</v>
      </c>
      <c r="D28" s="58" t="s">
        <v>710</v>
      </c>
      <c r="E28" s="58" t="s">
        <v>711</v>
      </c>
      <c r="F28" s="58" t="s">
        <v>515</v>
      </c>
      <c r="G28" s="58" t="s">
        <v>709</v>
      </c>
    </row>
    <row r="29" spans="1:7">
      <c r="A29" s="59">
        <f t="shared" si="0"/>
        <v>28</v>
      </c>
      <c r="B29" s="58" t="s">
        <v>130</v>
      </c>
      <c r="C29" s="58" t="s">
        <v>453</v>
      </c>
      <c r="D29" s="58" t="s">
        <v>715</v>
      </c>
      <c r="E29" s="58" t="s">
        <v>716</v>
      </c>
      <c r="F29" s="58" t="s">
        <v>714</v>
      </c>
      <c r="G29" s="58" t="s">
        <v>713</v>
      </c>
    </row>
    <row r="30" spans="1:7">
      <c r="A30" s="59">
        <f t="shared" si="0"/>
        <v>29</v>
      </c>
      <c r="B30" s="58" t="s">
        <v>132</v>
      </c>
      <c r="C30" s="58" t="s">
        <v>477</v>
      </c>
      <c r="D30" s="58" t="s">
        <v>725</v>
      </c>
      <c r="E30" s="58" t="s">
        <v>726</v>
      </c>
      <c r="F30" s="58" t="s">
        <v>535</v>
      </c>
      <c r="G30" s="58" t="s">
        <v>724</v>
      </c>
    </row>
    <row r="31" spans="1:7">
      <c r="A31" s="59">
        <f t="shared" si="0"/>
        <v>30</v>
      </c>
      <c r="B31" s="58" t="s">
        <v>135</v>
      </c>
      <c r="C31" s="58" t="s">
        <v>135</v>
      </c>
      <c r="D31" s="58" t="s">
        <v>720</v>
      </c>
      <c r="E31" s="58" t="s">
        <v>721</v>
      </c>
      <c r="F31" s="58" t="s">
        <v>516</v>
      </c>
      <c r="G31" s="58" t="s">
        <v>719</v>
      </c>
    </row>
    <row r="32" spans="1:7">
      <c r="A32" s="59">
        <f t="shared" si="0"/>
        <v>31</v>
      </c>
      <c r="B32" s="58" t="s">
        <v>138</v>
      </c>
      <c r="C32" s="58" t="s">
        <v>138</v>
      </c>
      <c r="D32" s="58" t="s">
        <v>731</v>
      </c>
      <c r="E32" s="58" t="s">
        <v>732</v>
      </c>
      <c r="F32" s="58" t="s">
        <v>730</v>
      </c>
      <c r="G32" s="58" t="s">
        <v>729</v>
      </c>
    </row>
    <row r="33" spans="1:7">
      <c r="A33" s="59">
        <f t="shared" si="0"/>
        <v>32</v>
      </c>
      <c r="B33" s="58" t="s">
        <v>139</v>
      </c>
      <c r="C33" s="58" t="s">
        <v>139</v>
      </c>
      <c r="D33" s="58" t="s">
        <v>741</v>
      </c>
      <c r="E33" s="58" t="s">
        <v>742</v>
      </c>
      <c r="F33" s="58" t="s">
        <v>740</v>
      </c>
      <c r="G33" s="58" t="s">
        <v>739</v>
      </c>
    </row>
    <row r="34" spans="1:7">
      <c r="A34" s="59">
        <f t="shared" si="0"/>
        <v>33</v>
      </c>
      <c r="B34" s="58" t="s">
        <v>141</v>
      </c>
      <c r="C34" s="58" t="s">
        <v>141</v>
      </c>
      <c r="D34" s="58" t="s">
        <v>750</v>
      </c>
      <c r="E34" s="58" t="s">
        <v>751</v>
      </c>
      <c r="F34" s="58" t="s">
        <v>749</v>
      </c>
      <c r="G34" s="58" t="s">
        <v>748</v>
      </c>
    </row>
    <row r="35" spans="1:7">
      <c r="A35" s="59">
        <f t="shared" si="0"/>
        <v>34</v>
      </c>
      <c r="B35" s="58" t="s">
        <v>143</v>
      </c>
      <c r="C35" s="58" t="s">
        <v>391</v>
      </c>
      <c r="D35" s="58" t="s">
        <v>760</v>
      </c>
      <c r="E35" s="58" t="s">
        <v>761</v>
      </c>
      <c r="F35" s="58" t="s">
        <v>517</v>
      </c>
      <c r="G35" s="58" t="s">
        <v>759</v>
      </c>
    </row>
    <row r="36" spans="1:7" customFormat="1" ht="12.75">
      <c r="A36" s="59">
        <f t="shared" si="0"/>
        <v>35</v>
      </c>
      <c r="B36" s="58" t="s">
        <v>145</v>
      </c>
      <c r="C36" s="58" t="s">
        <v>145</v>
      </c>
      <c r="D36" s="58" t="s">
        <v>1100</v>
      </c>
      <c r="E36" s="58"/>
      <c r="F36" s="58"/>
      <c r="G36" s="58"/>
    </row>
    <row r="37" spans="1:7" customFormat="1" ht="12.75">
      <c r="A37" s="59">
        <f t="shared" si="0"/>
        <v>36</v>
      </c>
      <c r="B37" s="58" t="s">
        <v>147</v>
      </c>
      <c r="C37" s="58" t="s">
        <v>440</v>
      </c>
      <c r="D37" s="58" t="s">
        <v>1101</v>
      </c>
      <c r="E37" s="58"/>
      <c r="F37" s="58"/>
      <c r="G37" s="58"/>
    </row>
    <row r="38" spans="1:7">
      <c r="A38" s="59">
        <f t="shared" si="0"/>
        <v>37</v>
      </c>
      <c r="B38" s="58" t="s">
        <v>150</v>
      </c>
      <c r="C38" s="58" t="s">
        <v>150</v>
      </c>
      <c r="D38" s="58" t="s">
        <v>769</v>
      </c>
      <c r="E38" s="58" t="s">
        <v>770</v>
      </c>
      <c r="F38" s="58" t="s">
        <v>768</v>
      </c>
      <c r="G38" s="58" t="s">
        <v>767</v>
      </c>
    </row>
    <row r="39" spans="1:7">
      <c r="A39" s="59">
        <f t="shared" si="0"/>
        <v>38</v>
      </c>
      <c r="B39" s="58" t="s">
        <v>152</v>
      </c>
      <c r="C39" s="58" t="s">
        <v>152</v>
      </c>
      <c r="D39" s="58" t="s">
        <v>1038</v>
      </c>
      <c r="E39" s="58" t="s">
        <v>1039</v>
      </c>
      <c r="F39" s="58" t="s">
        <v>1037</v>
      </c>
      <c r="G39" s="58" t="s">
        <v>1036</v>
      </c>
    </row>
    <row r="40" spans="1:7">
      <c r="A40" s="59">
        <f t="shared" si="0"/>
        <v>39</v>
      </c>
      <c r="B40" s="58" t="s">
        <v>154</v>
      </c>
      <c r="C40" s="58" t="s">
        <v>154</v>
      </c>
      <c r="D40" s="58" t="s">
        <v>774</v>
      </c>
      <c r="E40" s="58" t="s">
        <v>775</v>
      </c>
      <c r="F40" s="58" t="s">
        <v>773</v>
      </c>
      <c r="G40" s="58" t="s">
        <v>772</v>
      </c>
    </row>
    <row r="41" spans="1:7" customFormat="1" ht="12.75">
      <c r="A41" s="59">
        <f t="shared" si="0"/>
        <v>40</v>
      </c>
      <c r="B41" s="58" t="s">
        <v>156</v>
      </c>
      <c r="C41" s="58" t="s">
        <v>156</v>
      </c>
      <c r="D41" s="58" t="s">
        <v>1102</v>
      </c>
      <c r="E41" s="58"/>
      <c r="F41" s="58"/>
      <c r="G41" s="58"/>
    </row>
    <row r="42" spans="1:7">
      <c r="A42" s="59">
        <f t="shared" si="0"/>
        <v>41</v>
      </c>
      <c r="B42" s="58" t="s">
        <v>158</v>
      </c>
      <c r="C42" s="58" t="s">
        <v>158</v>
      </c>
      <c r="D42" s="58" t="s">
        <v>782</v>
      </c>
      <c r="E42" s="58" t="s">
        <v>783</v>
      </c>
      <c r="F42" s="58" t="s">
        <v>781</v>
      </c>
      <c r="G42" s="58" t="s">
        <v>780</v>
      </c>
    </row>
    <row r="43" spans="1:7" customFormat="1" ht="12.75">
      <c r="A43" s="59">
        <f t="shared" si="0"/>
        <v>42</v>
      </c>
      <c r="B43" s="58" t="s">
        <v>160</v>
      </c>
      <c r="C43" s="58" t="s">
        <v>160</v>
      </c>
      <c r="D43" s="58" t="s">
        <v>1103</v>
      </c>
      <c r="E43" s="58"/>
      <c r="F43" s="58"/>
      <c r="G43" s="58"/>
    </row>
    <row r="44" spans="1:7" customFormat="1" ht="12.75">
      <c r="A44" s="59">
        <f t="shared" si="0"/>
        <v>43</v>
      </c>
      <c r="B44" s="58" t="s">
        <v>162</v>
      </c>
      <c r="C44" s="58" t="s">
        <v>403</v>
      </c>
      <c r="D44" s="58" t="s">
        <v>1104</v>
      </c>
      <c r="E44" s="58"/>
      <c r="F44" s="58"/>
      <c r="G44" s="58"/>
    </row>
    <row r="45" spans="1:7">
      <c r="A45" s="59">
        <f t="shared" si="0"/>
        <v>44</v>
      </c>
      <c r="B45" s="58" t="s">
        <v>164</v>
      </c>
      <c r="C45" s="58" t="s">
        <v>164</v>
      </c>
      <c r="D45" s="58" t="s">
        <v>789</v>
      </c>
      <c r="E45" s="58" t="s">
        <v>790</v>
      </c>
      <c r="F45" s="58" t="s">
        <v>788</v>
      </c>
      <c r="G45" s="58" t="s">
        <v>787</v>
      </c>
    </row>
    <row r="46" spans="1:7">
      <c r="A46" s="59">
        <f t="shared" si="0"/>
        <v>45</v>
      </c>
      <c r="B46" s="58" t="s">
        <v>167</v>
      </c>
      <c r="C46" s="58" t="s">
        <v>475</v>
      </c>
      <c r="D46" s="58" t="s">
        <v>796</v>
      </c>
      <c r="E46" s="58" t="s">
        <v>797</v>
      </c>
      <c r="F46" s="58" t="s">
        <v>795</v>
      </c>
      <c r="G46" s="58" t="s">
        <v>794</v>
      </c>
    </row>
    <row r="47" spans="1:7">
      <c r="A47" s="59">
        <f t="shared" si="0"/>
        <v>46</v>
      </c>
      <c r="B47" s="58" t="s">
        <v>171</v>
      </c>
      <c r="C47" s="58" t="s">
        <v>171</v>
      </c>
      <c r="D47" s="58" t="s">
        <v>802</v>
      </c>
      <c r="E47" s="58" t="s">
        <v>803</v>
      </c>
      <c r="F47" s="58" t="s">
        <v>801</v>
      </c>
      <c r="G47" s="58" t="s">
        <v>800</v>
      </c>
    </row>
    <row r="48" spans="1:7">
      <c r="A48" s="59">
        <f t="shared" si="0"/>
        <v>47</v>
      </c>
      <c r="B48" s="58" t="s">
        <v>173</v>
      </c>
      <c r="C48" s="58" t="s">
        <v>392</v>
      </c>
      <c r="D48" s="58" t="s">
        <v>813</v>
      </c>
      <c r="E48" s="58" t="s">
        <v>814</v>
      </c>
      <c r="F48" s="58" t="s">
        <v>812</v>
      </c>
      <c r="G48" s="58" t="s">
        <v>811</v>
      </c>
    </row>
    <row r="49" spans="1:7">
      <c r="A49" s="59">
        <f t="shared" si="0"/>
        <v>48</v>
      </c>
      <c r="B49" s="58" t="s">
        <v>174</v>
      </c>
      <c r="C49" s="58" t="s">
        <v>393</v>
      </c>
      <c r="D49" s="58" t="s">
        <v>807</v>
      </c>
      <c r="E49" s="58" t="s">
        <v>808</v>
      </c>
      <c r="F49" s="58" t="s">
        <v>806</v>
      </c>
      <c r="G49" s="58" t="s">
        <v>805</v>
      </c>
    </row>
    <row r="50" spans="1:7">
      <c r="A50" s="59">
        <f t="shared" si="0"/>
        <v>49</v>
      </c>
      <c r="B50" s="58" t="s">
        <v>175</v>
      </c>
      <c r="C50" s="58" t="s">
        <v>398</v>
      </c>
      <c r="D50" s="58" t="s">
        <v>817</v>
      </c>
      <c r="E50" s="58" t="s">
        <v>818</v>
      </c>
      <c r="F50" s="58" t="s">
        <v>816</v>
      </c>
      <c r="G50" s="58" t="s">
        <v>815</v>
      </c>
    </row>
    <row r="51" spans="1:7">
      <c r="A51" s="59">
        <f t="shared" si="0"/>
        <v>50</v>
      </c>
      <c r="B51" s="58" t="s">
        <v>177</v>
      </c>
      <c r="C51" s="58" t="s">
        <v>464</v>
      </c>
      <c r="D51" s="58" t="s">
        <v>821</v>
      </c>
      <c r="E51" s="58" t="s">
        <v>822</v>
      </c>
      <c r="F51" s="58" t="s">
        <v>820</v>
      </c>
      <c r="G51" s="58" t="s">
        <v>819</v>
      </c>
    </row>
    <row r="52" spans="1:7">
      <c r="A52" s="59">
        <f t="shared" si="0"/>
        <v>51</v>
      </c>
      <c r="B52" s="58" t="s">
        <v>180</v>
      </c>
      <c r="C52" s="58" t="s">
        <v>180</v>
      </c>
      <c r="D52" s="58" t="s">
        <v>834</v>
      </c>
      <c r="E52" s="58" t="s">
        <v>835</v>
      </c>
      <c r="F52" s="58" t="s">
        <v>833</v>
      </c>
      <c r="G52" s="58" t="s">
        <v>832</v>
      </c>
    </row>
    <row r="53" spans="1:7">
      <c r="A53" s="59">
        <f t="shared" si="0"/>
        <v>52</v>
      </c>
      <c r="B53" s="58" t="s">
        <v>184</v>
      </c>
      <c r="C53" s="58" t="s">
        <v>446</v>
      </c>
      <c r="D53" s="58" t="s">
        <v>840</v>
      </c>
      <c r="E53" s="58" t="s">
        <v>841</v>
      </c>
      <c r="F53" s="58" t="s">
        <v>839</v>
      </c>
      <c r="G53" s="58" t="s">
        <v>838</v>
      </c>
    </row>
    <row r="54" spans="1:7">
      <c r="A54" s="59">
        <f t="shared" si="0"/>
        <v>53</v>
      </c>
      <c r="B54" s="58" t="s">
        <v>188</v>
      </c>
      <c r="C54" s="58" t="s">
        <v>470</v>
      </c>
      <c r="D54" s="58" t="s">
        <v>848</v>
      </c>
      <c r="E54" s="58" t="s">
        <v>849</v>
      </c>
      <c r="F54" s="58" t="s">
        <v>847</v>
      </c>
      <c r="G54" s="58" t="s">
        <v>846</v>
      </c>
    </row>
    <row r="55" spans="1:7">
      <c r="A55" s="59">
        <f t="shared" si="0"/>
        <v>54</v>
      </c>
      <c r="B55" s="58" t="s">
        <v>193</v>
      </c>
      <c r="C55" s="58" t="s">
        <v>443</v>
      </c>
      <c r="D55" s="58" t="s">
        <v>854</v>
      </c>
      <c r="E55" s="58" t="s">
        <v>855</v>
      </c>
      <c r="F55" s="58" t="s">
        <v>853</v>
      </c>
      <c r="G55" s="58" t="s">
        <v>852</v>
      </c>
    </row>
    <row r="56" spans="1:7">
      <c r="A56" s="59">
        <f t="shared" si="0"/>
        <v>55</v>
      </c>
      <c r="B56" s="58" t="s">
        <v>197</v>
      </c>
      <c r="C56" s="58" t="s">
        <v>481</v>
      </c>
      <c r="D56" s="58" t="s">
        <v>860</v>
      </c>
      <c r="E56" s="58" t="s">
        <v>861</v>
      </c>
      <c r="F56" s="58" t="s">
        <v>859</v>
      </c>
      <c r="G56" s="58" t="s">
        <v>858</v>
      </c>
    </row>
    <row r="57" spans="1:7">
      <c r="A57" s="59">
        <f t="shared" si="0"/>
        <v>56</v>
      </c>
      <c r="B57" s="58" t="s">
        <v>201</v>
      </c>
      <c r="C57" s="58" t="s">
        <v>472</v>
      </c>
      <c r="D57" s="58" t="s">
        <v>864</v>
      </c>
      <c r="E57" s="58" t="s">
        <v>865</v>
      </c>
      <c r="F57" s="58" t="s">
        <v>863</v>
      </c>
      <c r="G57" s="58" t="s">
        <v>862</v>
      </c>
    </row>
    <row r="58" spans="1:7" customFormat="1" ht="12.75">
      <c r="A58" s="59">
        <f t="shared" si="0"/>
        <v>57</v>
      </c>
      <c r="B58" s="58" t="s">
        <v>204</v>
      </c>
      <c r="C58" s="58" t="s">
        <v>399</v>
      </c>
      <c r="D58" s="58" t="s">
        <v>1402</v>
      </c>
      <c r="E58" s="58"/>
      <c r="F58" s="58"/>
      <c r="G58" s="58"/>
    </row>
    <row r="59" spans="1:7">
      <c r="A59" s="59">
        <f t="shared" si="0"/>
        <v>58</v>
      </c>
      <c r="B59" s="58" t="s">
        <v>208</v>
      </c>
      <c r="C59" s="58" t="s">
        <v>450</v>
      </c>
      <c r="D59" s="58" t="s">
        <v>1032</v>
      </c>
      <c r="E59" s="58" t="s">
        <v>1033</v>
      </c>
      <c r="F59" s="58" t="s">
        <v>529</v>
      </c>
      <c r="G59" s="58" t="s">
        <v>1031</v>
      </c>
    </row>
    <row r="60" spans="1:7">
      <c r="A60" s="59">
        <f t="shared" si="0"/>
        <v>59</v>
      </c>
      <c r="B60" s="58" t="s">
        <v>211</v>
      </c>
      <c r="C60" s="58" t="s">
        <v>471</v>
      </c>
      <c r="D60" s="58" t="s">
        <v>872</v>
      </c>
      <c r="E60" s="58" t="s">
        <v>873</v>
      </c>
      <c r="F60" s="58" t="s">
        <v>871</v>
      </c>
      <c r="G60" s="58" t="s">
        <v>870</v>
      </c>
    </row>
    <row r="61" spans="1:7">
      <c r="A61" s="59">
        <f t="shared" si="0"/>
        <v>60</v>
      </c>
      <c r="B61" s="58" t="s">
        <v>217</v>
      </c>
      <c r="C61" s="58" t="s">
        <v>476</v>
      </c>
      <c r="D61" s="58" t="s">
        <v>876</v>
      </c>
      <c r="E61" s="58" t="s">
        <v>877</v>
      </c>
      <c r="F61" s="58" t="s">
        <v>875</v>
      </c>
      <c r="G61" s="58" t="s">
        <v>874</v>
      </c>
    </row>
    <row r="62" spans="1:7">
      <c r="A62" s="59">
        <f t="shared" si="0"/>
        <v>61</v>
      </c>
      <c r="B62" s="58" t="s">
        <v>221</v>
      </c>
      <c r="C62" s="58" t="s">
        <v>467</v>
      </c>
      <c r="D62" s="58" t="s">
        <v>881</v>
      </c>
      <c r="E62" s="58" t="s">
        <v>882</v>
      </c>
      <c r="F62" s="58" t="s">
        <v>528</v>
      </c>
      <c r="G62" s="58" t="s">
        <v>880</v>
      </c>
    </row>
    <row r="63" spans="1:7">
      <c r="A63" s="59">
        <f t="shared" si="0"/>
        <v>62</v>
      </c>
      <c r="B63" s="58" t="s">
        <v>226</v>
      </c>
      <c r="C63" s="58" t="s">
        <v>473</v>
      </c>
      <c r="D63" s="58" t="s">
        <v>886</v>
      </c>
      <c r="E63" s="58" t="s">
        <v>887</v>
      </c>
      <c r="F63" s="58" t="s">
        <v>526</v>
      </c>
      <c r="G63" s="58" t="s">
        <v>885</v>
      </c>
    </row>
    <row r="64" spans="1:7">
      <c r="A64" s="59">
        <f t="shared" si="0"/>
        <v>63</v>
      </c>
      <c r="B64" s="58" t="s">
        <v>231</v>
      </c>
      <c r="C64" s="58" t="s">
        <v>231</v>
      </c>
      <c r="D64" s="58" t="s">
        <v>1045</v>
      </c>
      <c r="E64" s="58" t="s">
        <v>1046</v>
      </c>
      <c r="F64" s="58" t="s">
        <v>1044</v>
      </c>
      <c r="G64" s="58" t="s">
        <v>1043</v>
      </c>
    </row>
    <row r="65" spans="1:7">
      <c r="A65" s="59">
        <f t="shared" si="0"/>
        <v>64</v>
      </c>
      <c r="B65" s="58" t="s">
        <v>235</v>
      </c>
      <c r="C65" s="58" t="s">
        <v>469</v>
      </c>
      <c r="D65" s="58" t="s">
        <v>890</v>
      </c>
      <c r="E65" s="58" t="s">
        <v>891</v>
      </c>
      <c r="F65" s="58" t="s">
        <v>889</v>
      </c>
      <c r="G65" s="58" t="s">
        <v>888</v>
      </c>
    </row>
    <row r="66" spans="1:7">
      <c r="A66" s="59">
        <f t="shared" si="0"/>
        <v>65</v>
      </c>
      <c r="B66" s="58" t="s">
        <v>240</v>
      </c>
      <c r="C66" s="58" t="s">
        <v>465</v>
      </c>
      <c r="D66" s="58" t="s">
        <v>893</v>
      </c>
      <c r="E66" s="58" t="s">
        <v>894</v>
      </c>
      <c r="F66" s="58" t="s">
        <v>518</v>
      </c>
      <c r="G66" s="58" t="s">
        <v>892</v>
      </c>
    </row>
    <row r="67" spans="1:7">
      <c r="A67" s="59">
        <f t="shared" si="0"/>
        <v>66</v>
      </c>
      <c r="B67" s="58" t="s">
        <v>244</v>
      </c>
      <c r="C67" s="58" t="s">
        <v>468</v>
      </c>
      <c r="D67" s="58" t="s">
        <v>896</v>
      </c>
      <c r="E67" s="58" t="s">
        <v>897</v>
      </c>
      <c r="F67" s="58" t="s">
        <v>534</v>
      </c>
      <c r="G67" s="58" t="s">
        <v>895</v>
      </c>
    </row>
    <row r="68" spans="1:7">
      <c r="A68" s="59">
        <f t="shared" ref="A68:A101" si="1">A67+1</f>
        <v>67</v>
      </c>
      <c r="B68" s="58" t="s">
        <v>247</v>
      </c>
      <c r="C68" s="58" t="s">
        <v>448</v>
      </c>
      <c r="D68" s="58" t="s">
        <v>1023</v>
      </c>
      <c r="E68" s="58" t="s">
        <v>1024</v>
      </c>
      <c r="F68" s="58" t="s">
        <v>1022</v>
      </c>
      <c r="G68" s="58" t="s">
        <v>1021</v>
      </c>
    </row>
    <row r="69" spans="1:7">
      <c r="A69" s="59">
        <f t="shared" si="1"/>
        <v>68</v>
      </c>
      <c r="B69" s="58" t="s">
        <v>252</v>
      </c>
      <c r="C69" s="58" t="s">
        <v>252</v>
      </c>
      <c r="D69" s="58" t="s">
        <v>900</v>
      </c>
      <c r="E69" s="58" t="s">
        <v>901</v>
      </c>
      <c r="F69" s="58" t="s">
        <v>899</v>
      </c>
      <c r="G69" s="58" t="s">
        <v>898</v>
      </c>
    </row>
    <row r="70" spans="1:7" customFormat="1" ht="12.75">
      <c r="A70" s="59">
        <f t="shared" si="1"/>
        <v>69</v>
      </c>
      <c r="B70" s="58" t="s">
        <v>255</v>
      </c>
      <c r="C70" s="58" t="s">
        <v>438</v>
      </c>
      <c r="D70" s="58" t="s">
        <v>1403</v>
      </c>
      <c r="E70" s="58"/>
      <c r="F70" s="58"/>
      <c r="G70" s="58"/>
    </row>
    <row r="71" spans="1:7" customFormat="1" ht="12.75">
      <c r="A71" s="59">
        <f t="shared" si="1"/>
        <v>70</v>
      </c>
      <c r="B71" s="58" t="s">
        <v>258</v>
      </c>
      <c r="C71" s="58" t="s">
        <v>439</v>
      </c>
      <c r="D71" s="58" t="s">
        <v>1404</v>
      </c>
      <c r="E71" s="58"/>
      <c r="F71" s="58"/>
      <c r="G71" s="58"/>
    </row>
    <row r="72" spans="1:7">
      <c r="A72" s="59">
        <f t="shared" si="1"/>
        <v>71</v>
      </c>
      <c r="B72" s="58" t="s">
        <v>260</v>
      </c>
      <c r="C72" s="58" t="s">
        <v>400</v>
      </c>
      <c r="D72" s="58" t="s">
        <v>908</v>
      </c>
      <c r="E72" s="58" t="s">
        <v>909</v>
      </c>
      <c r="F72" s="58" t="s">
        <v>524</v>
      </c>
      <c r="G72" s="58" t="s">
        <v>907</v>
      </c>
    </row>
    <row r="73" spans="1:7">
      <c r="A73" s="59">
        <f t="shared" si="1"/>
        <v>72</v>
      </c>
      <c r="B73" s="58" t="s">
        <v>266</v>
      </c>
      <c r="C73" s="58" t="s">
        <v>266</v>
      </c>
      <c r="D73" s="58" t="s">
        <v>912</v>
      </c>
      <c r="E73" s="58" t="s">
        <v>913</v>
      </c>
      <c r="F73" s="58" t="s">
        <v>911</v>
      </c>
      <c r="G73" s="58" t="s">
        <v>910</v>
      </c>
    </row>
    <row r="74" spans="1:7">
      <c r="A74" s="59">
        <f t="shared" si="1"/>
        <v>73</v>
      </c>
      <c r="B74" s="58" t="s">
        <v>271</v>
      </c>
      <c r="C74" s="58" t="s">
        <v>271</v>
      </c>
      <c r="D74" s="58" t="s">
        <v>918</v>
      </c>
      <c r="E74" s="58" t="s">
        <v>919</v>
      </c>
      <c r="F74" s="58" t="s">
        <v>917</v>
      </c>
      <c r="G74" s="58" t="s">
        <v>916</v>
      </c>
    </row>
    <row r="75" spans="1:7">
      <c r="A75" s="59">
        <f t="shared" si="1"/>
        <v>74</v>
      </c>
      <c r="B75" s="58" t="s">
        <v>276</v>
      </c>
      <c r="C75" s="58" t="s">
        <v>276</v>
      </c>
      <c r="D75" s="58" t="s">
        <v>924</v>
      </c>
      <c r="E75" s="58" t="s">
        <v>925</v>
      </c>
      <c r="F75" s="58" t="s">
        <v>923</v>
      </c>
      <c r="G75" s="58" t="s">
        <v>922</v>
      </c>
    </row>
    <row r="76" spans="1:7">
      <c r="A76" s="59">
        <f t="shared" si="1"/>
        <v>75</v>
      </c>
      <c r="B76" s="58" t="s">
        <v>280</v>
      </c>
      <c r="C76" s="58" t="s">
        <v>280</v>
      </c>
      <c r="D76" s="58" t="s">
        <v>1029</v>
      </c>
      <c r="E76" s="58" t="s">
        <v>1030</v>
      </c>
      <c r="F76" s="58" t="s">
        <v>531</v>
      </c>
      <c r="G76" s="58" t="s">
        <v>1028</v>
      </c>
    </row>
    <row r="77" spans="1:7">
      <c r="A77" s="59">
        <f t="shared" si="1"/>
        <v>76</v>
      </c>
      <c r="B77" s="58" t="s">
        <v>285</v>
      </c>
      <c r="C77" s="58" t="s">
        <v>405</v>
      </c>
      <c r="D77" s="58" t="s">
        <v>928</v>
      </c>
      <c r="E77" s="58" t="s">
        <v>929</v>
      </c>
      <c r="F77" s="58" t="s">
        <v>519</v>
      </c>
      <c r="G77" s="58" t="s">
        <v>927</v>
      </c>
    </row>
    <row r="78" spans="1:7">
      <c r="A78" s="59">
        <f t="shared" si="1"/>
        <v>77</v>
      </c>
      <c r="B78" s="58" t="s">
        <v>289</v>
      </c>
      <c r="C78" s="58" t="s">
        <v>451</v>
      </c>
      <c r="D78" s="58" t="s">
        <v>931</v>
      </c>
      <c r="E78" s="58" t="s">
        <v>932</v>
      </c>
      <c r="F78" s="58" t="s">
        <v>520</v>
      </c>
      <c r="G78" s="58" t="s">
        <v>930</v>
      </c>
    </row>
    <row r="79" spans="1:7">
      <c r="A79" s="59">
        <f t="shared" si="1"/>
        <v>78</v>
      </c>
      <c r="B79" s="58" t="s">
        <v>293</v>
      </c>
      <c r="C79" s="58" t="s">
        <v>455</v>
      </c>
      <c r="D79" s="58" t="s">
        <v>936</v>
      </c>
      <c r="E79" s="58" t="s">
        <v>937</v>
      </c>
      <c r="F79" s="58" t="s">
        <v>521</v>
      </c>
      <c r="G79" s="58" t="s">
        <v>935</v>
      </c>
    </row>
    <row r="80" spans="1:7">
      <c r="A80" s="59">
        <f t="shared" si="1"/>
        <v>79</v>
      </c>
      <c r="B80" s="58" t="s">
        <v>297</v>
      </c>
      <c r="C80" s="58" t="s">
        <v>478</v>
      </c>
      <c r="D80" s="58" t="s">
        <v>941</v>
      </c>
      <c r="E80" s="58" t="s">
        <v>942</v>
      </c>
      <c r="F80" s="58" t="s">
        <v>522</v>
      </c>
      <c r="G80" s="58" t="s">
        <v>940</v>
      </c>
    </row>
    <row r="81" spans="1:7">
      <c r="A81" s="59">
        <f t="shared" si="1"/>
        <v>80</v>
      </c>
      <c r="B81" s="58" t="s">
        <v>302</v>
      </c>
      <c r="C81" s="58" t="s">
        <v>458</v>
      </c>
      <c r="D81" s="58" t="s">
        <v>947</v>
      </c>
      <c r="E81" s="58" t="s">
        <v>948</v>
      </c>
      <c r="F81" s="58" t="s">
        <v>946</v>
      </c>
      <c r="G81" s="58" t="s">
        <v>945</v>
      </c>
    </row>
    <row r="82" spans="1:7" customFormat="1" ht="12.75">
      <c r="A82" s="59">
        <f t="shared" si="1"/>
        <v>81</v>
      </c>
      <c r="B82" s="58" t="s">
        <v>306</v>
      </c>
      <c r="C82" s="58" t="s">
        <v>449</v>
      </c>
      <c r="D82" s="58" t="s">
        <v>1405</v>
      </c>
      <c r="E82" s="58"/>
      <c r="F82" s="58"/>
      <c r="G82" s="58"/>
    </row>
    <row r="83" spans="1:7">
      <c r="A83" s="59">
        <f t="shared" si="1"/>
        <v>82</v>
      </c>
      <c r="B83" s="58" t="s">
        <v>311</v>
      </c>
      <c r="C83" s="58" t="s">
        <v>311</v>
      </c>
      <c r="D83" s="58" t="s">
        <v>953</v>
      </c>
      <c r="E83" s="58" t="s">
        <v>954</v>
      </c>
      <c r="F83" s="58" t="s">
        <v>952</v>
      </c>
      <c r="G83" s="58" t="s">
        <v>951</v>
      </c>
    </row>
    <row r="84" spans="1:7" customFormat="1" ht="12.75">
      <c r="A84" s="59">
        <f t="shared" si="1"/>
        <v>83</v>
      </c>
      <c r="B84" s="58" t="s">
        <v>314</v>
      </c>
      <c r="C84" s="58" t="s">
        <v>445</v>
      </c>
      <c r="D84" s="58" t="s">
        <v>1406</v>
      </c>
      <c r="E84" s="58"/>
      <c r="F84" s="58"/>
      <c r="G84" s="58"/>
    </row>
    <row r="85" spans="1:7">
      <c r="A85" s="59">
        <f t="shared" si="1"/>
        <v>84</v>
      </c>
      <c r="B85" s="58" t="s">
        <v>317</v>
      </c>
      <c r="C85" s="58" t="s">
        <v>457</v>
      </c>
      <c r="D85" s="58" t="s">
        <v>957</v>
      </c>
      <c r="E85" s="58" t="s">
        <v>958</v>
      </c>
      <c r="F85" s="58" t="s">
        <v>956</v>
      </c>
      <c r="G85" s="58" t="s">
        <v>955</v>
      </c>
    </row>
    <row r="86" spans="1:7">
      <c r="A86" s="59">
        <f t="shared" si="1"/>
        <v>85</v>
      </c>
      <c r="B86" s="58" t="s">
        <v>321</v>
      </c>
      <c r="C86" s="58" t="s">
        <v>321</v>
      </c>
      <c r="D86" s="58" t="s">
        <v>975</v>
      </c>
      <c r="E86" s="58" t="s">
        <v>976</v>
      </c>
      <c r="F86" s="58" t="s">
        <v>974</v>
      </c>
      <c r="G86" s="58" t="s">
        <v>973</v>
      </c>
    </row>
    <row r="87" spans="1:7">
      <c r="A87" s="59">
        <f t="shared" si="1"/>
        <v>86</v>
      </c>
      <c r="B87" s="58" t="s">
        <v>324</v>
      </c>
      <c r="C87" s="58" t="s">
        <v>406</v>
      </c>
      <c r="D87" s="58" t="s">
        <v>963</v>
      </c>
      <c r="E87" s="58" t="s">
        <v>964</v>
      </c>
      <c r="F87" s="58" t="s">
        <v>536</v>
      </c>
      <c r="G87" s="58" t="s">
        <v>962</v>
      </c>
    </row>
    <row r="88" spans="1:7">
      <c r="A88" s="59">
        <f t="shared" si="1"/>
        <v>87</v>
      </c>
      <c r="B88" s="58" t="s">
        <v>329</v>
      </c>
      <c r="C88" s="58" t="s">
        <v>444</v>
      </c>
      <c r="D88" s="58" t="s">
        <v>967</v>
      </c>
      <c r="E88" s="58" t="s">
        <v>968</v>
      </c>
      <c r="F88" s="58" t="s">
        <v>525</v>
      </c>
      <c r="G88" s="58" t="s">
        <v>966</v>
      </c>
    </row>
    <row r="89" spans="1:7">
      <c r="A89" s="59">
        <f t="shared" si="1"/>
        <v>88</v>
      </c>
      <c r="B89" s="58" t="s">
        <v>334</v>
      </c>
      <c r="C89" s="58" t="s">
        <v>334</v>
      </c>
      <c r="D89" s="58" t="s">
        <v>971</v>
      </c>
      <c r="E89" s="58" t="s">
        <v>972</v>
      </c>
      <c r="F89" s="58" t="s">
        <v>970</v>
      </c>
      <c r="G89" s="58" t="s">
        <v>969</v>
      </c>
    </row>
    <row r="90" spans="1:7">
      <c r="A90" s="59">
        <f t="shared" si="1"/>
        <v>89</v>
      </c>
      <c r="B90" s="58" t="s">
        <v>338</v>
      </c>
      <c r="C90" s="58" t="s">
        <v>483</v>
      </c>
      <c r="D90" s="58" t="s">
        <v>673</v>
      </c>
      <c r="E90" s="58" t="s">
        <v>674</v>
      </c>
      <c r="F90" s="58" t="s">
        <v>672</v>
      </c>
      <c r="G90" s="58" t="s">
        <v>671</v>
      </c>
    </row>
    <row r="91" spans="1:7">
      <c r="A91" s="59">
        <f t="shared" si="1"/>
        <v>90</v>
      </c>
      <c r="B91" s="58" t="s">
        <v>340</v>
      </c>
      <c r="C91" s="58" t="s">
        <v>480</v>
      </c>
      <c r="D91" s="58" t="s">
        <v>1000</v>
      </c>
      <c r="E91" s="58" t="s">
        <v>1001</v>
      </c>
      <c r="F91" s="58" t="s">
        <v>999</v>
      </c>
      <c r="G91" s="58" t="s">
        <v>998</v>
      </c>
    </row>
    <row r="92" spans="1:7" customFormat="1" ht="12.75">
      <c r="A92" s="59">
        <f t="shared" si="1"/>
        <v>91</v>
      </c>
      <c r="B92" s="58" t="s">
        <v>344</v>
      </c>
      <c r="C92" s="58" t="s">
        <v>452</v>
      </c>
      <c r="D92" s="58" t="s">
        <v>1407</v>
      </c>
      <c r="E92" s="58"/>
      <c r="F92" s="58"/>
      <c r="G92" s="58"/>
    </row>
    <row r="93" spans="1:7">
      <c r="A93" s="59">
        <f t="shared" si="1"/>
        <v>92</v>
      </c>
      <c r="B93" s="58" t="s">
        <v>347</v>
      </c>
      <c r="C93" s="58" t="s">
        <v>441</v>
      </c>
      <c r="D93" s="58" t="s">
        <v>983</v>
      </c>
      <c r="E93" s="58" t="s">
        <v>984</v>
      </c>
      <c r="F93" s="58" t="s">
        <v>982</v>
      </c>
      <c r="G93" s="58" t="s">
        <v>981</v>
      </c>
    </row>
    <row r="94" spans="1:7">
      <c r="A94" s="59">
        <f t="shared" si="1"/>
        <v>93</v>
      </c>
      <c r="B94" s="58" t="s">
        <v>351</v>
      </c>
      <c r="C94" s="58" t="s">
        <v>351</v>
      </c>
      <c r="D94" s="58" t="s">
        <v>987</v>
      </c>
      <c r="E94" s="58" t="s">
        <v>988</v>
      </c>
      <c r="F94" s="58" t="s">
        <v>986</v>
      </c>
      <c r="G94" s="58" t="s">
        <v>985</v>
      </c>
    </row>
    <row r="95" spans="1:7">
      <c r="A95" s="59">
        <f t="shared" si="1"/>
        <v>94</v>
      </c>
      <c r="B95" s="58" t="s">
        <v>356</v>
      </c>
      <c r="C95" s="58" t="s">
        <v>394</v>
      </c>
      <c r="D95" s="58" t="s">
        <v>991</v>
      </c>
      <c r="E95" s="58" t="s">
        <v>992</v>
      </c>
      <c r="F95" s="58" t="s">
        <v>990</v>
      </c>
      <c r="G95" s="58" t="s">
        <v>989</v>
      </c>
    </row>
    <row r="96" spans="1:7">
      <c r="A96" s="59">
        <f t="shared" si="1"/>
        <v>95</v>
      </c>
      <c r="B96" s="58" t="s">
        <v>361</v>
      </c>
      <c r="C96" s="58" t="s">
        <v>361</v>
      </c>
      <c r="D96" s="58" t="s">
        <v>979</v>
      </c>
      <c r="E96" s="58" t="s">
        <v>980</v>
      </c>
      <c r="F96" s="58" t="s">
        <v>978</v>
      </c>
      <c r="G96" s="58" t="s">
        <v>977</v>
      </c>
    </row>
    <row r="97" spans="1:7">
      <c r="A97" s="59">
        <f t="shared" si="1"/>
        <v>96</v>
      </c>
      <c r="B97" s="58" t="s">
        <v>366</v>
      </c>
      <c r="C97" s="58" t="s">
        <v>442</v>
      </c>
      <c r="D97" s="58" t="s">
        <v>996</v>
      </c>
      <c r="E97" s="58" t="s">
        <v>997</v>
      </c>
      <c r="F97" s="58" t="s">
        <v>533</v>
      </c>
      <c r="G97" s="58" t="s">
        <v>995</v>
      </c>
    </row>
    <row r="98" spans="1:7">
      <c r="A98" s="59">
        <f t="shared" si="1"/>
        <v>97</v>
      </c>
      <c r="B98" s="58" t="s">
        <v>371</v>
      </c>
      <c r="C98" s="58" t="s">
        <v>462</v>
      </c>
      <c r="D98" s="58" t="s">
        <v>1017</v>
      </c>
      <c r="E98" s="58" t="s">
        <v>1018</v>
      </c>
      <c r="F98" s="58" t="s">
        <v>1016</v>
      </c>
      <c r="G98" s="58" t="s">
        <v>1015</v>
      </c>
    </row>
    <row r="99" spans="1:7">
      <c r="A99" s="59">
        <f t="shared" si="1"/>
        <v>98</v>
      </c>
      <c r="B99" s="58" t="s">
        <v>375</v>
      </c>
      <c r="C99" s="58" t="s">
        <v>479</v>
      </c>
      <c r="D99" s="58" t="s">
        <v>1006</v>
      </c>
      <c r="E99" s="58" t="s">
        <v>1007</v>
      </c>
      <c r="F99" s="58" t="s">
        <v>1005</v>
      </c>
      <c r="G99" s="58" t="s">
        <v>1004</v>
      </c>
    </row>
    <row r="100" spans="1:7">
      <c r="A100" s="59">
        <f t="shared" si="1"/>
        <v>99</v>
      </c>
      <c r="B100" s="58" t="s">
        <v>379</v>
      </c>
      <c r="C100" s="58" t="s">
        <v>379</v>
      </c>
      <c r="D100" s="58" t="s">
        <v>1009</v>
      </c>
      <c r="E100" s="58" t="s">
        <v>1010</v>
      </c>
      <c r="F100" s="58" t="s">
        <v>523</v>
      </c>
      <c r="G100" s="58" t="s">
        <v>1008</v>
      </c>
    </row>
    <row r="101" spans="1:7">
      <c r="A101" s="59">
        <f t="shared" si="1"/>
        <v>100</v>
      </c>
      <c r="B101" s="58" t="s">
        <v>385</v>
      </c>
      <c r="C101" s="58" t="s">
        <v>385</v>
      </c>
      <c r="D101" s="58" t="s">
        <v>1013</v>
      </c>
      <c r="E101" s="58" t="s">
        <v>1014</v>
      </c>
      <c r="F101" s="58" t="s">
        <v>1012</v>
      </c>
      <c r="G101" s="58" t="s">
        <v>1011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E34A7-D965-4731-AF49-E5B3F6EC1797}">
  <dimension ref="A1:W161"/>
  <sheetViews>
    <sheetView tabSelected="1" workbookViewId="0">
      <selection activeCell="A2" sqref="A2"/>
    </sheetView>
  </sheetViews>
  <sheetFormatPr defaultRowHeight="14.25"/>
  <cols>
    <col min="1" max="1" width="22.140625" style="87" bestFit="1" customWidth="1"/>
    <col min="2" max="2" width="10.7109375" style="87" customWidth="1"/>
    <col min="3" max="3" width="16.5703125" style="87" bestFit="1" customWidth="1"/>
    <col min="4" max="13" width="10.7109375" style="87" customWidth="1"/>
    <col min="14" max="14" width="12.140625" style="87" customWidth="1"/>
    <col min="15" max="15" width="11.42578125" style="87" customWidth="1"/>
    <col min="16" max="20" width="21" style="87" customWidth="1"/>
    <col min="21" max="21" width="19.85546875" style="87" customWidth="1"/>
    <col min="22" max="22" width="20.42578125" style="87" bestFit="1" customWidth="1"/>
    <col min="23" max="16384" width="9.140625" style="87"/>
  </cols>
  <sheetData>
    <row r="1" spans="1:23">
      <c r="A1" s="87" t="s">
        <v>566</v>
      </c>
      <c r="B1" s="87" t="s">
        <v>502</v>
      </c>
      <c r="C1" s="87" t="s">
        <v>557</v>
      </c>
      <c r="D1" s="87" t="s">
        <v>1106</v>
      </c>
      <c r="E1" s="87" t="s">
        <v>1394</v>
      </c>
      <c r="F1" s="87" t="s">
        <v>1109</v>
      </c>
      <c r="G1" s="87" t="s">
        <v>1107</v>
      </c>
      <c r="H1" s="87" t="s">
        <v>1395</v>
      </c>
      <c r="I1" s="87" t="s">
        <v>1380</v>
      </c>
      <c r="J1" s="87" t="s">
        <v>1381</v>
      </c>
      <c r="K1" s="87" t="s">
        <v>1382</v>
      </c>
      <c r="L1" s="87" t="s">
        <v>1396</v>
      </c>
      <c r="M1" s="87" t="s">
        <v>1399</v>
      </c>
      <c r="N1" s="87" t="s">
        <v>1112</v>
      </c>
      <c r="O1" s="87" t="s">
        <v>1383</v>
      </c>
      <c r="P1" s="87" t="s">
        <v>1384</v>
      </c>
      <c r="Q1" s="87" t="s">
        <v>1398</v>
      </c>
      <c r="R1" s="87" t="s">
        <v>1385</v>
      </c>
      <c r="S1" s="87" t="s">
        <v>1386</v>
      </c>
      <c r="T1" s="87" t="s">
        <v>1387</v>
      </c>
      <c r="U1" s="87" t="s">
        <v>1397</v>
      </c>
      <c r="V1" s="87" t="s">
        <v>1388</v>
      </c>
    </row>
    <row r="2" spans="1:23">
      <c r="A2" s="61" t="s">
        <v>62</v>
      </c>
      <c r="B2" s="61">
        <v>1</v>
      </c>
      <c r="C2" s="61" t="s">
        <v>585</v>
      </c>
      <c r="D2" s="61" t="s">
        <v>1126</v>
      </c>
      <c r="E2" s="83" t="s">
        <v>1096</v>
      </c>
      <c r="G2" s="61" t="s">
        <v>1127</v>
      </c>
      <c r="H2" s="61">
        <v>100</v>
      </c>
      <c r="I2" s="61">
        <v>1</v>
      </c>
      <c r="J2" s="61">
        <v>1</v>
      </c>
      <c r="K2" s="61">
        <v>0</v>
      </c>
      <c r="L2" s="61">
        <v>50</v>
      </c>
      <c r="M2" s="61">
        <v>0.5</v>
      </c>
      <c r="N2" s="84">
        <v>2002</v>
      </c>
      <c r="O2" s="61">
        <v>2025</v>
      </c>
      <c r="P2" s="61">
        <v>2015</v>
      </c>
      <c r="Q2" s="61">
        <v>18300000</v>
      </c>
      <c r="R2" s="61">
        <v>9150000</v>
      </c>
      <c r="S2" s="61">
        <v>9150000</v>
      </c>
      <c r="T2" s="61">
        <v>0</v>
      </c>
      <c r="U2" s="83">
        <v>136.28415300546447</v>
      </c>
      <c r="V2" s="83">
        <v>1.3628</v>
      </c>
    </row>
    <row r="3" spans="1:23" ht="15">
      <c r="A3" s="61" t="s">
        <v>68</v>
      </c>
      <c r="B3" s="61">
        <v>3</v>
      </c>
      <c r="C3" s="61" t="s">
        <v>537</v>
      </c>
      <c r="D3" s="61" t="s">
        <v>1126</v>
      </c>
      <c r="E3" s="83" t="s">
        <v>1096</v>
      </c>
      <c r="G3" s="61" t="s">
        <v>1127</v>
      </c>
      <c r="H3" s="61">
        <v>100</v>
      </c>
      <c r="I3" s="61">
        <v>1</v>
      </c>
      <c r="J3" s="61">
        <v>1</v>
      </c>
      <c r="K3" s="61">
        <v>0</v>
      </c>
      <c r="L3" s="61">
        <v>25</v>
      </c>
      <c r="M3" s="61">
        <v>0.25</v>
      </c>
      <c r="N3" s="84">
        <v>2015</v>
      </c>
      <c r="O3" s="61">
        <v>2025</v>
      </c>
      <c r="P3" s="61">
        <v>2016</v>
      </c>
      <c r="Q3" s="61">
        <v>665467</v>
      </c>
      <c r="R3" s="61">
        <v>332733.5</v>
      </c>
      <c r="S3" s="61">
        <v>332733.5</v>
      </c>
      <c r="T3" s="61">
        <v>0</v>
      </c>
      <c r="U3" s="83">
        <v>64.53332772323796</v>
      </c>
      <c r="V3" s="83">
        <v>0.64529999999999998</v>
      </c>
      <c r="W3" s="89"/>
    </row>
    <row r="4" spans="1:23">
      <c r="A4" s="61" t="s">
        <v>68</v>
      </c>
      <c r="B4" s="61">
        <v>3</v>
      </c>
      <c r="C4" s="61" t="s">
        <v>537</v>
      </c>
      <c r="D4" s="61" t="s">
        <v>1126</v>
      </c>
      <c r="E4" s="83" t="s">
        <v>1096</v>
      </c>
      <c r="G4" s="61" t="s">
        <v>1127</v>
      </c>
      <c r="H4" s="61">
        <v>100</v>
      </c>
      <c r="I4" s="61">
        <v>1</v>
      </c>
      <c r="J4" s="61">
        <v>1</v>
      </c>
      <c r="K4" s="61">
        <v>0</v>
      </c>
      <c r="L4" s="61">
        <v>50</v>
      </c>
      <c r="M4" s="61">
        <v>0.5</v>
      </c>
      <c r="N4" s="84">
        <v>2015</v>
      </c>
      <c r="O4" s="61">
        <v>2035</v>
      </c>
      <c r="P4" s="61">
        <v>2016</v>
      </c>
      <c r="Q4" s="61">
        <v>665467</v>
      </c>
      <c r="R4" s="61">
        <v>332733.5</v>
      </c>
      <c r="S4" s="61">
        <v>332733.5</v>
      </c>
      <c r="T4" s="61">
        <v>0</v>
      </c>
      <c r="U4" s="83">
        <v>32.26666386161898</v>
      </c>
      <c r="V4" s="83">
        <v>0.32269999999999999</v>
      </c>
    </row>
    <row r="5" spans="1:23">
      <c r="A5" s="61" t="s">
        <v>71</v>
      </c>
      <c r="B5" s="61">
        <v>4</v>
      </c>
      <c r="C5" s="61" t="s">
        <v>530</v>
      </c>
      <c r="D5" s="61" t="s">
        <v>1126</v>
      </c>
      <c r="E5" s="83" t="s">
        <v>1096</v>
      </c>
      <c r="G5" s="61" t="s">
        <v>1127</v>
      </c>
      <c r="H5" s="61">
        <v>100</v>
      </c>
      <c r="I5" s="61">
        <v>1</v>
      </c>
      <c r="J5" s="61">
        <v>1</v>
      </c>
      <c r="K5" s="61">
        <v>0</v>
      </c>
      <c r="L5" s="61">
        <v>11</v>
      </c>
      <c r="M5" s="61">
        <v>0.11</v>
      </c>
      <c r="N5" s="84">
        <v>2016</v>
      </c>
      <c r="O5" s="61">
        <v>2025</v>
      </c>
      <c r="P5" s="61">
        <v>2016</v>
      </c>
      <c r="Q5" s="61">
        <v>1257636</v>
      </c>
      <c r="R5" s="61">
        <v>628818</v>
      </c>
      <c r="S5" s="61">
        <v>628818</v>
      </c>
      <c r="T5" s="61">
        <v>0</v>
      </c>
      <c r="U5" s="83">
        <v>66.05466706799686</v>
      </c>
      <c r="V5" s="83">
        <v>0.66049999999999998</v>
      </c>
    </row>
    <row r="6" spans="1:23">
      <c r="A6" s="61" t="s">
        <v>73</v>
      </c>
      <c r="B6" s="61">
        <v>5</v>
      </c>
      <c r="C6" s="61" t="s">
        <v>513</v>
      </c>
      <c r="D6" s="61" t="s">
        <v>1126</v>
      </c>
      <c r="E6" s="83" t="s">
        <v>1096</v>
      </c>
      <c r="G6" s="61" t="s">
        <v>1127</v>
      </c>
      <c r="H6" s="61">
        <v>100</v>
      </c>
      <c r="I6" s="61">
        <v>1</v>
      </c>
      <c r="J6" s="61">
        <v>1</v>
      </c>
      <c r="K6" s="61">
        <v>0</v>
      </c>
      <c r="L6" s="61">
        <v>25</v>
      </c>
      <c r="M6" s="61">
        <v>0.25</v>
      </c>
      <c r="N6" s="84">
        <v>2015</v>
      </c>
      <c r="O6" s="61">
        <v>2025</v>
      </c>
      <c r="P6" s="61">
        <v>2016</v>
      </c>
      <c r="Q6" s="61">
        <v>64736</v>
      </c>
      <c r="R6" s="61">
        <v>32368</v>
      </c>
      <c r="S6" s="61">
        <v>32368</v>
      </c>
      <c r="T6" s="61">
        <v>0</v>
      </c>
      <c r="U6" s="83">
        <v>55.771131982204651</v>
      </c>
      <c r="V6" s="83">
        <v>0.55769999999999997</v>
      </c>
    </row>
    <row r="7" spans="1:23">
      <c r="A7" s="61" t="s">
        <v>73</v>
      </c>
      <c r="B7" s="61">
        <v>5</v>
      </c>
      <c r="C7" s="61" t="s">
        <v>513</v>
      </c>
      <c r="D7" s="61" t="s">
        <v>1126</v>
      </c>
      <c r="E7" s="83" t="s">
        <v>1096</v>
      </c>
      <c r="G7" s="61" t="s">
        <v>1127</v>
      </c>
      <c r="H7" s="61">
        <v>100</v>
      </c>
      <c r="I7" s="61">
        <v>1</v>
      </c>
      <c r="J7" s="61">
        <v>1</v>
      </c>
      <c r="K7" s="61">
        <v>0</v>
      </c>
      <c r="L7" s="61">
        <v>80</v>
      </c>
      <c r="M7" s="61">
        <v>0.8</v>
      </c>
      <c r="N7" s="84">
        <v>2015</v>
      </c>
      <c r="O7" s="61">
        <v>2035</v>
      </c>
      <c r="P7" s="61">
        <v>2016</v>
      </c>
      <c r="Q7" s="61">
        <v>64736</v>
      </c>
      <c r="R7" s="61">
        <v>32368</v>
      </c>
      <c r="S7" s="61">
        <v>32368</v>
      </c>
      <c r="T7" s="61">
        <v>0</v>
      </c>
      <c r="U7" s="83">
        <v>17.428478744438952</v>
      </c>
      <c r="V7" s="83">
        <v>0.17430000000000001</v>
      </c>
    </row>
    <row r="8" spans="1:23">
      <c r="A8" s="61" t="s">
        <v>73</v>
      </c>
      <c r="B8" s="61">
        <v>5</v>
      </c>
      <c r="C8" s="61" t="s">
        <v>513</v>
      </c>
      <c r="D8" s="61" t="s">
        <v>1126</v>
      </c>
      <c r="E8" s="83" t="s">
        <v>1096</v>
      </c>
      <c r="G8" s="61" t="s">
        <v>1141</v>
      </c>
      <c r="H8" s="61">
        <v>100</v>
      </c>
      <c r="I8" s="61">
        <v>0</v>
      </c>
      <c r="J8" s="61">
        <v>0</v>
      </c>
      <c r="K8" s="61">
        <v>1</v>
      </c>
      <c r="L8" s="61">
        <v>100</v>
      </c>
      <c r="M8" s="61">
        <v>1</v>
      </c>
      <c r="N8" s="84">
        <v>2013</v>
      </c>
      <c r="O8" s="61">
        <v>2020</v>
      </c>
      <c r="P8" s="61">
        <v>2014</v>
      </c>
      <c r="Q8" s="61">
        <v>10444</v>
      </c>
      <c r="R8" s="61">
        <v>0</v>
      </c>
      <c r="S8" s="61">
        <v>0</v>
      </c>
      <c r="T8" s="61">
        <v>10444</v>
      </c>
      <c r="U8" s="83">
        <v>100</v>
      </c>
      <c r="V8" s="83">
        <v>1</v>
      </c>
    </row>
    <row r="9" spans="1:23">
      <c r="A9" s="61" t="s">
        <v>78</v>
      </c>
      <c r="B9" s="61">
        <v>7</v>
      </c>
      <c r="C9" s="61" t="s">
        <v>1408</v>
      </c>
      <c r="D9" s="61" t="s">
        <v>1126</v>
      </c>
      <c r="E9" s="83" t="s">
        <v>1096</v>
      </c>
      <c r="G9" s="61" t="s">
        <v>1127</v>
      </c>
      <c r="H9" s="61">
        <v>100</v>
      </c>
      <c r="I9" s="61">
        <v>1</v>
      </c>
      <c r="J9" s="61">
        <v>1</v>
      </c>
      <c r="K9" s="61">
        <v>0</v>
      </c>
      <c r="L9" s="61">
        <v>100</v>
      </c>
      <c r="M9" s="61">
        <v>1</v>
      </c>
      <c r="N9" s="84">
        <v>2019</v>
      </c>
      <c r="O9" s="61">
        <v>2019</v>
      </c>
      <c r="P9" s="61">
        <v>2019</v>
      </c>
      <c r="Q9" s="61">
        <v>1402953</v>
      </c>
      <c r="R9" s="61">
        <v>701476.5</v>
      </c>
      <c r="S9" s="61">
        <v>701476.5</v>
      </c>
      <c r="T9" s="61">
        <v>0</v>
      </c>
      <c r="U9" s="83">
        <v>100</v>
      </c>
      <c r="V9" s="83">
        <v>1</v>
      </c>
    </row>
    <row r="10" spans="1:23">
      <c r="A10" s="61" t="s">
        <v>78</v>
      </c>
      <c r="B10" s="61">
        <v>7</v>
      </c>
      <c r="C10" s="61" t="s">
        <v>1408</v>
      </c>
      <c r="D10" s="61" t="s">
        <v>1126</v>
      </c>
      <c r="E10" s="83" t="s">
        <v>1096</v>
      </c>
      <c r="G10" s="61" t="s">
        <v>1127</v>
      </c>
      <c r="H10" s="61">
        <v>100</v>
      </c>
      <c r="I10" s="61">
        <v>1</v>
      </c>
      <c r="J10" s="61">
        <v>1</v>
      </c>
      <c r="K10" s="61">
        <v>0</v>
      </c>
      <c r="L10" s="61">
        <v>100</v>
      </c>
      <c r="M10" s="61">
        <v>1</v>
      </c>
      <c r="N10" s="84">
        <v>2015</v>
      </c>
      <c r="O10" s="61">
        <v>2025</v>
      </c>
      <c r="P10" s="61">
        <v>2015</v>
      </c>
      <c r="Q10" s="61">
        <v>1451418</v>
      </c>
      <c r="R10" s="61">
        <v>725709</v>
      </c>
      <c r="S10" s="61">
        <v>725709</v>
      </c>
      <c r="T10" s="61">
        <v>0</v>
      </c>
      <c r="U10" s="83">
        <v>100</v>
      </c>
      <c r="V10" s="83">
        <v>1</v>
      </c>
    </row>
    <row r="11" spans="1:23">
      <c r="A11" s="61" t="s">
        <v>78</v>
      </c>
      <c r="B11" s="61">
        <v>7</v>
      </c>
      <c r="C11" s="61" t="s">
        <v>1408</v>
      </c>
      <c r="D11" s="61" t="s">
        <v>1126</v>
      </c>
      <c r="E11" s="83" t="s">
        <v>1096</v>
      </c>
      <c r="G11" s="61" t="s">
        <v>1127</v>
      </c>
      <c r="H11" s="61">
        <v>100</v>
      </c>
      <c r="I11" s="61">
        <v>1</v>
      </c>
      <c r="J11" s="61">
        <v>1</v>
      </c>
      <c r="K11" s="61">
        <v>0</v>
      </c>
      <c r="L11" s="61">
        <v>100</v>
      </c>
      <c r="M11" s="61">
        <v>1</v>
      </c>
      <c r="N11" s="84">
        <v>2015</v>
      </c>
      <c r="O11" s="61">
        <v>2040</v>
      </c>
      <c r="P11" s="61">
        <v>2015</v>
      </c>
      <c r="Q11" s="61">
        <v>1451418</v>
      </c>
      <c r="R11" s="61">
        <v>725709</v>
      </c>
      <c r="S11" s="61">
        <v>725709</v>
      </c>
      <c r="T11" s="61">
        <v>0</v>
      </c>
      <c r="U11" s="83">
        <v>100</v>
      </c>
      <c r="V11" s="83">
        <v>1</v>
      </c>
    </row>
    <row r="12" spans="1:23">
      <c r="A12" s="61" t="s">
        <v>81</v>
      </c>
      <c r="B12" s="61">
        <v>8</v>
      </c>
      <c r="C12" s="61" t="s">
        <v>527</v>
      </c>
      <c r="D12" s="61" t="s">
        <v>1126</v>
      </c>
      <c r="E12" s="83" t="s">
        <v>1096</v>
      </c>
      <c r="G12" s="61" t="s">
        <v>1127</v>
      </c>
      <c r="H12" s="61">
        <v>100</v>
      </c>
      <c r="I12" s="61">
        <v>1</v>
      </c>
      <c r="J12" s="61">
        <v>1</v>
      </c>
      <c r="K12" s="61">
        <v>0</v>
      </c>
      <c r="L12" s="61">
        <v>20</v>
      </c>
      <c r="M12" s="61">
        <v>0.2</v>
      </c>
      <c r="N12" s="84">
        <v>2015</v>
      </c>
      <c r="O12" s="61">
        <v>2025</v>
      </c>
      <c r="P12" s="61">
        <v>2016</v>
      </c>
      <c r="Q12" s="61">
        <v>392172</v>
      </c>
      <c r="R12" s="61">
        <v>196086</v>
      </c>
      <c r="S12" s="61">
        <v>196086</v>
      </c>
      <c r="T12" s="61">
        <v>0</v>
      </c>
      <c r="U12" s="83">
        <v>110.16339769284902</v>
      </c>
      <c r="V12" s="83">
        <v>1.1015999999999999</v>
      </c>
    </row>
    <row r="13" spans="1:23">
      <c r="A13" s="61" t="s">
        <v>81</v>
      </c>
      <c r="B13" s="61">
        <v>8</v>
      </c>
      <c r="C13" s="61" t="s">
        <v>527</v>
      </c>
      <c r="D13" s="61" t="s">
        <v>1126</v>
      </c>
      <c r="E13" s="83" t="s">
        <v>1096</v>
      </c>
      <c r="G13" s="61" t="s">
        <v>1141</v>
      </c>
      <c r="H13" s="61">
        <v>100</v>
      </c>
      <c r="I13" s="61">
        <v>0</v>
      </c>
      <c r="J13" s="61">
        <v>0</v>
      </c>
      <c r="K13" s="61">
        <v>1</v>
      </c>
      <c r="L13" s="61">
        <v>15</v>
      </c>
      <c r="M13" s="61">
        <v>0.15</v>
      </c>
      <c r="N13" s="84">
        <v>2017</v>
      </c>
      <c r="O13" s="61">
        <v>2030</v>
      </c>
      <c r="P13" s="61">
        <v>2018</v>
      </c>
      <c r="Q13" s="61">
        <v>5264365</v>
      </c>
      <c r="R13" s="61">
        <v>0</v>
      </c>
      <c r="S13" s="61">
        <v>0</v>
      </c>
      <c r="T13" s="61">
        <v>5264365</v>
      </c>
      <c r="U13" s="83">
        <v>4.6389893811187735</v>
      </c>
      <c r="V13" s="83">
        <v>4.6399999999999997E-2</v>
      </c>
    </row>
    <row r="14" spans="1:23">
      <c r="A14" s="61" t="s">
        <v>81</v>
      </c>
      <c r="B14" s="61">
        <v>8</v>
      </c>
      <c r="C14" s="61" t="s">
        <v>527</v>
      </c>
      <c r="D14" s="61" t="s">
        <v>1126</v>
      </c>
      <c r="E14" s="83" t="s">
        <v>1096</v>
      </c>
      <c r="G14" s="61" t="s">
        <v>1127</v>
      </c>
      <c r="H14" s="61">
        <v>100</v>
      </c>
      <c r="I14" s="61">
        <v>1</v>
      </c>
      <c r="J14" s="61">
        <v>1</v>
      </c>
      <c r="K14" s="61">
        <v>0</v>
      </c>
      <c r="L14" s="61">
        <v>55</v>
      </c>
      <c r="M14" s="61">
        <v>0.55000000000000004</v>
      </c>
      <c r="N14" s="84">
        <v>2017</v>
      </c>
      <c r="O14" s="61">
        <v>2030</v>
      </c>
      <c r="P14" s="61">
        <v>2019</v>
      </c>
      <c r="Q14" s="61">
        <v>337007</v>
      </c>
      <c r="R14" s="61">
        <v>168503.5</v>
      </c>
      <c r="S14" s="61">
        <v>168503.5</v>
      </c>
      <c r="T14" s="61">
        <v>0</v>
      </c>
      <c r="U14" s="83">
        <v>18.662142707043852</v>
      </c>
      <c r="V14" s="83">
        <v>0.18659999999999999</v>
      </c>
    </row>
    <row r="15" spans="1:23">
      <c r="A15" s="61" t="s">
        <v>81</v>
      </c>
      <c r="B15" s="61">
        <v>8</v>
      </c>
      <c r="C15" s="61" t="s">
        <v>527</v>
      </c>
      <c r="D15" s="61" t="s">
        <v>1126</v>
      </c>
      <c r="E15" s="83" t="s">
        <v>1096</v>
      </c>
      <c r="G15" s="61" t="s">
        <v>1141</v>
      </c>
      <c r="H15" s="61">
        <v>100</v>
      </c>
      <c r="I15" s="61">
        <v>0</v>
      </c>
      <c r="J15" s="61">
        <v>0</v>
      </c>
      <c r="K15" s="61">
        <v>1</v>
      </c>
      <c r="L15" s="61">
        <v>18</v>
      </c>
      <c r="M15" s="61">
        <v>0.18</v>
      </c>
      <c r="N15" s="84">
        <v>2017</v>
      </c>
      <c r="O15" s="61">
        <v>2030</v>
      </c>
      <c r="P15" s="61">
        <v>2019</v>
      </c>
      <c r="Q15" s="61">
        <v>5264365</v>
      </c>
      <c r="R15" s="61">
        <v>0</v>
      </c>
      <c r="S15" s="61">
        <v>0</v>
      </c>
      <c r="T15" s="61">
        <v>5264365</v>
      </c>
      <c r="U15" s="83">
        <v>3.865824484265644</v>
      </c>
      <c r="V15" s="83">
        <v>3.8699999999999998E-2</v>
      </c>
    </row>
    <row r="16" spans="1:23">
      <c r="A16" s="61" t="s">
        <v>88</v>
      </c>
      <c r="B16" s="61">
        <v>10</v>
      </c>
      <c r="C16" s="61" t="s">
        <v>545</v>
      </c>
      <c r="D16" s="61" t="s">
        <v>1126</v>
      </c>
      <c r="E16" s="83" t="s">
        <v>1096</v>
      </c>
      <c r="G16" s="61" t="s">
        <v>1157</v>
      </c>
      <c r="H16" s="61">
        <v>100</v>
      </c>
      <c r="I16" s="61">
        <v>1</v>
      </c>
      <c r="J16" s="61">
        <v>1</v>
      </c>
      <c r="K16" s="61">
        <v>1</v>
      </c>
      <c r="L16" s="61">
        <v>100</v>
      </c>
      <c r="M16" s="61">
        <v>1</v>
      </c>
      <c r="N16" s="84">
        <v>2011</v>
      </c>
      <c r="O16" s="61">
        <v>2025</v>
      </c>
      <c r="P16" s="61">
        <v>2018</v>
      </c>
      <c r="Q16" s="61">
        <v>188349</v>
      </c>
      <c r="R16" s="61">
        <v>62783</v>
      </c>
      <c r="S16" s="61">
        <v>62783</v>
      </c>
      <c r="T16" s="61">
        <v>62783</v>
      </c>
      <c r="U16" s="83">
        <v>100</v>
      </c>
      <c r="V16" s="83">
        <v>1</v>
      </c>
    </row>
    <row r="17" spans="1:22">
      <c r="A17" s="61" t="s">
        <v>88</v>
      </c>
      <c r="B17" s="61">
        <v>10</v>
      </c>
      <c r="C17" s="61" t="s">
        <v>545</v>
      </c>
      <c r="D17" s="61" t="s">
        <v>1126</v>
      </c>
      <c r="E17" s="83" t="s">
        <v>1096</v>
      </c>
      <c r="G17" s="61" t="s">
        <v>1157</v>
      </c>
      <c r="H17" s="61">
        <v>100</v>
      </c>
      <c r="I17" s="61">
        <v>1</v>
      </c>
      <c r="J17" s="61">
        <v>1</v>
      </c>
      <c r="K17" s="61">
        <v>1</v>
      </c>
      <c r="L17" s="61">
        <v>100</v>
      </c>
      <c r="M17" s="61">
        <v>1</v>
      </c>
      <c r="N17" s="84">
        <v>2011</v>
      </c>
      <c r="O17" s="61">
        <v>2040</v>
      </c>
      <c r="P17" s="61">
        <v>2018</v>
      </c>
      <c r="Q17" s="61">
        <v>188349</v>
      </c>
      <c r="R17" s="61">
        <v>62783</v>
      </c>
      <c r="S17" s="61">
        <v>62783</v>
      </c>
      <c r="T17" s="61">
        <v>62783</v>
      </c>
      <c r="U17" s="83">
        <v>100</v>
      </c>
      <c r="V17" s="83">
        <v>1</v>
      </c>
    </row>
    <row r="18" spans="1:22">
      <c r="A18" s="61" t="s">
        <v>414</v>
      </c>
      <c r="B18" s="61">
        <v>11</v>
      </c>
      <c r="C18" s="61" t="s">
        <v>544</v>
      </c>
      <c r="D18" s="61" t="s">
        <v>1126</v>
      </c>
      <c r="E18" s="83" t="s">
        <v>1096</v>
      </c>
      <c r="G18" s="61" t="s">
        <v>1127</v>
      </c>
      <c r="H18" s="61">
        <v>23</v>
      </c>
      <c r="I18" s="61">
        <v>0.23</v>
      </c>
      <c r="J18" s="61">
        <v>0.23</v>
      </c>
      <c r="K18" s="61">
        <v>0</v>
      </c>
      <c r="L18" s="61">
        <v>20</v>
      </c>
      <c r="M18" s="61">
        <v>0.2</v>
      </c>
      <c r="N18" s="84">
        <v>2010</v>
      </c>
      <c r="O18" s="61">
        <v>2020</v>
      </c>
      <c r="P18" s="61">
        <v>2010</v>
      </c>
      <c r="Q18" s="61">
        <v>3964</v>
      </c>
      <c r="R18" s="61">
        <v>1982</v>
      </c>
      <c r="S18" s="61">
        <v>1982</v>
      </c>
      <c r="T18" s="61">
        <v>0</v>
      </c>
      <c r="U18" s="83">
        <v>344.60141271442978</v>
      </c>
      <c r="V18" s="83">
        <v>3.4460000000000002</v>
      </c>
    </row>
    <row r="19" spans="1:22">
      <c r="A19" s="61" t="s">
        <v>91</v>
      </c>
      <c r="B19" s="61">
        <v>12</v>
      </c>
      <c r="C19" s="61" t="s">
        <v>543</v>
      </c>
      <c r="D19" s="61" t="s">
        <v>1126</v>
      </c>
      <c r="E19" s="83" t="s">
        <v>1096</v>
      </c>
      <c r="G19" s="61" t="s">
        <v>1164</v>
      </c>
      <c r="H19" s="61">
        <v>26</v>
      </c>
      <c r="I19" s="61">
        <v>0.26</v>
      </c>
      <c r="J19" s="61">
        <v>0</v>
      </c>
      <c r="K19" s="61">
        <v>0</v>
      </c>
      <c r="L19" s="61">
        <v>60</v>
      </c>
      <c r="M19" s="61">
        <v>0.6</v>
      </c>
      <c r="N19" s="84">
        <v>2017</v>
      </c>
      <c r="O19" s="61">
        <v>2027</v>
      </c>
      <c r="P19" s="61">
        <v>2018</v>
      </c>
      <c r="Q19" s="61">
        <v>651065</v>
      </c>
      <c r="R19" s="61">
        <v>651065</v>
      </c>
      <c r="S19" s="61">
        <v>0</v>
      </c>
      <c r="T19" s="61">
        <v>0</v>
      </c>
      <c r="U19" s="83">
        <v>24.26383438417567</v>
      </c>
      <c r="V19" s="83">
        <v>0.24260000000000001</v>
      </c>
    </row>
    <row r="20" spans="1:22">
      <c r="A20" s="61" t="s">
        <v>93</v>
      </c>
      <c r="B20" s="61">
        <v>13</v>
      </c>
      <c r="C20" s="61" t="s">
        <v>542</v>
      </c>
      <c r="D20" s="61" t="s">
        <v>1126</v>
      </c>
      <c r="E20" s="83" t="s">
        <v>1096</v>
      </c>
      <c r="G20" s="61" t="s">
        <v>1127</v>
      </c>
      <c r="H20" s="61">
        <v>94</v>
      </c>
      <c r="I20" s="61">
        <v>0.94</v>
      </c>
      <c r="J20" s="61">
        <v>0.94</v>
      </c>
      <c r="K20" s="61">
        <v>0</v>
      </c>
      <c r="L20" s="61">
        <v>10</v>
      </c>
      <c r="M20" s="61">
        <v>0.1</v>
      </c>
      <c r="N20" s="84">
        <v>2012</v>
      </c>
      <c r="O20" s="61">
        <v>2020</v>
      </c>
      <c r="P20" s="61">
        <v>2013</v>
      </c>
      <c r="Q20" s="61">
        <v>385000</v>
      </c>
      <c r="R20" s="61">
        <v>192500</v>
      </c>
      <c r="S20" s="61">
        <v>192500</v>
      </c>
      <c r="T20" s="61">
        <v>0</v>
      </c>
      <c r="U20" s="83">
        <v>310.16103896103897</v>
      </c>
      <c r="V20" s="83">
        <v>3.1015999999999999</v>
      </c>
    </row>
    <row r="21" spans="1:22">
      <c r="A21" s="61" t="s">
        <v>95</v>
      </c>
      <c r="B21" s="61">
        <v>14</v>
      </c>
      <c r="C21" s="61" t="s">
        <v>546</v>
      </c>
      <c r="D21" s="61" t="s">
        <v>1126</v>
      </c>
      <c r="E21" s="83" t="s">
        <v>1096</v>
      </c>
      <c r="G21" s="61" t="s">
        <v>1127</v>
      </c>
      <c r="H21" s="61">
        <v>100</v>
      </c>
      <c r="I21" s="61">
        <v>1</v>
      </c>
      <c r="J21" s="61">
        <v>1</v>
      </c>
      <c r="K21" s="61">
        <v>0</v>
      </c>
      <c r="L21" s="61">
        <v>7</v>
      </c>
      <c r="M21" s="61">
        <v>7.0000000000000007E-2</v>
      </c>
      <c r="N21" s="84">
        <v>2012</v>
      </c>
      <c r="O21" s="61">
        <v>2020</v>
      </c>
      <c r="P21" s="61">
        <v>2012</v>
      </c>
      <c r="Q21" s="61">
        <v>160400</v>
      </c>
      <c r="R21" s="61">
        <v>80200</v>
      </c>
      <c r="S21" s="61">
        <v>80200</v>
      </c>
      <c r="T21" s="61">
        <v>0</v>
      </c>
      <c r="U21" s="83">
        <v>978.3576772354827</v>
      </c>
      <c r="V21" s="83">
        <v>9.7835999999999999</v>
      </c>
    </row>
    <row r="22" spans="1:22">
      <c r="A22" s="61" t="s">
        <v>95</v>
      </c>
      <c r="B22" s="61">
        <v>14</v>
      </c>
      <c r="C22" s="61" t="s">
        <v>546</v>
      </c>
      <c r="D22" s="61" t="s">
        <v>1126</v>
      </c>
      <c r="E22" s="83" t="s">
        <v>1096</v>
      </c>
      <c r="G22" s="61" t="s">
        <v>1127</v>
      </c>
      <c r="H22" s="61">
        <v>100</v>
      </c>
      <c r="I22" s="61">
        <v>1</v>
      </c>
      <c r="J22" s="61">
        <v>1</v>
      </c>
      <c r="K22" s="61">
        <v>0</v>
      </c>
      <c r="L22" s="61">
        <v>52</v>
      </c>
      <c r="M22" s="61">
        <v>0.52</v>
      </c>
      <c r="N22" s="84">
        <v>2012</v>
      </c>
      <c r="O22" s="61">
        <v>2036</v>
      </c>
      <c r="P22" s="61">
        <v>2012</v>
      </c>
      <c r="Q22" s="61">
        <v>160400</v>
      </c>
      <c r="R22" s="61">
        <v>80200</v>
      </c>
      <c r="S22" s="61">
        <v>80200</v>
      </c>
      <c r="T22" s="61">
        <v>0</v>
      </c>
      <c r="U22" s="83">
        <v>131.70199501246881</v>
      </c>
      <c r="V22" s="83">
        <v>1.3169999999999999</v>
      </c>
    </row>
    <row r="23" spans="1:22">
      <c r="A23" s="61" t="s">
        <v>95</v>
      </c>
      <c r="B23" s="61">
        <v>14</v>
      </c>
      <c r="C23" s="61" t="s">
        <v>546</v>
      </c>
      <c r="D23" s="61" t="s">
        <v>1126</v>
      </c>
      <c r="E23" s="83" t="s">
        <v>1096</v>
      </c>
      <c r="G23" s="61" t="s">
        <v>1170</v>
      </c>
      <c r="H23" s="61">
        <v>100</v>
      </c>
      <c r="I23" s="61">
        <v>0</v>
      </c>
      <c r="J23" s="61">
        <v>1</v>
      </c>
      <c r="K23" s="61">
        <v>0</v>
      </c>
      <c r="L23" s="61">
        <v>100</v>
      </c>
      <c r="M23" s="61">
        <v>1</v>
      </c>
      <c r="N23" s="84">
        <v>2011</v>
      </c>
      <c r="O23" s="61">
        <v>2019</v>
      </c>
      <c r="P23" s="61">
        <v>2011</v>
      </c>
      <c r="Q23" s="61">
        <v>154270</v>
      </c>
      <c r="R23" s="61">
        <v>0</v>
      </c>
      <c r="S23" s="61">
        <v>154270</v>
      </c>
      <c r="T23" s="61">
        <v>0</v>
      </c>
      <c r="U23" s="83">
        <v>100</v>
      </c>
      <c r="V23" s="83">
        <v>1</v>
      </c>
    </row>
    <row r="24" spans="1:22">
      <c r="A24" s="61" t="s">
        <v>95</v>
      </c>
      <c r="B24" s="61">
        <v>14</v>
      </c>
      <c r="C24" s="61" t="s">
        <v>546</v>
      </c>
      <c r="D24" s="61" t="s">
        <v>1126</v>
      </c>
      <c r="E24" s="83" t="s">
        <v>1096</v>
      </c>
      <c r="G24" s="61" t="s">
        <v>1127</v>
      </c>
      <c r="H24" s="61">
        <v>100</v>
      </c>
      <c r="I24" s="61">
        <v>1</v>
      </c>
      <c r="J24" s="61">
        <v>1</v>
      </c>
      <c r="K24" s="61">
        <v>0</v>
      </c>
      <c r="L24" s="61">
        <v>75</v>
      </c>
      <c r="M24" s="61">
        <v>0.75</v>
      </c>
      <c r="N24" s="84">
        <v>2015</v>
      </c>
      <c r="O24" s="61">
        <v>2030</v>
      </c>
      <c r="P24" s="61">
        <v>2020</v>
      </c>
      <c r="Q24" s="61">
        <v>38400000</v>
      </c>
      <c r="R24" s="61">
        <v>19200000</v>
      </c>
      <c r="S24" s="61">
        <v>19200000</v>
      </c>
      <c r="T24" s="61">
        <v>0</v>
      </c>
      <c r="U24" s="83">
        <v>46.180555555555557</v>
      </c>
      <c r="V24" s="83">
        <v>0.46179999999999999</v>
      </c>
    </row>
    <row r="25" spans="1:22">
      <c r="A25" s="61" t="s">
        <v>98</v>
      </c>
      <c r="B25" s="61">
        <v>15</v>
      </c>
      <c r="C25" s="61" t="s">
        <v>532</v>
      </c>
      <c r="D25" s="61" t="s">
        <v>1126</v>
      </c>
      <c r="E25" s="83" t="s">
        <v>1096</v>
      </c>
      <c r="G25" s="61" t="s">
        <v>1164</v>
      </c>
      <c r="H25" s="61">
        <v>100</v>
      </c>
      <c r="I25" s="61">
        <v>1</v>
      </c>
      <c r="J25" s="61">
        <v>0</v>
      </c>
      <c r="K25" s="61">
        <v>0</v>
      </c>
      <c r="L25" s="61">
        <v>20</v>
      </c>
      <c r="M25" s="61">
        <v>0.2</v>
      </c>
      <c r="N25" s="84">
        <v>2008</v>
      </c>
      <c r="O25" s="61">
        <v>2020</v>
      </c>
      <c r="P25" s="61">
        <v>2011</v>
      </c>
      <c r="Q25" s="61">
        <v>1354054</v>
      </c>
      <c r="R25" s="61">
        <v>1354054</v>
      </c>
      <c r="S25" s="61">
        <v>0</v>
      </c>
      <c r="T25" s="61">
        <v>0</v>
      </c>
      <c r="U25" s="83">
        <v>134.07847840632644</v>
      </c>
      <c r="V25" s="83">
        <v>1.3408</v>
      </c>
    </row>
    <row r="26" spans="1:22">
      <c r="A26" s="61" t="s">
        <v>98</v>
      </c>
      <c r="B26" s="61">
        <v>15</v>
      </c>
      <c r="C26" s="61" t="s">
        <v>532</v>
      </c>
      <c r="D26" s="61" t="s">
        <v>1126</v>
      </c>
      <c r="E26" s="83" t="s">
        <v>1096</v>
      </c>
      <c r="G26" s="61" t="s">
        <v>1164</v>
      </c>
      <c r="H26" s="61">
        <v>64</v>
      </c>
      <c r="I26" s="61">
        <v>0.64</v>
      </c>
      <c r="J26" s="61">
        <v>0</v>
      </c>
      <c r="K26" s="61">
        <v>0</v>
      </c>
      <c r="L26" s="61">
        <v>30</v>
      </c>
      <c r="M26" s="61">
        <v>0.3</v>
      </c>
      <c r="N26" s="84">
        <v>2008</v>
      </c>
      <c r="O26" s="61">
        <v>2020</v>
      </c>
      <c r="P26" s="61">
        <v>2009</v>
      </c>
      <c r="Q26" s="61">
        <v>865777</v>
      </c>
      <c r="R26" s="61">
        <v>865777</v>
      </c>
      <c r="S26" s="61">
        <v>0</v>
      </c>
      <c r="T26" s="61">
        <v>0</v>
      </c>
      <c r="U26" s="83">
        <v>103.41308058156625</v>
      </c>
      <c r="V26" s="83">
        <v>1.0341</v>
      </c>
    </row>
    <row r="27" spans="1:22">
      <c r="A27" s="61" t="s">
        <v>98</v>
      </c>
      <c r="B27" s="61">
        <v>15</v>
      </c>
      <c r="C27" s="61" t="s">
        <v>532</v>
      </c>
      <c r="D27" s="61" t="s">
        <v>1126</v>
      </c>
      <c r="E27" s="83" t="s">
        <v>1096</v>
      </c>
      <c r="G27" s="61" t="s">
        <v>1127</v>
      </c>
      <c r="H27" s="61">
        <v>100</v>
      </c>
      <c r="I27" s="61">
        <v>1</v>
      </c>
      <c r="J27" s="61">
        <v>1</v>
      </c>
      <c r="K27" s="61">
        <v>0</v>
      </c>
      <c r="L27" s="61">
        <v>26</v>
      </c>
      <c r="M27" s="61">
        <v>0.26</v>
      </c>
      <c r="N27" s="84">
        <v>2015</v>
      </c>
      <c r="O27" s="61">
        <v>2030</v>
      </c>
      <c r="P27" s="61">
        <v>2019</v>
      </c>
      <c r="Q27" s="61">
        <v>8766803</v>
      </c>
      <c r="R27" s="61">
        <v>4383401.5</v>
      </c>
      <c r="S27" s="61">
        <v>4383401.5</v>
      </c>
      <c r="T27" s="61">
        <v>0</v>
      </c>
      <c r="U27" s="83">
        <v>98.350079182886745</v>
      </c>
      <c r="V27" s="83">
        <v>0.98350000000000004</v>
      </c>
    </row>
    <row r="28" spans="1:22">
      <c r="A28" s="61" t="s">
        <v>102</v>
      </c>
      <c r="B28" s="61">
        <v>16</v>
      </c>
      <c r="C28" s="61" t="s">
        <v>547</v>
      </c>
      <c r="D28" s="61" t="s">
        <v>1126</v>
      </c>
      <c r="E28" s="83" t="s">
        <v>1096</v>
      </c>
      <c r="G28" s="61" t="s">
        <v>1127</v>
      </c>
      <c r="H28" s="61">
        <v>100</v>
      </c>
      <c r="I28" s="61">
        <v>1</v>
      </c>
      <c r="J28" s="61">
        <v>1</v>
      </c>
      <c r="K28" s="61">
        <v>0</v>
      </c>
      <c r="L28" s="61">
        <v>100</v>
      </c>
      <c r="M28" s="61">
        <v>1</v>
      </c>
      <c r="N28" s="84">
        <v>2010</v>
      </c>
      <c r="O28" s="61">
        <v>2020</v>
      </c>
      <c r="P28" s="61">
        <v>2015</v>
      </c>
      <c r="Q28" s="61">
        <v>1750939</v>
      </c>
      <c r="R28" s="61">
        <v>875469.5</v>
      </c>
      <c r="S28" s="61">
        <v>875469.5</v>
      </c>
      <c r="T28" s="61">
        <v>0</v>
      </c>
      <c r="U28" s="83">
        <v>100</v>
      </c>
      <c r="V28" s="83">
        <v>1</v>
      </c>
    </row>
    <row r="29" spans="1:22">
      <c r="A29" s="61" t="s">
        <v>102</v>
      </c>
      <c r="B29" s="61">
        <v>16</v>
      </c>
      <c r="C29" s="61" t="s">
        <v>547</v>
      </c>
      <c r="D29" s="61" t="s">
        <v>1126</v>
      </c>
      <c r="E29" s="83" t="s">
        <v>1096</v>
      </c>
      <c r="G29" s="61" t="s">
        <v>1127</v>
      </c>
      <c r="H29" s="61">
        <v>100</v>
      </c>
      <c r="I29" s="61">
        <v>1</v>
      </c>
      <c r="J29" s="61">
        <v>1</v>
      </c>
      <c r="K29" s="61">
        <v>0</v>
      </c>
      <c r="L29" s="61">
        <v>100</v>
      </c>
      <c r="M29" s="61">
        <v>1</v>
      </c>
      <c r="N29" s="61">
        <v>2010</v>
      </c>
      <c r="O29" s="61">
        <v>2040</v>
      </c>
      <c r="P29" s="61">
        <v>2015</v>
      </c>
      <c r="Q29" s="61">
        <v>1750939</v>
      </c>
      <c r="R29" s="61">
        <v>875469.5</v>
      </c>
      <c r="S29" s="61">
        <v>875469.5</v>
      </c>
      <c r="T29" s="61">
        <v>0</v>
      </c>
      <c r="U29" s="83">
        <v>100</v>
      </c>
      <c r="V29" s="83">
        <v>1</v>
      </c>
    </row>
    <row r="30" spans="1:22">
      <c r="A30" s="61" t="s">
        <v>102</v>
      </c>
      <c r="B30" s="61">
        <v>16</v>
      </c>
      <c r="C30" s="61" t="s">
        <v>547</v>
      </c>
      <c r="D30" s="61" t="s">
        <v>1126</v>
      </c>
      <c r="E30" s="83" t="s">
        <v>1096</v>
      </c>
      <c r="G30" s="61" t="s">
        <v>1127</v>
      </c>
      <c r="H30" s="61">
        <v>100</v>
      </c>
      <c r="I30" s="61">
        <v>1</v>
      </c>
      <c r="J30" s="61">
        <v>1</v>
      </c>
      <c r="K30" s="61">
        <v>0</v>
      </c>
      <c r="L30" s="61">
        <v>50</v>
      </c>
      <c r="M30" s="61">
        <v>0.5</v>
      </c>
      <c r="N30" s="61">
        <v>2010</v>
      </c>
      <c r="O30" s="61">
        <v>2020</v>
      </c>
      <c r="P30" s="61">
        <v>2015</v>
      </c>
      <c r="Q30" s="61">
        <v>1785417</v>
      </c>
      <c r="R30" s="61">
        <v>892708.5</v>
      </c>
      <c r="S30" s="61">
        <v>892708.5</v>
      </c>
      <c r="T30" s="61">
        <v>0</v>
      </c>
      <c r="U30" s="83">
        <v>111.34743312066593</v>
      </c>
      <c r="V30" s="83">
        <v>1.1134999999999999</v>
      </c>
    </row>
    <row r="31" spans="1:22">
      <c r="A31" s="61" t="s">
        <v>107</v>
      </c>
      <c r="B31" s="61">
        <v>18</v>
      </c>
      <c r="C31" s="61" t="s">
        <v>514</v>
      </c>
      <c r="D31" s="61" t="s">
        <v>1126</v>
      </c>
      <c r="E31" s="83" t="s">
        <v>1096</v>
      </c>
      <c r="G31" s="61" t="s">
        <v>1127</v>
      </c>
      <c r="H31" s="61">
        <v>100</v>
      </c>
      <c r="I31" s="61">
        <v>1</v>
      </c>
      <c r="J31" s="61">
        <v>1</v>
      </c>
      <c r="K31" s="61">
        <v>0</v>
      </c>
      <c r="L31" s="61">
        <v>35</v>
      </c>
      <c r="M31" s="61">
        <v>0.35</v>
      </c>
      <c r="N31" s="84">
        <v>2013</v>
      </c>
      <c r="O31" s="61">
        <v>2030</v>
      </c>
      <c r="P31" s="61">
        <v>2016</v>
      </c>
      <c r="Q31" s="61">
        <v>379288</v>
      </c>
      <c r="R31" s="61">
        <v>189644</v>
      </c>
      <c r="S31" s="61">
        <v>189644</v>
      </c>
      <c r="T31" s="61">
        <v>0</v>
      </c>
      <c r="U31" s="83">
        <v>-84.659376817314865</v>
      </c>
      <c r="V31" s="83">
        <v>-0.84660000000000002</v>
      </c>
    </row>
    <row r="32" spans="1:22">
      <c r="A32" s="61" t="s">
        <v>108</v>
      </c>
      <c r="B32" s="61">
        <v>19</v>
      </c>
      <c r="C32" s="61" t="s">
        <v>549</v>
      </c>
      <c r="D32" s="61" t="s">
        <v>1126</v>
      </c>
      <c r="E32" s="83" t="s">
        <v>1096</v>
      </c>
      <c r="G32" s="61" t="s">
        <v>1127</v>
      </c>
      <c r="H32" s="61">
        <v>100</v>
      </c>
      <c r="I32" s="61">
        <v>1</v>
      </c>
      <c r="J32" s="61">
        <v>1</v>
      </c>
      <c r="K32" s="61">
        <v>0</v>
      </c>
      <c r="L32" s="61">
        <v>30</v>
      </c>
      <c r="M32" s="61">
        <v>0.3</v>
      </c>
      <c r="N32" s="84">
        <v>2014</v>
      </c>
      <c r="O32" s="61">
        <v>2020</v>
      </c>
      <c r="P32" s="61">
        <v>2016</v>
      </c>
      <c r="Q32" s="61">
        <v>33189.21</v>
      </c>
      <c r="R32" s="61">
        <v>16594.605</v>
      </c>
      <c r="S32" s="61">
        <v>16594.605</v>
      </c>
      <c r="T32" s="61">
        <v>0</v>
      </c>
      <c r="U32" s="83">
        <v>72.626113527056916</v>
      </c>
      <c r="V32" s="83">
        <v>0.72629999999999995</v>
      </c>
    </row>
    <row r="33" spans="1:22">
      <c r="A33" s="61" t="s">
        <v>338</v>
      </c>
      <c r="B33" s="61">
        <v>89</v>
      </c>
      <c r="C33" s="61" t="s">
        <v>672</v>
      </c>
      <c r="D33" s="61" t="s">
        <v>1126</v>
      </c>
      <c r="E33" s="83" t="s">
        <v>1096</v>
      </c>
      <c r="G33" s="61" t="s">
        <v>1127</v>
      </c>
      <c r="H33" s="61">
        <v>100</v>
      </c>
      <c r="I33" s="61">
        <v>1</v>
      </c>
      <c r="J33" s="61">
        <v>1</v>
      </c>
      <c r="K33" s="61">
        <v>0</v>
      </c>
      <c r="L33" s="61">
        <v>20</v>
      </c>
      <c r="M33" s="61">
        <v>0.2</v>
      </c>
      <c r="N33" s="84">
        <v>2018</v>
      </c>
      <c r="O33" s="61">
        <v>2025</v>
      </c>
      <c r="P33" s="61">
        <v>2019</v>
      </c>
      <c r="Q33" s="61">
        <v>150157</v>
      </c>
      <c r="R33" s="61">
        <v>75078.5</v>
      </c>
      <c r="S33" s="61">
        <v>75078.5</v>
      </c>
      <c r="T33" s="61">
        <v>0</v>
      </c>
      <c r="U33" s="83">
        <v>39.458699894110836</v>
      </c>
      <c r="V33" s="83">
        <v>0.39460000000000001</v>
      </c>
    </row>
    <row r="34" spans="1:22">
      <c r="A34" s="61" t="s">
        <v>338</v>
      </c>
      <c r="B34" s="61">
        <v>89</v>
      </c>
      <c r="C34" s="61" t="s">
        <v>672</v>
      </c>
      <c r="D34" s="61" t="s">
        <v>1126</v>
      </c>
      <c r="E34" s="83" t="s">
        <v>1096</v>
      </c>
      <c r="G34" s="61" t="s">
        <v>1170</v>
      </c>
      <c r="H34" s="61">
        <v>100</v>
      </c>
      <c r="I34" s="61">
        <v>0</v>
      </c>
      <c r="J34" s="61">
        <v>1</v>
      </c>
      <c r="K34" s="61">
        <v>0</v>
      </c>
      <c r="L34" s="61">
        <v>96</v>
      </c>
      <c r="M34" s="61">
        <v>0.96</v>
      </c>
      <c r="N34" s="84">
        <v>2014</v>
      </c>
      <c r="O34" s="61">
        <v>2020</v>
      </c>
      <c r="P34" s="61">
        <v>2015</v>
      </c>
      <c r="Q34" s="61">
        <v>205197</v>
      </c>
      <c r="R34" s="61">
        <v>0</v>
      </c>
      <c r="S34" s="61">
        <v>205197</v>
      </c>
      <c r="T34" s="61">
        <v>0</v>
      </c>
      <c r="U34" s="83">
        <v>104.16666666666667</v>
      </c>
      <c r="V34" s="83">
        <v>1.0417000000000001</v>
      </c>
    </row>
    <row r="35" spans="1:22">
      <c r="A35" s="61" t="s">
        <v>338</v>
      </c>
      <c r="B35" s="61">
        <v>89</v>
      </c>
      <c r="C35" s="61" t="s">
        <v>672</v>
      </c>
      <c r="D35" s="61" t="s">
        <v>1126</v>
      </c>
      <c r="E35" s="83" t="s">
        <v>1096</v>
      </c>
      <c r="G35" s="61" t="s">
        <v>1127</v>
      </c>
      <c r="H35" s="61">
        <v>100</v>
      </c>
      <c r="I35" s="61">
        <v>1</v>
      </c>
      <c r="J35" s="61">
        <v>1</v>
      </c>
      <c r="K35" s="61">
        <v>0</v>
      </c>
      <c r="L35" s="61">
        <v>92</v>
      </c>
      <c r="M35" s="61">
        <v>0.92</v>
      </c>
      <c r="N35" s="84">
        <v>2014</v>
      </c>
      <c r="O35" s="61">
        <v>2040</v>
      </c>
      <c r="P35" s="61">
        <v>2015</v>
      </c>
      <c r="Q35" s="61">
        <v>214161</v>
      </c>
      <c r="R35" s="61">
        <v>107080.5</v>
      </c>
      <c r="S35" s="61">
        <v>107080.5</v>
      </c>
      <c r="T35" s="61">
        <v>0</v>
      </c>
      <c r="U35" s="83">
        <v>108.69565217391303</v>
      </c>
      <c r="V35" s="83">
        <v>1.087</v>
      </c>
    </row>
    <row r="36" spans="1:22">
      <c r="A36" s="61" t="s">
        <v>111</v>
      </c>
      <c r="B36" s="61">
        <v>20</v>
      </c>
      <c r="C36" s="61" t="s">
        <v>550</v>
      </c>
      <c r="D36" s="61" t="s">
        <v>1126</v>
      </c>
      <c r="E36" s="83" t="s">
        <v>1096</v>
      </c>
      <c r="G36" s="61" t="s">
        <v>1127</v>
      </c>
      <c r="H36" s="61">
        <v>70</v>
      </c>
      <c r="I36" s="61">
        <v>0.7</v>
      </c>
      <c r="J36" s="61">
        <v>0.7</v>
      </c>
      <c r="K36" s="61">
        <v>0</v>
      </c>
      <c r="L36" s="61">
        <v>25</v>
      </c>
      <c r="M36" s="61">
        <v>0.25</v>
      </c>
      <c r="N36" s="84">
        <v>2017</v>
      </c>
      <c r="O36" s="61">
        <v>2025</v>
      </c>
      <c r="P36" s="61">
        <v>2018</v>
      </c>
      <c r="Q36" s="61">
        <v>1004000</v>
      </c>
      <c r="R36" s="61">
        <v>502000</v>
      </c>
      <c r="S36" s="61">
        <v>502000</v>
      </c>
      <c r="T36" s="61">
        <v>0</v>
      </c>
      <c r="U36" s="83">
        <v>11.155378486055776</v>
      </c>
      <c r="V36" s="83">
        <v>0.1116</v>
      </c>
    </row>
    <row r="37" spans="1:22">
      <c r="A37" s="61" t="s">
        <v>115</v>
      </c>
      <c r="B37" s="61">
        <v>22</v>
      </c>
      <c r="C37" s="61" t="s">
        <v>553</v>
      </c>
      <c r="D37" s="61" t="s">
        <v>1126</v>
      </c>
      <c r="E37" s="83" t="s">
        <v>1096</v>
      </c>
      <c r="G37" s="61" t="s">
        <v>1127</v>
      </c>
      <c r="H37" s="61">
        <v>100</v>
      </c>
      <c r="I37" s="61">
        <v>1</v>
      </c>
      <c r="J37" s="61">
        <v>1</v>
      </c>
      <c r="K37" s="61">
        <v>0</v>
      </c>
      <c r="L37" s="61">
        <v>5</v>
      </c>
      <c r="M37" s="61">
        <v>0.05</v>
      </c>
      <c r="N37" s="84">
        <v>2015</v>
      </c>
      <c r="O37" s="61">
        <v>2020</v>
      </c>
      <c r="P37" s="61">
        <v>2015</v>
      </c>
      <c r="Q37" s="61">
        <v>379183.76</v>
      </c>
      <c r="R37" s="61">
        <v>189591.88</v>
      </c>
      <c r="S37" s="61">
        <v>189591.88</v>
      </c>
      <c r="T37" s="61">
        <v>0</v>
      </c>
      <c r="U37" s="83">
        <v>415.81295570253405</v>
      </c>
      <c r="V37" s="83">
        <v>4.1581000000000001</v>
      </c>
    </row>
    <row r="38" spans="1:22">
      <c r="A38" s="61" t="s">
        <v>117</v>
      </c>
      <c r="B38" s="61">
        <v>23</v>
      </c>
      <c r="C38" s="61" t="s">
        <v>554</v>
      </c>
      <c r="D38" s="61" t="s">
        <v>1126</v>
      </c>
      <c r="E38" s="83" t="s">
        <v>1096</v>
      </c>
      <c r="G38" s="61" t="s">
        <v>1127</v>
      </c>
      <c r="H38" s="61">
        <v>100</v>
      </c>
      <c r="I38" s="61">
        <v>1</v>
      </c>
      <c r="J38" s="61">
        <v>1</v>
      </c>
      <c r="K38" s="61">
        <v>0</v>
      </c>
      <c r="L38" s="61">
        <v>100</v>
      </c>
      <c r="M38" s="61">
        <v>1</v>
      </c>
      <c r="N38" s="84">
        <v>2017</v>
      </c>
      <c r="O38" s="61">
        <v>2019</v>
      </c>
      <c r="P38" s="61">
        <v>2018</v>
      </c>
      <c r="Q38" s="61">
        <v>11719</v>
      </c>
      <c r="R38" s="61">
        <v>5859.5</v>
      </c>
      <c r="S38" s="61">
        <v>5859.5</v>
      </c>
      <c r="T38" s="61">
        <v>0</v>
      </c>
      <c r="U38" s="83">
        <v>100</v>
      </c>
      <c r="V38" s="83">
        <v>1</v>
      </c>
    </row>
    <row r="39" spans="1:22">
      <c r="A39" s="61" t="s">
        <v>117</v>
      </c>
      <c r="B39" s="61">
        <v>23</v>
      </c>
      <c r="C39" s="61" t="s">
        <v>554</v>
      </c>
      <c r="D39" s="61" t="s">
        <v>1126</v>
      </c>
      <c r="E39" s="83" t="s">
        <v>1096</v>
      </c>
      <c r="G39" s="61" t="s">
        <v>1141</v>
      </c>
      <c r="H39" s="61">
        <v>100</v>
      </c>
      <c r="I39" s="61">
        <v>0</v>
      </c>
      <c r="J39" s="61">
        <v>0</v>
      </c>
      <c r="K39" s="61">
        <v>1</v>
      </c>
      <c r="L39" s="61">
        <v>100</v>
      </c>
      <c r="M39" s="61">
        <v>1</v>
      </c>
      <c r="N39" s="84">
        <v>2017</v>
      </c>
      <c r="O39" s="61">
        <v>2019</v>
      </c>
      <c r="P39" s="61">
        <v>2018</v>
      </c>
      <c r="Q39" s="61">
        <v>62340</v>
      </c>
      <c r="R39" s="61">
        <v>0</v>
      </c>
      <c r="S39" s="61">
        <v>0</v>
      </c>
      <c r="T39" s="61">
        <v>62340</v>
      </c>
      <c r="U39" s="83">
        <v>100</v>
      </c>
      <c r="V39" s="83">
        <v>1</v>
      </c>
    </row>
    <row r="40" spans="1:22">
      <c r="A40" s="61" t="s">
        <v>128</v>
      </c>
      <c r="B40" s="61">
        <v>27</v>
      </c>
      <c r="C40" s="61" t="s">
        <v>515</v>
      </c>
      <c r="D40" s="61" t="s">
        <v>1126</v>
      </c>
      <c r="E40" s="83" t="s">
        <v>1096</v>
      </c>
      <c r="G40" s="61" t="s">
        <v>1127</v>
      </c>
      <c r="H40" s="61">
        <v>100</v>
      </c>
      <c r="I40" s="61">
        <v>1</v>
      </c>
      <c r="J40" s="61">
        <v>1</v>
      </c>
      <c r="K40" s="61">
        <v>0</v>
      </c>
      <c r="L40" s="61">
        <v>60</v>
      </c>
      <c r="M40" s="61">
        <v>0.6</v>
      </c>
      <c r="N40" s="84">
        <v>2007</v>
      </c>
      <c r="O40" s="61">
        <v>2022</v>
      </c>
      <c r="P40" s="61">
        <v>2017</v>
      </c>
      <c r="Q40" s="61">
        <v>450733</v>
      </c>
      <c r="R40" s="61">
        <v>225366.5</v>
      </c>
      <c r="S40" s="61">
        <v>225366.5</v>
      </c>
      <c r="T40" s="61">
        <v>0</v>
      </c>
      <c r="U40" s="83">
        <v>82.133990633035523</v>
      </c>
      <c r="V40" s="83">
        <v>0.82130000000000003</v>
      </c>
    </row>
    <row r="41" spans="1:22">
      <c r="A41" s="61" t="s">
        <v>128</v>
      </c>
      <c r="B41" s="61">
        <v>27</v>
      </c>
      <c r="C41" s="61" t="s">
        <v>515</v>
      </c>
      <c r="D41" s="61" t="s">
        <v>1126</v>
      </c>
      <c r="E41" s="83" t="s">
        <v>1096</v>
      </c>
      <c r="G41" s="61" t="s">
        <v>1141</v>
      </c>
      <c r="H41" s="61">
        <v>100</v>
      </c>
      <c r="I41" s="61">
        <v>0</v>
      </c>
      <c r="J41" s="61">
        <v>0</v>
      </c>
      <c r="K41" s="61">
        <v>1</v>
      </c>
      <c r="L41" s="61">
        <v>13</v>
      </c>
      <c r="M41" s="61">
        <v>0.13</v>
      </c>
      <c r="N41" s="84">
        <v>2016</v>
      </c>
      <c r="O41" s="61">
        <v>2022</v>
      </c>
      <c r="P41" s="61">
        <v>2017</v>
      </c>
      <c r="Q41" s="61">
        <v>26233018</v>
      </c>
      <c r="R41" s="61">
        <v>0</v>
      </c>
      <c r="S41" s="61">
        <v>0</v>
      </c>
      <c r="T41" s="61">
        <v>26233018</v>
      </c>
      <c r="U41" s="83">
        <v>38.232616738071201</v>
      </c>
      <c r="V41" s="83">
        <v>0.38229999999999997</v>
      </c>
    </row>
    <row r="42" spans="1:22">
      <c r="A42" s="61" t="s">
        <v>130</v>
      </c>
      <c r="B42" s="61">
        <v>28</v>
      </c>
      <c r="C42" s="61" t="s">
        <v>714</v>
      </c>
      <c r="D42" s="61" t="s">
        <v>1126</v>
      </c>
      <c r="E42" s="83" t="s">
        <v>1096</v>
      </c>
      <c r="G42" s="61" t="s">
        <v>1127</v>
      </c>
      <c r="H42" s="61">
        <v>100</v>
      </c>
      <c r="I42" s="61">
        <v>1</v>
      </c>
      <c r="J42" s="61">
        <v>1</v>
      </c>
      <c r="K42" s="61">
        <v>0</v>
      </c>
      <c r="L42" s="61">
        <v>35</v>
      </c>
      <c r="M42" s="61">
        <v>0.35</v>
      </c>
      <c r="N42" s="84">
        <v>2005</v>
      </c>
      <c r="O42" s="61">
        <v>2020</v>
      </c>
      <c r="P42" s="61">
        <v>2006</v>
      </c>
      <c r="Q42" s="61">
        <v>1091759</v>
      </c>
      <c r="R42" s="61">
        <v>545879.5</v>
      </c>
      <c r="S42" s="61">
        <v>545879.5</v>
      </c>
      <c r="T42" s="61">
        <v>0</v>
      </c>
      <c r="U42" s="83">
        <v>124.27101585606346</v>
      </c>
      <c r="V42" s="83">
        <v>1.2426999999999999</v>
      </c>
    </row>
    <row r="43" spans="1:22">
      <c r="A43" s="61" t="s">
        <v>130</v>
      </c>
      <c r="B43" s="61">
        <v>28</v>
      </c>
      <c r="C43" s="61" t="s">
        <v>714</v>
      </c>
      <c r="D43" s="61" t="s">
        <v>1126</v>
      </c>
      <c r="E43" s="83" t="s">
        <v>1096</v>
      </c>
      <c r="G43" s="61" t="s">
        <v>1127</v>
      </c>
      <c r="H43" s="61">
        <v>100</v>
      </c>
      <c r="I43" s="61">
        <v>1</v>
      </c>
      <c r="J43" s="61">
        <v>1</v>
      </c>
      <c r="K43" s="61">
        <v>0</v>
      </c>
      <c r="L43" s="61">
        <v>80</v>
      </c>
      <c r="M43" s="61">
        <v>0.8</v>
      </c>
      <c r="N43" s="84">
        <v>2005</v>
      </c>
      <c r="O43" s="61">
        <v>2050</v>
      </c>
      <c r="P43" s="61">
        <v>2006</v>
      </c>
      <c r="Q43" s="61">
        <v>1091759</v>
      </c>
      <c r="R43" s="61">
        <v>545879.5</v>
      </c>
      <c r="S43" s="61">
        <v>545879.5</v>
      </c>
      <c r="T43" s="61">
        <v>0</v>
      </c>
      <c r="U43" s="83">
        <v>54.368569437027773</v>
      </c>
      <c r="V43" s="83">
        <v>0.54369999999999996</v>
      </c>
    </row>
    <row r="44" spans="1:22">
      <c r="A44" s="61" t="s">
        <v>135</v>
      </c>
      <c r="B44" s="61">
        <v>30</v>
      </c>
      <c r="C44" s="61" t="s">
        <v>516</v>
      </c>
      <c r="D44" s="61" t="s">
        <v>1126</v>
      </c>
      <c r="E44" s="83" t="s">
        <v>1096</v>
      </c>
      <c r="G44" s="61" t="s">
        <v>1127</v>
      </c>
      <c r="H44" s="61">
        <v>95</v>
      </c>
      <c r="I44" s="61">
        <v>0.95</v>
      </c>
      <c r="J44" s="61">
        <v>0.95</v>
      </c>
      <c r="K44" s="61">
        <v>0</v>
      </c>
      <c r="L44" s="61">
        <v>25</v>
      </c>
      <c r="M44" s="61">
        <v>0.25</v>
      </c>
      <c r="N44" s="84">
        <v>2002</v>
      </c>
      <c r="O44" s="61">
        <v>2020</v>
      </c>
      <c r="P44" s="61">
        <v>2016</v>
      </c>
      <c r="Q44" s="61">
        <v>699761</v>
      </c>
      <c r="R44" s="61">
        <v>349880.5</v>
      </c>
      <c r="S44" s="61">
        <v>349880.5</v>
      </c>
      <c r="T44" s="61">
        <v>0</v>
      </c>
      <c r="U44" s="83">
        <v>128.87200058305621</v>
      </c>
      <c r="V44" s="83">
        <v>1.2887</v>
      </c>
    </row>
    <row r="45" spans="1:22">
      <c r="A45" s="61" t="s">
        <v>135</v>
      </c>
      <c r="B45" s="61">
        <v>30</v>
      </c>
      <c r="C45" s="61" t="s">
        <v>516</v>
      </c>
      <c r="D45" s="61" t="s">
        <v>1126</v>
      </c>
      <c r="E45" s="83" t="s">
        <v>1096</v>
      </c>
      <c r="G45" s="61" t="s">
        <v>1127</v>
      </c>
      <c r="H45" s="61">
        <v>95</v>
      </c>
      <c r="I45" s="61">
        <v>0.95</v>
      </c>
      <c r="J45" s="61">
        <v>0.95</v>
      </c>
      <c r="K45" s="61">
        <v>0</v>
      </c>
      <c r="L45" s="61">
        <v>50</v>
      </c>
      <c r="M45" s="61">
        <v>0.5</v>
      </c>
      <c r="N45" s="84">
        <v>2002</v>
      </c>
      <c r="O45" s="61">
        <v>2050</v>
      </c>
      <c r="P45" s="61">
        <v>2016</v>
      </c>
      <c r="Q45" s="61">
        <v>699761</v>
      </c>
      <c r="R45" s="61">
        <v>349880.5</v>
      </c>
      <c r="S45" s="61">
        <v>349880.5</v>
      </c>
      <c r="T45" s="61">
        <v>0</v>
      </c>
      <c r="U45" s="83">
        <v>64.436000291528103</v>
      </c>
      <c r="V45" s="83">
        <v>0.64439999999999997</v>
      </c>
    </row>
    <row r="46" spans="1:22">
      <c r="A46" s="61" t="s">
        <v>135</v>
      </c>
      <c r="B46" s="61">
        <v>30</v>
      </c>
      <c r="C46" s="61" t="s">
        <v>516</v>
      </c>
      <c r="D46" s="61" t="s">
        <v>1126</v>
      </c>
      <c r="E46" s="83" t="s">
        <v>1096</v>
      </c>
      <c r="G46" s="61" t="s">
        <v>1141</v>
      </c>
      <c r="H46" s="61">
        <v>90</v>
      </c>
      <c r="I46" s="61">
        <v>0</v>
      </c>
      <c r="J46" s="61">
        <v>0</v>
      </c>
      <c r="K46" s="61">
        <v>0.9</v>
      </c>
      <c r="L46" s="61">
        <v>5</v>
      </c>
      <c r="M46" s="61">
        <v>0.05</v>
      </c>
      <c r="N46" s="84">
        <v>2016</v>
      </c>
      <c r="O46" s="61">
        <v>2022</v>
      </c>
      <c r="P46" s="61">
        <v>2016</v>
      </c>
      <c r="Q46" s="61">
        <v>47200000</v>
      </c>
      <c r="R46" s="61">
        <v>0</v>
      </c>
      <c r="S46" s="61">
        <v>0</v>
      </c>
      <c r="T46" s="61">
        <v>47200000</v>
      </c>
      <c r="U46" s="83">
        <v>219.71495762711862</v>
      </c>
      <c r="V46" s="83">
        <v>2.1970999999999998</v>
      </c>
    </row>
    <row r="47" spans="1:22">
      <c r="A47" s="61" t="s">
        <v>138</v>
      </c>
      <c r="B47" s="61">
        <v>31</v>
      </c>
      <c r="C47" s="61" t="s">
        <v>730</v>
      </c>
      <c r="D47" s="61" t="s">
        <v>1126</v>
      </c>
      <c r="E47" s="83" t="s">
        <v>1096</v>
      </c>
      <c r="G47" s="61" t="s">
        <v>1127</v>
      </c>
      <c r="H47" s="61">
        <v>5</v>
      </c>
      <c r="I47" s="61">
        <v>0.05</v>
      </c>
      <c r="J47" s="61">
        <v>0.05</v>
      </c>
      <c r="K47" s="61">
        <v>0</v>
      </c>
      <c r="L47" s="61">
        <v>50</v>
      </c>
      <c r="M47" s="61">
        <v>0.5</v>
      </c>
      <c r="N47" s="84">
        <v>2018</v>
      </c>
      <c r="O47" s="61">
        <v>2030</v>
      </c>
      <c r="P47" s="61">
        <v>2019</v>
      </c>
      <c r="Q47" s="61">
        <v>2001609</v>
      </c>
      <c r="R47" s="61">
        <v>1000804.5</v>
      </c>
      <c r="S47" s="61">
        <v>1000804.5</v>
      </c>
      <c r="T47" s="61">
        <v>0</v>
      </c>
      <c r="U47" s="83">
        <v>2.7146160913545057</v>
      </c>
      <c r="V47" s="83">
        <v>2.7099999999999999E-2</v>
      </c>
    </row>
    <row r="48" spans="1:22">
      <c r="A48" s="61" t="s">
        <v>138</v>
      </c>
      <c r="B48" s="61">
        <v>31</v>
      </c>
      <c r="C48" s="61" t="s">
        <v>730</v>
      </c>
      <c r="D48" s="61" t="s">
        <v>1126</v>
      </c>
      <c r="E48" s="83" t="s">
        <v>1096</v>
      </c>
      <c r="G48" s="61" t="s">
        <v>1164</v>
      </c>
      <c r="H48" s="61">
        <v>20</v>
      </c>
      <c r="I48" s="61">
        <v>0.2</v>
      </c>
      <c r="J48" s="61">
        <v>0</v>
      </c>
      <c r="K48" s="61">
        <v>0</v>
      </c>
      <c r="L48" s="61">
        <v>100</v>
      </c>
      <c r="M48" s="61">
        <v>1</v>
      </c>
      <c r="N48" s="84">
        <v>2017</v>
      </c>
      <c r="O48" s="61">
        <v>2019</v>
      </c>
      <c r="P48" s="61">
        <v>2018</v>
      </c>
      <c r="Q48" s="61">
        <v>388377</v>
      </c>
      <c r="R48" s="61">
        <v>388377</v>
      </c>
      <c r="S48" s="61">
        <v>0</v>
      </c>
      <c r="T48" s="61">
        <v>0</v>
      </c>
      <c r="U48" s="83">
        <v>5.3569083648104803</v>
      </c>
      <c r="V48" s="83">
        <v>5.3600000000000002E-2</v>
      </c>
    </row>
    <row r="49" spans="1:22">
      <c r="A49" s="61" t="s">
        <v>138</v>
      </c>
      <c r="B49" s="61">
        <v>31</v>
      </c>
      <c r="C49" s="61" t="s">
        <v>730</v>
      </c>
      <c r="D49" s="61" t="s">
        <v>1126</v>
      </c>
      <c r="E49" s="83" t="s">
        <v>1096</v>
      </c>
      <c r="G49" s="61" t="s">
        <v>1127</v>
      </c>
      <c r="H49" s="61">
        <v>95</v>
      </c>
      <c r="I49" s="61">
        <v>0.95</v>
      </c>
      <c r="J49" s="61">
        <v>0.95</v>
      </c>
      <c r="K49" s="61">
        <v>0</v>
      </c>
      <c r="L49" s="61">
        <v>100</v>
      </c>
      <c r="M49" s="61">
        <v>1</v>
      </c>
      <c r="N49" s="84">
        <v>2017</v>
      </c>
      <c r="O49" s="61">
        <v>2019</v>
      </c>
      <c r="P49" s="61">
        <v>2017</v>
      </c>
      <c r="Q49" s="61">
        <v>1925233</v>
      </c>
      <c r="R49" s="61">
        <v>962616.5</v>
      </c>
      <c r="S49" s="61">
        <v>962616.5</v>
      </c>
      <c r="T49" s="61">
        <v>0</v>
      </c>
      <c r="U49" s="83">
        <v>-2.265959496850511</v>
      </c>
      <c r="V49" s="83">
        <v>-2.2700000000000001E-2</v>
      </c>
    </row>
    <row r="50" spans="1:22">
      <c r="A50" s="61" t="s">
        <v>143</v>
      </c>
      <c r="B50" s="61">
        <v>34</v>
      </c>
      <c r="C50" s="61" t="s">
        <v>517</v>
      </c>
      <c r="D50" s="61" t="s">
        <v>1126</v>
      </c>
      <c r="E50" s="83" t="s">
        <v>1096</v>
      </c>
      <c r="G50" s="61" t="s">
        <v>1127</v>
      </c>
      <c r="H50" s="61">
        <v>100</v>
      </c>
      <c r="I50" s="61">
        <v>1</v>
      </c>
      <c r="J50" s="61">
        <v>1</v>
      </c>
      <c r="K50" s="61">
        <v>0</v>
      </c>
      <c r="L50" s="61">
        <v>36</v>
      </c>
      <c r="M50" s="61">
        <v>0.36</v>
      </c>
      <c r="N50" s="61">
        <v>2010</v>
      </c>
      <c r="O50" s="61">
        <v>2030</v>
      </c>
      <c r="P50" s="61">
        <v>2017</v>
      </c>
      <c r="Q50" s="61">
        <v>1766531</v>
      </c>
      <c r="R50" s="61">
        <v>883265.5</v>
      </c>
      <c r="S50" s="61">
        <v>883265.5</v>
      </c>
      <c r="T50" s="61">
        <v>0</v>
      </c>
      <c r="U50" s="83">
        <v>101.50143290877874</v>
      </c>
      <c r="V50" s="83">
        <v>1.0149999999999999</v>
      </c>
    </row>
    <row r="51" spans="1:22">
      <c r="A51" s="61" t="s">
        <v>143</v>
      </c>
      <c r="B51" s="61">
        <v>34</v>
      </c>
      <c r="C51" s="61" t="s">
        <v>517</v>
      </c>
      <c r="D51" s="61" t="s">
        <v>1126</v>
      </c>
      <c r="E51" s="83" t="s">
        <v>1096</v>
      </c>
      <c r="G51" s="61" t="s">
        <v>1127</v>
      </c>
      <c r="H51" s="61">
        <v>100</v>
      </c>
      <c r="I51" s="61">
        <v>1</v>
      </c>
      <c r="J51" s="61">
        <v>1</v>
      </c>
      <c r="K51" s="61">
        <v>0</v>
      </c>
      <c r="L51" s="61">
        <v>56</v>
      </c>
      <c r="M51" s="61">
        <v>0.56000000000000005</v>
      </c>
      <c r="N51" s="61">
        <v>2010</v>
      </c>
      <c r="O51" s="61">
        <v>2050</v>
      </c>
      <c r="P51" s="61">
        <v>2017</v>
      </c>
      <c r="Q51" s="61">
        <v>1766531</v>
      </c>
      <c r="R51" s="61">
        <v>883265.5</v>
      </c>
      <c r="S51" s="61">
        <v>883265.5</v>
      </c>
      <c r="T51" s="61">
        <v>0</v>
      </c>
      <c r="U51" s="83">
        <v>65.250921155643468</v>
      </c>
      <c r="V51" s="83">
        <v>0.65249999999999997</v>
      </c>
    </row>
    <row r="52" spans="1:22">
      <c r="A52" s="61" t="s">
        <v>150</v>
      </c>
      <c r="B52" s="61">
        <v>37</v>
      </c>
      <c r="C52" s="61" t="s">
        <v>768</v>
      </c>
      <c r="D52" s="61" t="s">
        <v>1126</v>
      </c>
      <c r="E52" s="83" t="s">
        <v>1096</v>
      </c>
      <c r="G52" s="61" t="s">
        <v>1164</v>
      </c>
      <c r="H52" s="61">
        <v>100</v>
      </c>
      <c r="I52" s="61">
        <v>1</v>
      </c>
      <c r="J52" s="61">
        <v>0</v>
      </c>
      <c r="K52" s="61">
        <v>0</v>
      </c>
      <c r="L52" s="61">
        <v>50</v>
      </c>
      <c r="M52" s="61">
        <v>0.5</v>
      </c>
      <c r="N52" s="84">
        <v>2005</v>
      </c>
      <c r="O52" s="61">
        <v>2030</v>
      </c>
      <c r="P52" s="61">
        <v>2019</v>
      </c>
      <c r="Q52" s="61">
        <v>138800000</v>
      </c>
      <c r="R52" s="61">
        <v>138800000</v>
      </c>
      <c r="S52" s="61">
        <v>0</v>
      </c>
      <c r="T52" s="61">
        <v>0</v>
      </c>
      <c r="U52" s="83">
        <v>78.429394812680115</v>
      </c>
      <c r="V52" s="83">
        <v>0.7843</v>
      </c>
    </row>
    <row r="53" spans="1:22">
      <c r="A53" s="61" t="s">
        <v>150</v>
      </c>
      <c r="B53" s="61">
        <v>37</v>
      </c>
      <c r="C53" s="61" t="s">
        <v>768</v>
      </c>
      <c r="D53" s="61" t="s">
        <v>1126</v>
      </c>
      <c r="E53" s="83" t="s">
        <v>1096</v>
      </c>
      <c r="G53" s="61" t="s">
        <v>1164</v>
      </c>
      <c r="H53" s="61">
        <v>100</v>
      </c>
      <c r="I53" s="61">
        <v>1</v>
      </c>
      <c r="J53" s="61">
        <v>0</v>
      </c>
      <c r="K53" s="61">
        <v>0</v>
      </c>
      <c r="L53" s="61">
        <v>100</v>
      </c>
      <c r="M53" s="61">
        <v>1</v>
      </c>
      <c r="N53" s="84">
        <v>2005</v>
      </c>
      <c r="O53" s="61">
        <v>2050</v>
      </c>
      <c r="P53" s="61">
        <v>2019</v>
      </c>
      <c r="Q53" s="61">
        <v>138800000</v>
      </c>
      <c r="R53" s="61">
        <v>138800000</v>
      </c>
      <c r="S53" s="61">
        <v>0</v>
      </c>
      <c r="T53" s="61">
        <v>0</v>
      </c>
      <c r="U53" s="83">
        <v>39.214697406340058</v>
      </c>
      <c r="V53" s="83">
        <v>0.3921</v>
      </c>
    </row>
    <row r="54" spans="1:22">
      <c r="A54" s="61" t="s">
        <v>152</v>
      </c>
      <c r="B54" s="61">
        <v>38</v>
      </c>
      <c r="C54" s="61" t="s">
        <v>1037</v>
      </c>
      <c r="D54" s="61" t="s">
        <v>1126</v>
      </c>
      <c r="E54" s="83" t="s">
        <v>1096</v>
      </c>
      <c r="G54" s="61" t="s">
        <v>1127</v>
      </c>
      <c r="H54" s="61">
        <v>100</v>
      </c>
      <c r="I54" s="61">
        <v>1</v>
      </c>
      <c r="J54" s="61">
        <v>1</v>
      </c>
      <c r="K54" s="61">
        <v>0</v>
      </c>
      <c r="L54" s="61">
        <v>30</v>
      </c>
      <c r="M54" s="61">
        <v>0.3</v>
      </c>
      <c r="N54" s="84">
        <v>2019</v>
      </c>
      <c r="O54" s="61">
        <v>2030</v>
      </c>
      <c r="P54" s="61">
        <v>2019</v>
      </c>
      <c r="Q54" s="61">
        <v>5380359</v>
      </c>
      <c r="R54" s="61">
        <v>2690179.5</v>
      </c>
      <c r="S54" s="61">
        <v>2690179.5</v>
      </c>
      <c r="T54" s="61">
        <v>0</v>
      </c>
      <c r="U54" s="83">
        <v>0</v>
      </c>
      <c r="V54" s="83">
        <v>0</v>
      </c>
    </row>
    <row r="55" spans="1:22">
      <c r="A55" s="61" t="s">
        <v>152</v>
      </c>
      <c r="B55" s="61">
        <v>38</v>
      </c>
      <c r="C55" s="61" t="s">
        <v>1037</v>
      </c>
      <c r="D55" s="61" t="s">
        <v>1126</v>
      </c>
      <c r="E55" s="83" t="s">
        <v>1096</v>
      </c>
      <c r="G55" s="61" t="s">
        <v>1127</v>
      </c>
      <c r="H55" s="61">
        <v>100</v>
      </c>
      <c r="I55" s="61">
        <v>1</v>
      </c>
      <c r="J55" s="61">
        <v>1</v>
      </c>
      <c r="K55" s="61">
        <v>0</v>
      </c>
      <c r="L55" s="61">
        <v>100</v>
      </c>
      <c r="M55" s="61">
        <v>1</v>
      </c>
      <c r="N55" s="84">
        <v>2019</v>
      </c>
      <c r="O55" s="61">
        <v>2050</v>
      </c>
      <c r="P55" s="61">
        <v>2019</v>
      </c>
      <c r="Q55" s="61">
        <v>5380359</v>
      </c>
      <c r="R55" s="61">
        <v>2690179.5</v>
      </c>
      <c r="S55" s="61">
        <v>2690179.5</v>
      </c>
      <c r="T55" s="61">
        <v>0</v>
      </c>
      <c r="U55" s="83">
        <v>0</v>
      </c>
      <c r="V55" s="83">
        <v>0</v>
      </c>
    </row>
    <row r="56" spans="1:22">
      <c r="A56" s="61" t="s">
        <v>158</v>
      </c>
      <c r="B56" s="61">
        <v>41</v>
      </c>
      <c r="C56" s="61" t="s">
        <v>781</v>
      </c>
      <c r="D56" s="61" t="s">
        <v>1126</v>
      </c>
      <c r="E56" s="83" t="s">
        <v>1096</v>
      </c>
      <c r="G56" s="61" t="s">
        <v>1127</v>
      </c>
      <c r="H56" s="61">
        <v>100</v>
      </c>
      <c r="I56" s="61">
        <v>1</v>
      </c>
      <c r="J56" s="61">
        <v>1</v>
      </c>
      <c r="K56" s="61">
        <v>0</v>
      </c>
      <c r="L56" s="61">
        <v>15</v>
      </c>
      <c r="M56" s="61">
        <v>0.15</v>
      </c>
      <c r="N56" s="84">
        <v>2015</v>
      </c>
      <c r="O56" s="61">
        <v>2022</v>
      </c>
      <c r="P56" s="61">
        <v>2017</v>
      </c>
      <c r="Q56" s="61">
        <v>1133000</v>
      </c>
      <c r="R56" s="61">
        <v>566500</v>
      </c>
      <c r="S56" s="61">
        <v>566500</v>
      </c>
      <c r="T56" s="61">
        <v>0</v>
      </c>
      <c r="U56" s="83">
        <v>81.676375404530745</v>
      </c>
      <c r="V56" s="83">
        <v>0.81679999999999997</v>
      </c>
    </row>
    <row r="57" spans="1:22">
      <c r="A57" s="61" t="s">
        <v>167</v>
      </c>
      <c r="B57" s="61">
        <v>45</v>
      </c>
      <c r="C57" s="61" t="s">
        <v>795</v>
      </c>
      <c r="D57" s="61" t="s">
        <v>1126</v>
      </c>
      <c r="E57" s="83" t="s">
        <v>1096</v>
      </c>
      <c r="G57" s="61" t="s">
        <v>1127</v>
      </c>
      <c r="H57" s="61">
        <v>100</v>
      </c>
      <c r="I57" s="61">
        <v>1</v>
      </c>
      <c r="J57" s="61">
        <v>1</v>
      </c>
      <c r="K57" s="61">
        <v>0</v>
      </c>
      <c r="L57" s="61">
        <v>16.2</v>
      </c>
      <c r="M57" s="61">
        <v>0.16200000000000001</v>
      </c>
      <c r="N57" s="84">
        <v>2017</v>
      </c>
      <c r="O57" s="61">
        <v>2023</v>
      </c>
      <c r="P57" s="61">
        <v>2018</v>
      </c>
      <c r="Q57" s="61">
        <v>4168442</v>
      </c>
      <c r="R57" s="61">
        <v>2084221</v>
      </c>
      <c r="S57" s="61">
        <v>2084221</v>
      </c>
      <c r="T57" s="61">
        <v>0</v>
      </c>
      <c r="U57" s="83">
        <v>78.802127693136185</v>
      </c>
      <c r="V57" s="83">
        <v>0.78800000000000003</v>
      </c>
    </row>
    <row r="58" spans="1:22">
      <c r="A58" s="61" t="s">
        <v>167</v>
      </c>
      <c r="B58" s="61">
        <v>45</v>
      </c>
      <c r="C58" s="61" t="s">
        <v>795</v>
      </c>
      <c r="D58" s="61" t="s">
        <v>1126</v>
      </c>
      <c r="E58" s="83" t="s">
        <v>1096</v>
      </c>
      <c r="G58" s="61" t="s">
        <v>1127</v>
      </c>
      <c r="H58" s="61">
        <v>100</v>
      </c>
      <c r="I58" s="61">
        <v>1</v>
      </c>
      <c r="J58" s="61">
        <v>1</v>
      </c>
      <c r="K58" s="61">
        <v>0</v>
      </c>
      <c r="L58" s="61">
        <v>75</v>
      </c>
      <c r="M58" s="61">
        <v>0.75</v>
      </c>
      <c r="N58" s="84">
        <v>2017</v>
      </c>
      <c r="O58" s="61">
        <v>2035</v>
      </c>
      <c r="P58" s="61">
        <v>2018</v>
      </c>
      <c r="Q58" s="61">
        <v>4168442</v>
      </c>
      <c r="R58" s="61">
        <v>2084221</v>
      </c>
      <c r="S58" s="61">
        <v>2084221</v>
      </c>
      <c r="T58" s="61">
        <v>0</v>
      </c>
      <c r="U58" s="83">
        <v>17.02125958171742</v>
      </c>
      <c r="V58" s="83">
        <v>0.17019999999999999</v>
      </c>
    </row>
    <row r="59" spans="1:22">
      <c r="A59" s="61" t="s">
        <v>173</v>
      </c>
      <c r="B59" s="61">
        <v>47</v>
      </c>
      <c r="C59" s="61" t="s">
        <v>812</v>
      </c>
      <c r="D59" s="61" t="s">
        <v>1126</v>
      </c>
      <c r="E59" s="83" t="s">
        <v>1096</v>
      </c>
      <c r="G59" s="61" t="s">
        <v>1127</v>
      </c>
      <c r="H59" s="61">
        <v>100</v>
      </c>
      <c r="I59" s="61">
        <v>1</v>
      </c>
      <c r="J59" s="61">
        <v>1</v>
      </c>
      <c r="K59" s="61">
        <v>0</v>
      </c>
      <c r="L59" s="61">
        <v>20</v>
      </c>
      <c r="M59" s="61">
        <v>0.2</v>
      </c>
      <c r="N59" s="84">
        <v>2011</v>
      </c>
      <c r="O59" s="61">
        <v>2020</v>
      </c>
      <c r="P59" s="61">
        <v>2015</v>
      </c>
      <c r="Q59" s="61">
        <v>3005160.75</v>
      </c>
      <c r="R59" s="61">
        <v>1502580.375</v>
      </c>
      <c r="S59" s="61">
        <v>1502580.375</v>
      </c>
      <c r="T59" s="61">
        <v>0</v>
      </c>
      <c r="U59" s="83">
        <v>103.17854211293024</v>
      </c>
      <c r="V59" s="83">
        <v>1.0318000000000001</v>
      </c>
    </row>
    <row r="60" spans="1:22">
      <c r="A60" s="61" t="s">
        <v>174</v>
      </c>
      <c r="B60" s="61">
        <v>48</v>
      </c>
      <c r="C60" s="61" t="s">
        <v>806</v>
      </c>
      <c r="D60" s="61" t="s">
        <v>1126</v>
      </c>
      <c r="E60" s="83" t="s">
        <v>1096</v>
      </c>
      <c r="G60" s="61" t="s">
        <v>1127</v>
      </c>
      <c r="H60" s="61">
        <v>100</v>
      </c>
      <c r="I60" s="61">
        <v>1</v>
      </c>
      <c r="J60" s="61">
        <v>1</v>
      </c>
      <c r="K60" s="61">
        <v>0</v>
      </c>
      <c r="L60" s="61">
        <v>31</v>
      </c>
      <c r="M60" s="61">
        <v>0.31</v>
      </c>
      <c r="N60" s="61">
        <v>2010</v>
      </c>
      <c r="O60" s="61">
        <v>2030</v>
      </c>
      <c r="P60" s="61">
        <v>2018</v>
      </c>
      <c r="Q60" s="61">
        <v>6173746</v>
      </c>
      <c r="R60" s="61">
        <v>3086873</v>
      </c>
      <c r="S60" s="61">
        <v>3086873</v>
      </c>
      <c r="T60" s="61">
        <v>0</v>
      </c>
      <c r="U60" s="83">
        <v>45.048772239634552</v>
      </c>
      <c r="V60" s="83">
        <v>0.45050000000000001</v>
      </c>
    </row>
    <row r="61" spans="1:22">
      <c r="A61" s="61" t="s">
        <v>174</v>
      </c>
      <c r="B61" s="61">
        <v>48</v>
      </c>
      <c r="C61" s="61" t="s">
        <v>806</v>
      </c>
      <c r="D61" s="61" t="s">
        <v>1126</v>
      </c>
      <c r="E61" s="83" t="s">
        <v>1096</v>
      </c>
      <c r="G61" s="61" t="s">
        <v>1141</v>
      </c>
      <c r="H61" s="61">
        <v>100</v>
      </c>
      <c r="I61" s="61">
        <v>0</v>
      </c>
      <c r="J61" s="61">
        <v>0</v>
      </c>
      <c r="K61" s="61">
        <v>1</v>
      </c>
      <c r="L61" s="61">
        <v>4</v>
      </c>
      <c r="M61" s="61">
        <v>0.04</v>
      </c>
      <c r="N61" s="84">
        <v>2016</v>
      </c>
      <c r="O61" s="61">
        <v>2021</v>
      </c>
      <c r="P61" s="61">
        <v>2017</v>
      </c>
      <c r="Q61" s="61">
        <v>8023097</v>
      </c>
      <c r="R61" s="61">
        <v>0</v>
      </c>
      <c r="S61" s="61">
        <v>0</v>
      </c>
      <c r="T61" s="61">
        <v>8023097</v>
      </c>
      <c r="U61" s="83">
        <v>80.858115014688252</v>
      </c>
      <c r="V61" s="83">
        <v>0.80859999999999999</v>
      </c>
    </row>
    <row r="62" spans="1:22">
      <c r="A62" s="61" t="s">
        <v>175</v>
      </c>
      <c r="B62" s="61">
        <v>49</v>
      </c>
      <c r="C62" s="61" t="s">
        <v>816</v>
      </c>
      <c r="D62" s="61" t="s">
        <v>1126</v>
      </c>
      <c r="E62" s="83" t="s">
        <v>1096</v>
      </c>
      <c r="G62" s="61" t="s">
        <v>1127</v>
      </c>
      <c r="H62" s="61">
        <v>100</v>
      </c>
      <c r="I62" s="61">
        <v>1</v>
      </c>
      <c r="J62" s="61">
        <v>1</v>
      </c>
      <c r="K62" s="61">
        <v>0</v>
      </c>
      <c r="L62" s="61">
        <v>25</v>
      </c>
      <c r="M62" s="61">
        <v>0.25</v>
      </c>
      <c r="N62" s="84">
        <v>2016</v>
      </c>
      <c r="O62" s="61">
        <v>2025</v>
      </c>
      <c r="P62" s="61">
        <v>2017</v>
      </c>
      <c r="Q62" s="61">
        <v>82840</v>
      </c>
      <c r="R62" s="61">
        <v>41420</v>
      </c>
      <c r="S62" s="61">
        <v>41420</v>
      </c>
      <c r="T62" s="61">
        <v>0</v>
      </c>
      <c r="U62" s="83">
        <v>43.964268469338485</v>
      </c>
      <c r="V62" s="83">
        <v>0.43959999999999999</v>
      </c>
    </row>
    <row r="63" spans="1:22">
      <c r="A63" s="61" t="s">
        <v>177</v>
      </c>
      <c r="B63" s="61">
        <v>50</v>
      </c>
      <c r="C63" s="61" t="s">
        <v>820</v>
      </c>
      <c r="D63" s="61" t="s">
        <v>1126</v>
      </c>
      <c r="E63" s="83" t="s">
        <v>1096</v>
      </c>
      <c r="G63" s="61" t="s">
        <v>1157</v>
      </c>
      <c r="H63" s="61">
        <v>100</v>
      </c>
      <c r="I63" s="61">
        <v>1</v>
      </c>
      <c r="J63" s="61">
        <v>1</v>
      </c>
      <c r="K63" s="61">
        <v>1</v>
      </c>
      <c r="L63" s="61">
        <v>100</v>
      </c>
      <c r="M63" s="61">
        <v>1</v>
      </c>
      <c r="N63" s="84">
        <v>2019</v>
      </c>
      <c r="O63" s="61">
        <v>2019</v>
      </c>
      <c r="P63" s="61">
        <v>2015</v>
      </c>
      <c r="Q63" s="61">
        <v>157255</v>
      </c>
      <c r="R63" s="61">
        <v>52418.333299999998</v>
      </c>
      <c r="S63" s="61">
        <v>52418.333299999998</v>
      </c>
      <c r="T63" s="61">
        <v>52418.333299999998</v>
      </c>
      <c r="U63" s="83">
        <v>100</v>
      </c>
      <c r="V63" s="83">
        <v>1</v>
      </c>
    </row>
    <row r="64" spans="1:22">
      <c r="A64" s="61" t="s">
        <v>177</v>
      </c>
      <c r="B64" s="61">
        <v>50</v>
      </c>
      <c r="C64" s="61" t="s">
        <v>820</v>
      </c>
      <c r="D64" s="61" t="s">
        <v>1126</v>
      </c>
      <c r="E64" s="83" t="s">
        <v>1096</v>
      </c>
      <c r="G64" s="61" t="s">
        <v>1127</v>
      </c>
      <c r="H64" s="61">
        <v>100</v>
      </c>
      <c r="I64" s="61">
        <v>1</v>
      </c>
      <c r="J64" s="61">
        <v>1</v>
      </c>
      <c r="K64" s="61">
        <v>0</v>
      </c>
      <c r="L64" s="61">
        <v>15</v>
      </c>
      <c r="M64" s="61">
        <v>0.15</v>
      </c>
      <c r="N64" s="84">
        <v>2013</v>
      </c>
      <c r="O64" s="61">
        <v>2020</v>
      </c>
      <c r="P64" s="61">
        <v>2015</v>
      </c>
      <c r="Q64" s="61">
        <v>251687</v>
      </c>
      <c r="R64" s="61">
        <v>125843.5</v>
      </c>
      <c r="S64" s="61">
        <v>125843.5</v>
      </c>
      <c r="T64" s="61">
        <v>0</v>
      </c>
      <c r="U64" s="83">
        <v>608.97066594619525</v>
      </c>
      <c r="V64" s="83">
        <v>6.0896999999999997</v>
      </c>
    </row>
    <row r="65" spans="1:22">
      <c r="A65" s="61" t="s">
        <v>177</v>
      </c>
      <c r="B65" s="61">
        <v>50</v>
      </c>
      <c r="C65" s="61" t="s">
        <v>820</v>
      </c>
      <c r="D65" s="61" t="s">
        <v>1126</v>
      </c>
      <c r="E65" s="83" t="s">
        <v>1096</v>
      </c>
      <c r="G65" s="61" t="s">
        <v>1127</v>
      </c>
      <c r="H65" s="61">
        <v>100</v>
      </c>
      <c r="I65" s="61">
        <v>1</v>
      </c>
      <c r="J65" s="61">
        <v>1</v>
      </c>
      <c r="K65" s="61">
        <v>0</v>
      </c>
      <c r="L65" s="61">
        <v>50</v>
      </c>
      <c r="M65" s="61">
        <v>0.5</v>
      </c>
      <c r="N65" s="84">
        <v>2013</v>
      </c>
      <c r="O65" s="61">
        <v>2036</v>
      </c>
      <c r="P65" s="61">
        <v>2015</v>
      </c>
      <c r="Q65" s="61">
        <v>251687</v>
      </c>
      <c r="R65" s="61">
        <v>125843.5</v>
      </c>
      <c r="S65" s="61">
        <v>125843.5</v>
      </c>
      <c r="T65" s="61">
        <v>0</v>
      </c>
      <c r="U65" s="83">
        <v>182.69119978385854</v>
      </c>
      <c r="V65" s="83">
        <v>1.8269</v>
      </c>
    </row>
    <row r="66" spans="1:22">
      <c r="A66" s="61" t="s">
        <v>188</v>
      </c>
      <c r="B66" s="61">
        <v>53</v>
      </c>
      <c r="C66" s="61" t="s">
        <v>847</v>
      </c>
      <c r="D66" s="61" t="s">
        <v>1126</v>
      </c>
      <c r="E66" s="83" t="s">
        <v>1096</v>
      </c>
      <c r="G66" s="61" t="s">
        <v>1157</v>
      </c>
      <c r="H66" s="61">
        <v>100</v>
      </c>
      <c r="I66" s="61">
        <v>1</v>
      </c>
      <c r="J66" s="61">
        <v>1</v>
      </c>
      <c r="K66" s="61">
        <v>1</v>
      </c>
      <c r="L66" s="61">
        <v>40</v>
      </c>
      <c r="M66" s="61">
        <v>0.4</v>
      </c>
      <c r="N66" s="84">
        <v>2005</v>
      </c>
      <c r="O66" s="61">
        <v>2025</v>
      </c>
      <c r="P66" s="61">
        <v>2018</v>
      </c>
      <c r="Q66" s="61">
        <v>2028000</v>
      </c>
      <c r="R66" s="61">
        <v>676000</v>
      </c>
      <c r="S66" s="61">
        <v>676000</v>
      </c>
      <c r="T66" s="61">
        <v>676000</v>
      </c>
      <c r="U66" s="83">
        <v>99.282174556213022</v>
      </c>
      <c r="V66" s="83">
        <v>0.99280000000000002</v>
      </c>
    </row>
    <row r="67" spans="1:22">
      <c r="A67" s="61" t="s">
        <v>197</v>
      </c>
      <c r="B67" s="61">
        <v>55</v>
      </c>
      <c r="C67" s="61" t="s">
        <v>859</v>
      </c>
      <c r="D67" s="61" t="s">
        <v>1126</v>
      </c>
      <c r="E67" s="83" t="s">
        <v>1096</v>
      </c>
      <c r="G67" s="61" t="s">
        <v>1127</v>
      </c>
      <c r="H67" s="61">
        <v>100</v>
      </c>
      <c r="I67" s="61">
        <v>1</v>
      </c>
      <c r="J67" s="61">
        <v>1</v>
      </c>
      <c r="K67" s="61">
        <v>0</v>
      </c>
      <c r="L67" s="61">
        <v>20</v>
      </c>
      <c r="M67" s="61">
        <v>0.2</v>
      </c>
      <c r="N67" s="84" t="s">
        <v>1225</v>
      </c>
      <c r="O67" s="61">
        <v>2020</v>
      </c>
      <c r="P67" s="61">
        <v>2015</v>
      </c>
      <c r="Q67" s="61">
        <v>1364881</v>
      </c>
      <c r="R67" s="61">
        <v>682440.5</v>
      </c>
      <c r="S67" s="61">
        <v>682440.5</v>
      </c>
      <c r="T67" s="61">
        <v>0</v>
      </c>
      <c r="U67" s="83">
        <v>157.97897399113918</v>
      </c>
      <c r="V67" s="83">
        <v>1.5798000000000001</v>
      </c>
    </row>
    <row r="68" spans="1:22">
      <c r="A68" s="61" t="s">
        <v>197</v>
      </c>
      <c r="B68" s="61">
        <v>55</v>
      </c>
      <c r="C68" s="61" t="s">
        <v>859</v>
      </c>
      <c r="D68" s="61" t="s">
        <v>1126</v>
      </c>
      <c r="E68" s="83" t="s">
        <v>1096</v>
      </c>
      <c r="G68" s="61" t="s">
        <v>1127</v>
      </c>
      <c r="H68" s="61">
        <v>100</v>
      </c>
      <c r="I68" s="61">
        <v>1</v>
      </c>
      <c r="J68" s="61">
        <v>1</v>
      </c>
      <c r="K68" s="61">
        <v>0</v>
      </c>
      <c r="L68" s="61">
        <v>80</v>
      </c>
      <c r="M68" s="61">
        <v>0.8</v>
      </c>
      <c r="N68" s="84" t="s">
        <v>1225</v>
      </c>
      <c r="O68" s="61">
        <v>2050</v>
      </c>
      <c r="P68" s="61">
        <v>2015</v>
      </c>
      <c r="Q68" s="61">
        <v>1364881</v>
      </c>
      <c r="R68" s="61">
        <v>682440.5</v>
      </c>
      <c r="S68" s="61">
        <v>682440.5</v>
      </c>
      <c r="T68" s="61">
        <v>0</v>
      </c>
      <c r="U68" s="83">
        <v>39.494743497784782</v>
      </c>
      <c r="V68" s="83">
        <v>0.39489999999999997</v>
      </c>
    </row>
    <row r="69" spans="1:22">
      <c r="A69" s="61" t="s">
        <v>201</v>
      </c>
      <c r="B69" s="61">
        <v>56</v>
      </c>
      <c r="C69" s="61" t="s">
        <v>863</v>
      </c>
      <c r="D69" s="61" t="s">
        <v>1126</v>
      </c>
      <c r="E69" s="83" t="s">
        <v>1096</v>
      </c>
      <c r="G69" s="61" t="s">
        <v>1127</v>
      </c>
      <c r="H69" s="61">
        <v>100</v>
      </c>
      <c r="I69" s="61">
        <v>1</v>
      </c>
      <c r="J69" s="61">
        <v>1</v>
      </c>
      <c r="K69" s="61">
        <v>0</v>
      </c>
      <c r="L69" s="61">
        <v>50</v>
      </c>
      <c r="M69" s="61">
        <v>0.5</v>
      </c>
      <c r="N69" s="84">
        <v>2005</v>
      </c>
      <c r="O69" s="61">
        <v>2020</v>
      </c>
      <c r="P69" s="61">
        <v>2008</v>
      </c>
      <c r="Q69" s="61">
        <v>1392704</v>
      </c>
      <c r="R69" s="61">
        <v>696352</v>
      </c>
      <c r="S69" s="61">
        <v>696352</v>
      </c>
      <c r="T69" s="61">
        <v>0</v>
      </c>
      <c r="U69" s="83">
        <v>108.40867836956023</v>
      </c>
      <c r="V69" s="83">
        <v>1.0841000000000001</v>
      </c>
    </row>
    <row r="70" spans="1:22">
      <c r="A70" s="61" t="s">
        <v>211</v>
      </c>
      <c r="B70" s="61">
        <v>59</v>
      </c>
      <c r="C70" s="61" t="s">
        <v>871</v>
      </c>
      <c r="D70" s="61" t="s">
        <v>1126</v>
      </c>
      <c r="E70" s="83" t="s">
        <v>1096</v>
      </c>
      <c r="G70" s="61" t="s">
        <v>1127</v>
      </c>
      <c r="H70" s="61">
        <v>96</v>
      </c>
      <c r="I70" s="61">
        <v>0.96</v>
      </c>
      <c r="J70" s="61">
        <v>0.96</v>
      </c>
      <c r="K70" s="61">
        <v>0</v>
      </c>
      <c r="L70" s="61">
        <v>35</v>
      </c>
      <c r="M70" s="61">
        <v>0.35</v>
      </c>
      <c r="N70" s="84" t="s">
        <v>1225</v>
      </c>
      <c r="O70" s="61">
        <v>2020</v>
      </c>
      <c r="P70" s="61">
        <v>2012</v>
      </c>
      <c r="Q70" s="61">
        <v>1271358</v>
      </c>
      <c r="R70" s="61">
        <v>635679</v>
      </c>
      <c r="S70" s="61">
        <v>635679</v>
      </c>
      <c r="T70" s="61">
        <v>0</v>
      </c>
      <c r="U70" s="83">
        <v>112.34848316299801</v>
      </c>
      <c r="V70" s="83">
        <v>1.1234999999999999</v>
      </c>
    </row>
    <row r="71" spans="1:22">
      <c r="A71" s="61" t="s">
        <v>217</v>
      </c>
      <c r="B71" s="61">
        <v>60</v>
      </c>
      <c r="C71" s="61" t="s">
        <v>875</v>
      </c>
      <c r="D71" s="61" t="s">
        <v>1126</v>
      </c>
      <c r="E71" s="83" t="s">
        <v>1096</v>
      </c>
      <c r="G71" s="61" t="s">
        <v>1127</v>
      </c>
      <c r="H71" s="61">
        <v>100</v>
      </c>
      <c r="I71" s="61">
        <v>1</v>
      </c>
      <c r="J71" s="61">
        <v>1</v>
      </c>
      <c r="K71" s="61">
        <v>0</v>
      </c>
      <c r="L71" s="61">
        <v>40</v>
      </c>
      <c r="M71" s="61">
        <v>0.4</v>
      </c>
      <c r="N71" s="84">
        <v>2016</v>
      </c>
      <c r="O71" s="61">
        <v>2030</v>
      </c>
      <c r="P71" s="61">
        <v>2019</v>
      </c>
      <c r="Q71" s="61">
        <v>2710148</v>
      </c>
      <c r="R71" s="61">
        <v>1355074</v>
      </c>
      <c r="S71" s="61">
        <v>1355074</v>
      </c>
      <c r="T71" s="61">
        <v>0</v>
      </c>
      <c r="U71" s="83">
        <v>55.499090824560135</v>
      </c>
      <c r="V71" s="83">
        <v>0.55500000000000005</v>
      </c>
    </row>
    <row r="72" spans="1:22">
      <c r="A72" s="61" t="s">
        <v>221</v>
      </c>
      <c r="B72" s="61">
        <v>61</v>
      </c>
      <c r="C72" s="61" t="s">
        <v>528</v>
      </c>
      <c r="D72" s="61" t="s">
        <v>1126</v>
      </c>
      <c r="E72" s="83" t="s">
        <v>1096</v>
      </c>
      <c r="G72" s="61" t="s">
        <v>1127</v>
      </c>
      <c r="H72" s="61">
        <v>100</v>
      </c>
      <c r="I72" s="61">
        <v>1</v>
      </c>
      <c r="J72" s="61">
        <v>1</v>
      </c>
      <c r="K72" s="61">
        <v>0</v>
      </c>
      <c r="L72" s="61">
        <v>38</v>
      </c>
      <c r="M72" s="61">
        <v>0.38</v>
      </c>
      <c r="N72" s="84">
        <v>2016</v>
      </c>
      <c r="O72" s="61">
        <v>2025</v>
      </c>
      <c r="P72" s="61">
        <v>2018</v>
      </c>
      <c r="Q72" s="61">
        <v>99214.39</v>
      </c>
      <c r="R72" s="61">
        <v>49607.195</v>
      </c>
      <c r="S72" s="61">
        <v>49607.195</v>
      </c>
      <c r="T72" s="61">
        <v>0</v>
      </c>
      <c r="U72" s="83">
        <v>112.23814885808612</v>
      </c>
      <c r="V72" s="83">
        <v>1.1224000000000001</v>
      </c>
    </row>
    <row r="73" spans="1:22">
      <c r="A73" s="61" t="s">
        <v>221</v>
      </c>
      <c r="B73" s="61">
        <v>61</v>
      </c>
      <c r="C73" s="61" t="s">
        <v>528</v>
      </c>
      <c r="D73" s="61" t="s">
        <v>1126</v>
      </c>
      <c r="E73" s="83" t="s">
        <v>1096</v>
      </c>
      <c r="G73" s="61" t="s">
        <v>1141</v>
      </c>
      <c r="H73" s="61">
        <v>100</v>
      </c>
      <c r="I73" s="61">
        <v>0</v>
      </c>
      <c r="J73" s="61">
        <v>0</v>
      </c>
      <c r="K73" s="61">
        <v>1</v>
      </c>
      <c r="L73" s="61">
        <v>20</v>
      </c>
      <c r="M73" s="61">
        <v>0.2</v>
      </c>
      <c r="N73" s="84">
        <v>2016</v>
      </c>
      <c r="O73" s="61">
        <v>2025</v>
      </c>
      <c r="P73" s="61">
        <v>2018</v>
      </c>
      <c r="Q73" s="61">
        <v>848977.95</v>
      </c>
      <c r="R73" s="61">
        <v>0</v>
      </c>
      <c r="S73" s="61">
        <v>0</v>
      </c>
      <c r="T73" s="61">
        <v>848977.95</v>
      </c>
      <c r="U73" s="83">
        <v>203.75426711612477</v>
      </c>
      <c r="V73" s="83">
        <v>2.0375000000000001</v>
      </c>
    </row>
    <row r="74" spans="1:22">
      <c r="A74" s="61" t="s">
        <v>226</v>
      </c>
      <c r="B74" s="61">
        <v>62</v>
      </c>
      <c r="C74" s="61" t="s">
        <v>526</v>
      </c>
      <c r="D74" s="61" t="s">
        <v>1126</v>
      </c>
      <c r="E74" s="83" t="s">
        <v>1096</v>
      </c>
      <c r="G74" s="61" t="s">
        <v>1157</v>
      </c>
      <c r="H74" s="61">
        <v>100</v>
      </c>
      <c r="I74" s="61">
        <v>1</v>
      </c>
      <c r="J74" s="61">
        <v>1</v>
      </c>
      <c r="K74" s="61">
        <v>1</v>
      </c>
      <c r="L74" s="61">
        <v>36</v>
      </c>
      <c r="M74" s="61">
        <v>0.36</v>
      </c>
      <c r="N74" s="84">
        <v>2015</v>
      </c>
      <c r="O74" s="61">
        <v>2030</v>
      </c>
      <c r="P74" s="61">
        <v>2018</v>
      </c>
      <c r="Q74" s="61">
        <v>8446246.4800000004</v>
      </c>
      <c r="R74" s="61">
        <v>2815415.4933000002</v>
      </c>
      <c r="S74" s="61">
        <v>2815415.4933000002</v>
      </c>
      <c r="T74" s="61">
        <v>2815415.4933000002</v>
      </c>
      <c r="U74" s="83">
        <v>10.318131016439128</v>
      </c>
      <c r="V74" s="83">
        <v>0.1032</v>
      </c>
    </row>
    <row r="75" spans="1:22">
      <c r="A75" s="61" t="s">
        <v>235</v>
      </c>
      <c r="B75" s="61">
        <v>64</v>
      </c>
      <c r="C75" s="61" t="s">
        <v>889</v>
      </c>
      <c r="D75" s="61" t="s">
        <v>1126</v>
      </c>
      <c r="E75" s="83" t="s">
        <v>1096</v>
      </c>
      <c r="G75" s="61" t="s">
        <v>1127</v>
      </c>
      <c r="H75" s="61">
        <v>100</v>
      </c>
      <c r="I75" s="61">
        <v>1</v>
      </c>
      <c r="J75" s="61">
        <v>1</v>
      </c>
      <c r="K75" s="61">
        <v>0</v>
      </c>
      <c r="L75" s="61">
        <v>40</v>
      </c>
      <c r="M75" s="61">
        <v>0.4</v>
      </c>
      <c r="N75" s="84">
        <v>2015</v>
      </c>
      <c r="O75" s="61">
        <v>2025</v>
      </c>
      <c r="P75" s="61">
        <v>2016</v>
      </c>
      <c r="Q75" s="61">
        <v>1458970</v>
      </c>
      <c r="R75" s="61">
        <v>729485</v>
      </c>
      <c r="S75" s="61">
        <v>729485</v>
      </c>
      <c r="T75" s="61">
        <v>0</v>
      </c>
      <c r="U75" s="83">
        <v>66.31390638601205</v>
      </c>
      <c r="V75" s="83">
        <v>0.66310000000000002</v>
      </c>
    </row>
    <row r="76" spans="1:22">
      <c r="A76" s="61" t="s">
        <v>240</v>
      </c>
      <c r="B76" s="61">
        <v>65</v>
      </c>
      <c r="C76" s="61" t="s">
        <v>518</v>
      </c>
      <c r="D76" s="61" t="s">
        <v>1126</v>
      </c>
      <c r="E76" s="83" t="s">
        <v>1096</v>
      </c>
      <c r="G76" s="61" t="s">
        <v>1127</v>
      </c>
      <c r="H76" s="61">
        <v>100</v>
      </c>
      <c r="I76" s="61">
        <v>1</v>
      </c>
      <c r="J76" s="61">
        <v>1</v>
      </c>
      <c r="K76" s="61">
        <v>0</v>
      </c>
      <c r="L76" s="61">
        <v>10</v>
      </c>
      <c r="M76" s="61">
        <v>0.1</v>
      </c>
      <c r="N76" s="84">
        <v>2012</v>
      </c>
      <c r="O76" s="61">
        <v>2020</v>
      </c>
      <c r="P76" s="61">
        <v>2015</v>
      </c>
      <c r="Q76" s="61">
        <v>176955</v>
      </c>
      <c r="R76" s="61">
        <v>88477.5</v>
      </c>
      <c r="S76" s="61">
        <v>88477.5</v>
      </c>
      <c r="T76" s="61">
        <v>0</v>
      </c>
      <c r="U76" s="83">
        <v>266.18631855556498</v>
      </c>
      <c r="V76" s="83">
        <v>2.6619000000000002</v>
      </c>
    </row>
    <row r="77" spans="1:22">
      <c r="A77" s="61" t="s">
        <v>240</v>
      </c>
      <c r="B77" s="61">
        <v>65</v>
      </c>
      <c r="C77" s="61" t="s">
        <v>518</v>
      </c>
      <c r="D77" s="61" t="s">
        <v>1126</v>
      </c>
      <c r="E77" s="83" t="s">
        <v>1096</v>
      </c>
      <c r="G77" s="61" t="s">
        <v>1157</v>
      </c>
      <c r="H77" s="61">
        <v>100</v>
      </c>
      <c r="I77" s="61">
        <v>1</v>
      </c>
      <c r="J77" s="61">
        <v>1</v>
      </c>
      <c r="K77" s="61">
        <v>1</v>
      </c>
      <c r="L77" s="61">
        <v>100</v>
      </c>
      <c r="M77" s="61">
        <v>1</v>
      </c>
      <c r="N77" s="84">
        <v>2019</v>
      </c>
      <c r="O77" s="61">
        <v>2019</v>
      </c>
      <c r="P77" s="61">
        <v>2015</v>
      </c>
      <c r="Q77" s="61">
        <v>129852</v>
      </c>
      <c r="R77" s="61">
        <v>43284</v>
      </c>
      <c r="S77" s="61">
        <v>43284</v>
      </c>
      <c r="T77" s="61">
        <v>43284</v>
      </c>
      <c r="U77" s="83">
        <v>0</v>
      </c>
      <c r="V77" s="83">
        <v>0</v>
      </c>
    </row>
    <row r="78" spans="1:22">
      <c r="A78" s="61" t="s">
        <v>244</v>
      </c>
      <c r="B78" s="61">
        <v>66</v>
      </c>
      <c r="C78" s="61" t="s">
        <v>534</v>
      </c>
      <c r="D78" s="61" t="s">
        <v>1126</v>
      </c>
      <c r="E78" s="83" t="s">
        <v>1096</v>
      </c>
      <c r="G78" s="61" t="s">
        <v>1157</v>
      </c>
      <c r="H78" s="61">
        <v>100</v>
      </c>
      <c r="I78" s="61">
        <v>1</v>
      </c>
      <c r="J78" s="61">
        <v>1</v>
      </c>
      <c r="K78" s="61">
        <v>1</v>
      </c>
      <c r="L78" s="61">
        <v>100</v>
      </c>
      <c r="M78" s="61">
        <v>1</v>
      </c>
      <c r="N78" s="84">
        <v>2018</v>
      </c>
      <c r="O78" s="61">
        <v>2019</v>
      </c>
      <c r="P78" s="61">
        <v>2013</v>
      </c>
      <c r="Q78" s="61">
        <v>0.01</v>
      </c>
      <c r="R78" s="61">
        <v>3.3E-3</v>
      </c>
      <c r="S78" s="61">
        <v>3.3E-3</v>
      </c>
      <c r="T78" s="61">
        <v>3.3E-3</v>
      </c>
      <c r="U78" s="83">
        <v>100</v>
      </c>
      <c r="V78" s="83">
        <v>1</v>
      </c>
    </row>
    <row r="79" spans="1:22">
      <c r="A79" s="61" t="s">
        <v>244</v>
      </c>
      <c r="B79" s="61">
        <v>66</v>
      </c>
      <c r="C79" s="61" t="s">
        <v>534</v>
      </c>
      <c r="D79" s="61" t="s">
        <v>1126</v>
      </c>
      <c r="E79" s="83" t="s">
        <v>1096</v>
      </c>
      <c r="G79" s="61" t="s">
        <v>1127</v>
      </c>
      <c r="H79" s="61">
        <v>100</v>
      </c>
      <c r="I79" s="61">
        <v>1</v>
      </c>
      <c r="J79" s="61">
        <v>1</v>
      </c>
      <c r="K79" s="61">
        <v>0</v>
      </c>
      <c r="L79" s="61">
        <v>75</v>
      </c>
      <c r="M79" s="61">
        <v>0.75</v>
      </c>
      <c r="N79" s="84">
        <v>2013</v>
      </c>
      <c r="O79" s="61">
        <v>2030</v>
      </c>
      <c r="P79" s="61">
        <v>2017</v>
      </c>
      <c r="Q79" s="61">
        <v>920143</v>
      </c>
      <c r="R79" s="61">
        <v>460071.5</v>
      </c>
      <c r="S79" s="61">
        <v>460071.5</v>
      </c>
      <c r="T79" s="61">
        <v>0</v>
      </c>
      <c r="U79" s="83">
        <v>76.996148062493191</v>
      </c>
      <c r="V79" s="83">
        <v>0.77</v>
      </c>
    </row>
    <row r="80" spans="1:22">
      <c r="A80" s="61" t="s">
        <v>244</v>
      </c>
      <c r="B80" s="61">
        <v>66</v>
      </c>
      <c r="C80" s="61" t="s">
        <v>534</v>
      </c>
      <c r="D80" s="61" t="s">
        <v>1126</v>
      </c>
      <c r="E80" s="83" t="s">
        <v>1096</v>
      </c>
      <c r="G80" s="61" t="s">
        <v>1127</v>
      </c>
      <c r="H80" s="61">
        <v>100</v>
      </c>
      <c r="I80" s="61">
        <v>1</v>
      </c>
      <c r="J80" s="61">
        <v>1</v>
      </c>
      <c r="K80" s="61">
        <v>0</v>
      </c>
      <c r="L80" s="61">
        <v>75</v>
      </c>
      <c r="M80" s="61">
        <v>0.75</v>
      </c>
      <c r="N80" s="84">
        <v>2013</v>
      </c>
      <c r="O80" s="61">
        <v>2045</v>
      </c>
      <c r="P80" s="61">
        <v>2017</v>
      </c>
      <c r="Q80" s="61">
        <v>920143</v>
      </c>
      <c r="R80" s="61">
        <v>460071.5</v>
      </c>
      <c r="S80" s="61">
        <v>460071.5</v>
      </c>
      <c r="T80" s="61">
        <v>0</v>
      </c>
      <c r="U80" s="83">
        <v>76.996148062493191</v>
      </c>
      <c r="V80" s="83">
        <v>0.77</v>
      </c>
    </row>
    <row r="81" spans="1:22">
      <c r="A81" s="61" t="s">
        <v>247</v>
      </c>
      <c r="B81" s="61">
        <v>67</v>
      </c>
      <c r="C81" s="61" t="s">
        <v>1022</v>
      </c>
      <c r="D81" s="61" t="s">
        <v>1126</v>
      </c>
      <c r="E81" s="83" t="s">
        <v>1096</v>
      </c>
      <c r="G81" s="61" t="s">
        <v>1127</v>
      </c>
      <c r="H81" s="61">
        <v>90</v>
      </c>
      <c r="I81" s="61">
        <v>0.9</v>
      </c>
      <c r="J81" s="61">
        <v>0.9</v>
      </c>
      <c r="K81" s="61">
        <v>0</v>
      </c>
      <c r="L81" s="61">
        <v>15</v>
      </c>
      <c r="M81" s="61">
        <v>0.15</v>
      </c>
      <c r="N81" s="84">
        <v>2013</v>
      </c>
      <c r="O81" s="61">
        <v>2020</v>
      </c>
      <c r="P81" s="61">
        <v>2015</v>
      </c>
      <c r="Q81" s="61">
        <v>1566367</v>
      </c>
      <c r="R81" s="61">
        <v>783183.5</v>
      </c>
      <c r="S81" s="61">
        <v>783183.5</v>
      </c>
      <c r="T81" s="61">
        <v>0</v>
      </c>
      <c r="U81" s="83">
        <v>97.709753418792218</v>
      </c>
      <c r="V81" s="83">
        <v>0.97709999999999997</v>
      </c>
    </row>
    <row r="82" spans="1:22">
      <c r="A82" s="61" t="s">
        <v>247</v>
      </c>
      <c r="B82" s="61">
        <v>67</v>
      </c>
      <c r="C82" s="61" t="s">
        <v>1022</v>
      </c>
      <c r="D82" s="61" t="s">
        <v>1126</v>
      </c>
      <c r="E82" s="83" t="s">
        <v>1096</v>
      </c>
      <c r="G82" s="61" t="s">
        <v>1157</v>
      </c>
      <c r="H82" s="61">
        <v>80</v>
      </c>
      <c r="I82" s="61">
        <v>0.8</v>
      </c>
      <c r="J82" s="61">
        <v>0.8</v>
      </c>
      <c r="K82" s="61">
        <v>0.8</v>
      </c>
      <c r="L82" s="61">
        <v>10</v>
      </c>
      <c r="M82" s="61">
        <v>0.1</v>
      </c>
      <c r="N82" s="84">
        <v>2018</v>
      </c>
      <c r="O82" s="61">
        <v>2025</v>
      </c>
      <c r="P82" s="61">
        <v>2019</v>
      </c>
      <c r="Q82" s="61">
        <v>18903340</v>
      </c>
      <c r="R82" s="61">
        <v>6301113.3333000001</v>
      </c>
      <c r="S82" s="61">
        <v>6301113.3333000001</v>
      </c>
      <c r="T82" s="61">
        <v>6301113.3333000001</v>
      </c>
      <c r="U82" s="83">
        <v>1000</v>
      </c>
      <c r="V82" s="83">
        <v>10</v>
      </c>
    </row>
    <row r="83" spans="1:22">
      <c r="A83" s="61" t="s">
        <v>252</v>
      </c>
      <c r="B83" s="61">
        <v>68</v>
      </c>
      <c r="C83" s="61" t="s">
        <v>899</v>
      </c>
      <c r="D83" s="61" t="s">
        <v>1126</v>
      </c>
      <c r="E83" s="83" t="s">
        <v>1096</v>
      </c>
      <c r="G83" s="61" t="s">
        <v>1157</v>
      </c>
      <c r="H83" s="61">
        <v>100</v>
      </c>
      <c r="I83" s="61">
        <v>1</v>
      </c>
      <c r="J83" s="61">
        <v>1</v>
      </c>
      <c r="K83" s="61">
        <v>1</v>
      </c>
      <c r="L83" s="61">
        <v>100</v>
      </c>
      <c r="M83" s="61">
        <v>1</v>
      </c>
      <c r="N83" s="84">
        <v>2012</v>
      </c>
      <c r="O83" s="61">
        <v>2022</v>
      </c>
      <c r="P83" s="61">
        <v>2017</v>
      </c>
      <c r="Q83" s="61">
        <v>465350</v>
      </c>
      <c r="R83" s="61">
        <v>155116.6667</v>
      </c>
      <c r="S83" s="61">
        <v>155116.6667</v>
      </c>
      <c r="T83" s="61">
        <v>155116.6667</v>
      </c>
      <c r="U83" s="83">
        <v>34.629848501128187</v>
      </c>
      <c r="V83" s="83">
        <v>0.3463</v>
      </c>
    </row>
    <row r="84" spans="1:22">
      <c r="A84" s="61" t="s">
        <v>252</v>
      </c>
      <c r="B84" s="61">
        <v>68</v>
      </c>
      <c r="C84" s="61" t="s">
        <v>899</v>
      </c>
      <c r="D84" s="61" t="s">
        <v>1126</v>
      </c>
      <c r="E84" s="83" t="s">
        <v>1096</v>
      </c>
      <c r="G84" s="61" t="s">
        <v>1127</v>
      </c>
      <c r="H84" s="61">
        <v>100</v>
      </c>
      <c r="I84" s="61">
        <v>1</v>
      </c>
      <c r="J84" s="61">
        <v>1</v>
      </c>
      <c r="K84" s="61">
        <v>0</v>
      </c>
      <c r="L84" s="61">
        <v>90</v>
      </c>
      <c r="M84" s="61">
        <v>0.9</v>
      </c>
      <c r="N84" s="84">
        <v>2012</v>
      </c>
      <c r="O84" s="61">
        <v>2022</v>
      </c>
      <c r="P84" s="61">
        <v>2017</v>
      </c>
      <c r="Q84" s="61">
        <v>357990</v>
      </c>
      <c r="R84" s="61">
        <v>178995</v>
      </c>
      <c r="S84" s="61">
        <v>178995</v>
      </c>
      <c r="T84" s="61">
        <v>0</v>
      </c>
      <c r="U84" s="83">
        <v>47.639443684025935</v>
      </c>
      <c r="V84" s="83">
        <v>0.47639999999999999</v>
      </c>
    </row>
    <row r="85" spans="1:22">
      <c r="A85" s="61" t="s">
        <v>252</v>
      </c>
      <c r="B85" s="61">
        <v>68</v>
      </c>
      <c r="C85" s="61" t="s">
        <v>899</v>
      </c>
      <c r="D85" s="61" t="s">
        <v>1126</v>
      </c>
      <c r="E85" s="83" t="s">
        <v>1096</v>
      </c>
      <c r="G85" s="61" t="s">
        <v>1127</v>
      </c>
      <c r="H85" s="61">
        <v>100</v>
      </c>
      <c r="I85" s="61">
        <v>1</v>
      </c>
      <c r="J85" s="61">
        <v>1</v>
      </c>
      <c r="K85" s="61">
        <v>0</v>
      </c>
      <c r="L85" s="61">
        <v>90</v>
      </c>
      <c r="M85" s="61">
        <v>0.9</v>
      </c>
      <c r="N85" s="84">
        <v>2012</v>
      </c>
      <c r="O85" s="61">
        <v>2033</v>
      </c>
      <c r="P85" s="61">
        <v>2017</v>
      </c>
      <c r="Q85" s="61">
        <v>357990</v>
      </c>
      <c r="R85" s="61">
        <v>178995</v>
      </c>
      <c r="S85" s="61">
        <v>178995</v>
      </c>
      <c r="T85" s="61">
        <v>0</v>
      </c>
      <c r="U85" s="83">
        <v>47.639443684025935</v>
      </c>
      <c r="V85" s="83">
        <v>0.47639999999999999</v>
      </c>
    </row>
    <row r="86" spans="1:22">
      <c r="A86" s="61" t="s">
        <v>260</v>
      </c>
      <c r="B86" s="61">
        <v>71</v>
      </c>
      <c r="C86" s="61" t="s">
        <v>524</v>
      </c>
      <c r="D86" s="61" t="s">
        <v>1126</v>
      </c>
      <c r="E86" s="83" t="s">
        <v>1096</v>
      </c>
      <c r="G86" s="61" t="s">
        <v>1127</v>
      </c>
      <c r="H86" s="61">
        <v>100</v>
      </c>
      <c r="I86" s="61">
        <v>1</v>
      </c>
      <c r="J86" s="61">
        <v>1</v>
      </c>
      <c r="K86" s="61">
        <v>0</v>
      </c>
      <c r="L86" s="61">
        <v>65</v>
      </c>
      <c r="M86" s="61">
        <v>0.65</v>
      </c>
      <c r="N86" s="84">
        <v>2015</v>
      </c>
      <c r="O86" s="61">
        <v>2025</v>
      </c>
      <c r="P86" s="61">
        <v>2019</v>
      </c>
      <c r="Q86" s="61">
        <v>264394</v>
      </c>
      <c r="R86" s="61">
        <v>132197</v>
      </c>
      <c r="S86" s="61">
        <v>132197</v>
      </c>
      <c r="T86" s="61">
        <v>0</v>
      </c>
      <c r="U86" s="83">
        <v>5.0129148747120409</v>
      </c>
      <c r="V86" s="83">
        <v>5.0099999999999999E-2</v>
      </c>
    </row>
    <row r="87" spans="1:22">
      <c r="A87" s="61" t="s">
        <v>271</v>
      </c>
      <c r="B87" s="61">
        <v>73</v>
      </c>
      <c r="C87" s="61" t="s">
        <v>917</v>
      </c>
      <c r="D87" s="61" t="s">
        <v>1126</v>
      </c>
      <c r="E87" s="83" t="s">
        <v>1096</v>
      </c>
      <c r="G87" s="61" t="s">
        <v>1127</v>
      </c>
      <c r="H87" s="61">
        <v>77</v>
      </c>
      <c r="I87" s="61">
        <v>0.77</v>
      </c>
      <c r="J87" s="61">
        <v>0.77</v>
      </c>
      <c r="K87" s="61">
        <v>0</v>
      </c>
      <c r="L87" s="61">
        <v>4.5999999999999996</v>
      </c>
      <c r="M87" s="61">
        <v>4.5999999999999999E-2</v>
      </c>
      <c r="N87" s="84">
        <v>2013</v>
      </c>
      <c r="O87" s="61">
        <v>2025</v>
      </c>
      <c r="P87" s="61">
        <v>2020</v>
      </c>
      <c r="Q87" s="61">
        <v>8081870</v>
      </c>
      <c r="R87" s="61">
        <v>4040935</v>
      </c>
      <c r="S87" s="61">
        <v>4040935</v>
      </c>
      <c r="T87" s="61">
        <v>0</v>
      </c>
      <c r="U87" s="83">
        <v>2173.9130434782633</v>
      </c>
      <c r="V87" s="83">
        <v>21.739100000000001</v>
      </c>
    </row>
    <row r="88" spans="1:22">
      <c r="A88" s="61" t="s">
        <v>276</v>
      </c>
      <c r="B88" s="61">
        <v>74</v>
      </c>
      <c r="C88" s="61" t="s">
        <v>923</v>
      </c>
      <c r="D88" s="61" t="s">
        <v>1126</v>
      </c>
      <c r="E88" s="83" t="s">
        <v>1096</v>
      </c>
      <c r="G88" s="61" t="s">
        <v>1127</v>
      </c>
      <c r="H88" s="61">
        <v>100</v>
      </c>
      <c r="I88" s="61">
        <v>1</v>
      </c>
      <c r="J88" s="61">
        <v>1</v>
      </c>
      <c r="K88" s="61">
        <v>0</v>
      </c>
      <c r="L88" s="61">
        <v>26</v>
      </c>
      <c r="M88" s="61">
        <v>0.26</v>
      </c>
      <c r="N88" s="84">
        <v>2015</v>
      </c>
      <c r="O88" s="61">
        <v>2025</v>
      </c>
      <c r="P88" s="61">
        <v>2018</v>
      </c>
      <c r="Q88" s="61">
        <v>459516</v>
      </c>
      <c r="R88" s="61">
        <v>229758</v>
      </c>
      <c r="S88" s="61">
        <v>229758</v>
      </c>
      <c r="T88" s="61">
        <v>0</v>
      </c>
      <c r="U88" s="83">
        <v>78.655501741966646</v>
      </c>
      <c r="V88" s="83">
        <v>0.78659999999999997</v>
      </c>
    </row>
    <row r="89" spans="1:22">
      <c r="A89" s="61" t="s">
        <v>276</v>
      </c>
      <c r="B89" s="61">
        <v>74</v>
      </c>
      <c r="C89" s="61" t="s">
        <v>923</v>
      </c>
      <c r="D89" s="61" t="s">
        <v>1126</v>
      </c>
      <c r="E89" s="83" t="s">
        <v>1096</v>
      </c>
      <c r="G89" s="61" t="s">
        <v>1127</v>
      </c>
      <c r="H89" s="61">
        <v>100</v>
      </c>
      <c r="I89" s="61">
        <v>1</v>
      </c>
      <c r="J89" s="61">
        <v>1</v>
      </c>
      <c r="K89" s="61">
        <v>0</v>
      </c>
      <c r="L89" s="61">
        <v>65</v>
      </c>
      <c r="M89" s="61">
        <v>0.65</v>
      </c>
      <c r="N89" s="84">
        <v>2015</v>
      </c>
      <c r="O89" s="61">
        <v>2050</v>
      </c>
      <c r="P89" s="61">
        <v>2018</v>
      </c>
      <c r="Q89" s="61">
        <v>459516</v>
      </c>
      <c r="R89" s="61">
        <v>229758</v>
      </c>
      <c r="S89" s="61">
        <v>229758</v>
      </c>
      <c r="T89" s="61">
        <v>0</v>
      </c>
      <c r="U89" s="83">
        <v>31.462200696786653</v>
      </c>
      <c r="V89" s="83">
        <v>0.31459999999999999</v>
      </c>
    </row>
    <row r="90" spans="1:22">
      <c r="A90" s="61" t="s">
        <v>276</v>
      </c>
      <c r="B90" s="61">
        <v>74</v>
      </c>
      <c r="C90" s="61" t="s">
        <v>923</v>
      </c>
      <c r="D90" s="61" t="s">
        <v>1126</v>
      </c>
      <c r="E90" s="83" t="s">
        <v>1096</v>
      </c>
      <c r="G90" s="61" t="s">
        <v>1127</v>
      </c>
      <c r="H90" s="61">
        <v>81</v>
      </c>
      <c r="I90" s="61">
        <v>0.81</v>
      </c>
      <c r="J90" s="61">
        <v>0.81</v>
      </c>
      <c r="K90" s="61">
        <v>0</v>
      </c>
      <c r="L90" s="61">
        <v>20</v>
      </c>
      <c r="M90" s="61">
        <v>0.2</v>
      </c>
      <c r="N90" s="84">
        <v>2015</v>
      </c>
      <c r="O90" s="61">
        <v>2020</v>
      </c>
      <c r="P90" s="61">
        <v>2016</v>
      </c>
      <c r="Q90" s="61">
        <v>373626</v>
      </c>
      <c r="R90" s="61">
        <v>186813</v>
      </c>
      <c r="S90" s="61">
        <v>186813</v>
      </c>
      <c r="T90" s="61">
        <v>0</v>
      </c>
      <c r="U90" s="83">
        <v>216.45442233677525</v>
      </c>
      <c r="V90" s="83">
        <v>2.1644999999999999</v>
      </c>
    </row>
    <row r="91" spans="1:22">
      <c r="A91" s="61" t="s">
        <v>276</v>
      </c>
      <c r="B91" s="61">
        <v>74</v>
      </c>
      <c r="C91" s="61" t="s">
        <v>923</v>
      </c>
      <c r="D91" s="61" t="s">
        <v>1126</v>
      </c>
      <c r="E91" s="83" t="s">
        <v>1096</v>
      </c>
      <c r="G91" s="61" t="s">
        <v>1141</v>
      </c>
      <c r="H91" s="61">
        <v>100</v>
      </c>
      <c r="I91" s="61">
        <v>0</v>
      </c>
      <c r="J91" s="61">
        <v>0</v>
      </c>
      <c r="K91" s="61">
        <v>1</v>
      </c>
      <c r="L91" s="61">
        <v>25</v>
      </c>
      <c r="M91" s="61">
        <v>0.25</v>
      </c>
      <c r="N91" s="84">
        <v>2019</v>
      </c>
      <c r="O91" s="61">
        <v>2025</v>
      </c>
      <c r="P91" s="61">
        <v>2019</v>
      </c>
      <c r="Q91" s="61">
        <v>173807</v>
      </c>
      <c r="R91" s="61">
        <v>0</v>
      </c>
      <c r="S91" s="61">
        <v>0</v>
      </c>
      <c r="T91" s="61">
        <v>173807</v>
      </c>
      <c r="U91" s="83">
        <v>0</v>
      </c>
      <c r="V91" s="83">
        <v>0</v>
      </c>
    </row>
    <row r="92" spans="1:22">
      <c r="A92" s="61" t="s">
        <v>285</v>
      </c>
      <c r="B92" s="61">
        <v>76</v>
      </c>
      <c r="C92" s="61" t="s">
        <v>519</v>
      </c>
      <c r="D92" s="61" t="s">
        <v>1126</v>
      </c>
      <c r="E92" s="83" t="s">
        <v>1096</v>
      </c>
      <c r="G92" s="61" t="s">
        <v>1157</v>
      </c>
      <c r="H92" s="61">
        <v>100</v>
      </c>
      <c r="I92" s="61">
        <v>1</v>
      </c>
      <c r="J92" s="61">
        <v>1</v>
      </c>
      <c r="K92" s="61">
        <v>1</v>
      </c>
      <c r="L92" s="61">
        <v>20</v>
      </c>
      <c r="M92" s="61">
        <v>0.2</v>
      </c>
      <c r="N92" s="84">
        <v>2015</v>
      </c>
      <c r="O92" s="61">
        <v>2030</v>
      </c>
      <c r="P92" s="61">
        <v>2016</v>
      </c>
      <c r="Q92" s="61">
        <v>58755109</v>
      </c>
      <c r="R92" s="61">
        <v>19585036.333299998</v>
      </c>
      <c r="S92" s="61">
        <v>19585036.333299998</v>
      </c>
      <c r="T92" s="61">
        <v>19585036.333299998</v>
      </c>
      <c r="U92" s="83">
        <v>28.187965747795658</v>
      </c>
      <c r="V92" s="83">
        <v>0.28189999999999998</v>
      </c>
    </row>
    <row r="93" spans="1:22">
      <c r="A93" s="61" t="s">
        <v>289</v>
      </c>
      <c r="B93" s="61">
        <v>77</v>
      </c>
      <c r="C93" s="61" t="s">
        <v>520</v>
      </c>
      <c r="D93" s="61" t="s">
        <v>1126</v>
      </c>
      <c r="E93" s="83" t="s">
        <v>1096</v>
      </c>
      <c r="G93" s="61" t="s">
        <v>1127</v>
      </c>
      <c r="H93" s="61">
        <v>100</v>
      </c>
      <c r="I93" s="61">
        <v>1</v>
      </c>
      <c r="J93" s="61">
        <v>1</v>
      </c>
      <c r="K93" s="61">
        <v>0</v>
      </c>
      <c r="L93" s="61">
        <v>20</v>
      </c>
      <c r="M93" s="61">
        <v>0.2</v>
      </c>
      <c r="N93" s="84">
        <v>2012</v>
      </c>
      <c r="O93" s="61">
        <v>2020</v>
      </c>
      <c r="P93" s="61">
        <v>2013</v>
      </c>
      <c r="Q93" s="61">
        <v>2005730</v>
      </c>
      <c r="R93" s="61">
        <v>1002865</v>
      </c>
      <c r="S93" s="61">
        <v>1002865</v>
      </c>
      <c r="T93" s="61">
        <v>0</v>
      </c>
      <c r="U93" s="83">
        <v>126.83810881823577</v>
      </c>
      <c r="V93" s="83">
        <v>1.2684</v>
      </c>
    </row>
    <row r="94" spans="1:22">
      <c r="A94" s="61" t="s">
        <v>289</v>
      </c>
      <c r="B94" s="61">
        <v>77</v>
      </c>
      <c r="C94" s="61" t="s">
        <v>520</v>
      </c>
      <c r="D94" s="61" t="s">
        <v>1126</v>
      </c>
      <c r="E94" s="83" t="s">
        <v>1096</v>
      </c>
      <c r="G94" s="61" t="s">
        <v>1127</v>
      </c>
      <c r="H94" s="61">
        <v>100</v>
      </c>
      <c r="I94" s="61">
        <v>1</v>
      </c>
      <c r="J94" s="61">
        <v>1</v>
      </c>
      <c r="K94" s="61">
        <v>0</v>
      </c>
      <c r="L94" s="61">
        <v>60</v>
      </c>
      <c r="M94" s="61">
        <v>0.6</v>
      </c>
      <c r="N94" s="84">
        <v>2000</v>
      </c>
      <c r="O94" s="61">
        <v>2050</v>
      </c>
      <c r="P94" s="61">
        <v>2002</v>
      </c>
      <c r="Q94" s="61">
        <v>3479388</v>
      </c>
      <c r="R94" s="61">
        <v>1739694</v>
      </c>
      <c r="S94" s="61">
        <v>1739694</v>
      </c>
      <c r="T94" s="61">
        <v>0</v>
      </c>
      <c r="U94" s="83">
        <v>94.962294135252137</v>
      </c>
      <c r="V94" s="83">
        <v>0.9496</v>
      </c>
    </row>
    <row r="95" spans="1:22">
      <c r="A95" s="61" t="s">
        <v>293</v>
      </c>
      <c r="B95" s="61">
        <v>78</v>
      </c>
      <c r="C95" s="61" t="s">
        <v>521</v>
      </c>
      <c r="D95" s="61" t="s">
        <v>1126</v>
      </c>
      <c r="E95" s="83" t="s">
        <v>1096</v>
      </c>
      <c r="G95" s="61" t="s">
        <v>1127</v>
      </c>
      <c r="H95" s="61">
        <v>100</v>
      </c>
      <c r="I95" s="61">
        <v>1</v>
      </c>
      <c r="J95" s="61">
        <v>1</v>
      </c>
      <c r="K95" s="61">
        <v>0</v>
      </c>
      <c r="L95" s="61">
        <v>40</v>
      </c>
      <c r="M95" s="61">
        <v>0.4</v>
      </c>
      <c r="N95" s="61">
        <v>2010</v>
      </c>
      <c r="O95" s="61">
        <v>2030</v>
      </c>
      <c r="P95" s="61">
        <v>2016</v>
      </c>
      <c r="Q95" s="61">
        <v>914050</v>
      </c>
      <c r="R95" s="61">
        <v>457025</v>
      </c>
      <c r="S95" s="61">
        <v>457025</v>
      </c>
      <c r="T95" s="61">
        <v>0</v>
      </c>
      <c r="U95" s="83">
        <v>97.96181828127564</v>
      </c>
      <c r="V95" s="83">
        <v>0.97960000000000003</v>
      </c>
    </row>
    <row r="96" spans="1:22">
      <c r="A96" s="61" t="s">
        <v>293</v>
      </c>
      <c r="B96" s="61">
        <v>78</v>
      </c>
      <c r="C96" s="61" t="s">
        <v>521</v>
      </c>
      <c r="D96" s="61" t="s">
        <v>1126</v>
      </c>
      <c r="E96" s="83" t="s">
        <v>1096</v>
      </c>
      <c r="G96" s="61" t="s">
        <v>1127</v>
      </c>
      <c r="H96" s="61">
        <v>100</v>
      </c>
      <c r="I96" s="61">
        <v>1</v>
      </c>
      <c r="J96" s="61">
        <v>1</v>
      </c>
      <c r="K96" s="61">
        <v>0</v>
      </c>
      <c r="L96" s="61">
        <v>60</v>
      </c>
      <c r="M96" s="61">
        <v>0.6</v>
      </c>
      <c r="N96" s="61">
        <v>2010</v>
      </c>
      <c r="O96" s="61">
        <v>2040</v>
      </c>
      <c r="P96" s="61">
        <v>2016</v>
      </c>
      <c r="Q96" s="61">
        <v>914050</v>
      </c>
      <c r="R96" s="61">
        <v>457025</v>
      </c>
      <c r="S96" s="61">
        <v>457025</v>
      </c>
      <c r="T96" s="61">
        <v>0</v>
      </c>
      <c r="U96" s="83">
        <v>65.30787885418377</v>
      </c>
      <c r="V96" s="83">
        <v>0.65310000000000001</v>
      </c>
    </row>
    <row r="97" spans="1:22">
      <c r="A97" s="61" t="s">
        <v>293</v>
      </c>
      <c r="B97" s="61">
        <v>78</v>
      </c>
      <c r="C97" s="61" t="s">
        <v>521</v>
      </c>
      <c r="D97" s="61" t="s">
        <v>1126</v>
      </c>
      <c r="E97" s="83" t="s">
        <v>1096</v>
      </c>
      <c r="G97" s="61" t="s">
        <v>1157</v>
      </c>
      <c r="H97" s="61">
        <v>100</v>
      </c>
      <c r="I97" s="61">
        <v>1</v>
      </c>
      <c r="J97" s="61">
        <v>1</v>
      </c>
      <c r="K97" s="61">
        <v>1</v>
      </c>
      <c r="L97" s="61">
        <v>40</v>
      </c>
      <c r="M97" s="61">
        <v>0.4</v>
      </c>
      <c r="N97" s="61">
        <v>2010</v>
      </c>
      <c r="O97" s="61">
        <v>2030</v>
      </c>
      <c r="P97" s="61">
        <v>2016</v>
      </c>
      <c r="Q97" s="61">
        <v>8062275</v>
      </c>
      <c r="R97" s="61">
        <v>2687425</v>
      </c>
      <c r="S97" s="61">
        <v>2687425</v>
      </c>
      <c r="T97" s="61">
        <v>2687425</v>
      </c>
      <c r="U97" s="83">
        <v>104.80239758628922</v>
      </c>
      <c r="V97" s="83">
        <v>1.048</v>
      </c>
    </row>
    <row r="98" spans="1:22">
      <c r="A98" s="61" t="s">
        <v>297</v>
      </c>
      <c r="B98" s="61">
        <v>79</v>
      </c>
      <c r="C98" s="61" t="s">
        <v>522</v>
      </c>
      <c r="D98" s="61" t="s">
        <v>1126</v>
      </c>
      <c r="E98" s="83" t="s">
        <v>1096</v>
      </c>
      <c r="G98" s="61" t="s">
        <v>1127</v>
      </c>
      <c r="H98" s="61">
        <v>100</v>
      </c>
      <c r="I98" s="61">
        <v>1</v>
      </c>
      <c r="J98" s="61">
        <v>1</v>
      </c>
      <c r="K98" s="61">
        <v>0</v>
      </c>
      <c r="L98" s="61">
        <v>30</v>
      </c>
      <c r="M98" s="61">
        <v>0.3</v>
      </c>
      <c r="N98" s="61">
        <v>2010</v>
      </c>
      <c r="O98" s="61">
        <v>2020</v>
      </c>
      <c r="P98" s="61">
        <v>2012</v>
      </c>
      <c r="Q98" s="61">
        <v>5422275</v>
      </c>
      <c r="R98" s="61">
        <v>2711137.5</v>
      </c>
      <c r="S98" s="61">
        <v>2711137.5</v>
      </c>
      <c r="T98" s="61">
        <v>0</v>
      </c>
      <c r="U98" s="83">
        <v>84.360346902361101</v>
      </c>
      <c r="V98" s="83">
        <v>0.84360000000000002</v>
      </c>
    </row>
    <row r="99" spans="1:22">
      <c r="A99" s="61" t="s">
        <v>297</v>
      </c>
      <c r="B99" s="61">
        <v>79</v>
      </c>
      <c r="C99" s="61" t="s">
        <v>522</v>
      </c>
      <c r="D99" s="61" t="s">
        <v>1126</v>
      </c>
      <c r="E99" s="83" t="s">
        <v>1096</v>
      </c>
      <c r="G99" s="61" t="s">
        <v>1127</v>
      </c>
      <c r="H99" s="61">
        <v>100</v>
      </c>
      <c r="I99" s="61">
        <v>1</v>
      </c>
      <c r="J99" s="61">
        <v>1</v>
      </c>
      <c r="K99" s="61">
        <v>0</v>
      </c>
      <c r="L99" s="61">
        <v>50</v>
      </c>
      <c r="M99" s="61">
        <v>0.5</v>
      </c>
      <c r="N99" s="61">
        <v>2010</v>
      </c>
      <c r="O99" s="61">
        <v>2030</v>
      </c>
      <c r="P99" s="61">
        <v>2018</v>
      </c>
      <c r="Q99" s="61">
        <v>5422275</v>
      </c>
      <c r="R99" s="61">
        <v>2711137.5</v>
      </c>
      <c r="S99" s="61">
        <v>2711137.5</v>
      </c>
      <c r="T99" s="61">
        <v>0</v>
      </c>
      <c r="U99" s="83">
        <v>50.616208141416649</v>
      </c>
      <c r="V99" s="83">
        <v>0.50619999999999998</v>
      </c>
    </row>
    <row r="100" spans="1:22">
      <c r="A100" s="61" t="s">
        <v>302</v>
      </c>
      <c r="B100" s="61">
        <v>80</v>
      </c>
      <c r="C100" s="61" t="s">
        <v>946</v>
      </c>
      <c r="D100" s="61" t="s">
        <v>1126</v>
      </c>
      <c r="E100" s="83" t="s">
        <v>1096</v>
      </c>
      <c r="G100" s="61" t="s">
        <v>1127</v>
      </c>
      <c r="H100" s="61">
        <v>100</v>
      </c>
      <c r="I100" s="61">
        <v>1</v>
      </c>
      <c r="J100" s="61">
        <v>1</v>
      </c>
      <c r="K100" s="61">
        <v>0</v>
      </c>
      <c r="L100" s="61">
        <v>30</v>
      </c>
      <c r="M100" s="61">
        <v>0.3</v>
      </c>
      <c r="N100" s="84">
        <v>2014</v>
      </c>
      <c r="O100" s="61">
        <v>2025</v>
      </c>
      <c r="P100" s="61">
        <v>2015</v>
      </c>
      <c r="Q100" s="61">
        <v>230637</v>
      </c>
      <c r="R100" s="61">
        <v>115318.5</v>
      </c>
      <c r="S100" s="61">
        <v>115318.5</v>
      </c>
      <c r="T100" s="61">
        <v>0</v>
      </c>
      <c r="U100" s="83">
        <v>59.670969243154104</v>
      </c>
      <c r="V100" s="83">
        <v>0.59670000000000001</v>
      </c>
    </row>
    <row r="101" spans="1:22">
      <c r="A101" s="61" t="s">
        <v>311</v>
      </c>
      <c r="B101" s="61">
        <v>82</v>
      </c>
      <c r="C101" s="61" t="s">
        <v>952</v>
      </c>
      <c r="D101" s="61" t="s">
        <v>1126</v>
      </c>
      <c r="E101" s="83" t="s">
        <v>1096</v>
      </c>
      <c r="G101" s="61" t="s">
        <v>1127</v>
      </c>
      <c r="H101" s="61">
        <v>100</v>
      </c>
      <c r="I101" s="61">
        <v>1</v>
      </c>
      <c r="J101" s="61">
        <v>1</v>
      </c>
      <c r="K101" s="61">
        <v>0</v>
      </c>
      <c r="L101" s="61">
        <v>100</v>
      </c>
      <c r="M101" s="61">
        <v>1</v>
      </c>
      <c r="N101" s="84">
        <v>2015</v>
      </c>
      <c r="O101" s="61">
        <v>2050</v>
      </c>
      <c r="P101" s="61">
        <v>2016</v>
      </c>
      <c r="Q101" s="61">
        <v>106542</v>
      </c>
      <c r="R101" s="61">
        <v>53271</v>
      </c>
      <c r="S101" s="61">
        <v>53271</v>
      </c>
      <c r="T101" s="61">
        <v>0</v>
      </c>
      <c r="U101" s="83">
        <v>-31.878508006232288</v>
      </c>
      <c r="V101" s="83">
        <v>-0.31879999999999997</v>
      </c>
    </row>
    <row r="102" spans="1:22">
      <c r="A102" s="61" t="s">
        <v>311</v>
      </c>
      <c r="B102" s="61">
        <v>82</v>
      </c>
      <c r="C102" s="61" t="s">
        <v>952</v>
      </c>
      <c r="D102" s="61" t="s">
        <v>1126</v>
      </c>
      <c r="E102" s="83" t="s">
        <v>1096</v>
      </c>
      <c r="G102" s="61" t="s">
        <v>1127</v>
      </c>
      <c r="H102" s="61">
        <v>100</v>
      </c>
      <c r="I102" s="61">
        <v>1</v>
      </c>
      <c r="J102" s="61">
        <v>1</v>
      </c>
      <c r="K102" s="61">
        <v>0</v>
      </c>
      <c r="L102" s="61">
        <v>52</v>
      </c>
      <c r="M102" s="61">
        <v>0.52</v>
      </c>
      <c r="N102" s="84">
        <v>2015</v>
      </c>
      <c r="O102" s="61">
        <v>2050</v>
      </c>
      <c r="P102" s="61">
        <v>2016</v>
      </c>
      <c r="Q102" s="61">
        <v>106542</v>
      </c>
      <c r="R102" s="61">
        <v>53271</v>
      </c>
      <c r="S102" s="61">
        <v>53271</v>
      </c>
      <c r="T102" s="61">
        <v>0</v>
      </c>
      <c r="U102" s="83">
        <v>-61.304823088908243</v>
      </c>
      <c r="V102" s="83">
        <v>-0.61299999999999999</v>
      </c>
    </row>
    <row r="103" spans="1:22">
      <c r="A103" s="61" t="s">
        <v>311</v>
      </c>
      <c r="B103" s="61">
        <v>82</v>
      </c>
      <c r="C103" s="61" t="s">
        <v>952</v>
      </c>
      <c r="D103" s="61" t="s">
        <v>1126</v>
      </c>
      <c r="E103" s="83" t="s">
        <v>1096</v>
      </c>
      <c r="G103" s="61" t="s">
        <v>1127</v>
      </c>
      <c r="H103" s="61">
        <v>100</v>
      </c>
      <c r="I103" s="61">
        <v>1</v>
      </c>
      <c r="J103" s="61">
        <v>1</v>
      </c>
      <c r="K103" s="61">
        <v>0</v>
      </c>
      <c r="L103" s="61">
        <v>27</v>
      </c>
      <c r="M103" s="61">
        <v>0.27</v>
      </c>
      <c r="N103" s="84">
        <v>2015</v>
      </c>
      <c r="O103" s="61">
        <v>2030</v>
      </c>
      <c r="P103" s="61">
        <v>2016</v>
      </c>
      <c r="Q103" s="61">
        <v>106542</v>
      </c>
      <c r="R103" s="61">
        <v>53271</v>
      </c>
      <c r="S103" s="61">
        <v>53271</v>
      </c>
      <c r="T103" s="61">
        <v>0</v>
      </c>
      <c r="U103" s="83">
        <v>-118.06854817123069</v>
      </c>
      <c r="V103" s="83">
        <v>-1.1807000000000001</v>
      </c>
    </row>
    <row r="104" spans="1:22">
      <c r="A104" s="61" t="s">
        <v>311</v>
      </c>
      <c r="B104" s="61">
        <v>82</v>
      </c>
      <c r="C104" s="61" t="s">
        <v>952</v>
      </c>
      <c r="D104" s="61" t="s">
        <v>1126</v>
      </c>
      <c r="E104" s="83" t="s">
        <v>1096</v>
      </c>
      <c r="G104" s="61" t="s">
        <v>1127</v>
      </c>
      <c r="H104" s="61">
        <v>100</v>
      </c>
      <c r="I104" s="61">
        <v>1</v>
      </c>
      <c r="J104" s="61">
        <v>1</v>
      </c>
      <c r="K104" s="61">
        <v>0</v>
      </c>
      <c r="L104" s="61">
        <v>50</v>
      </c>
      <c r="M104" s="61">
        <v>0.5</v>
      </c>
      <c r="N104" s="84">
        <v>2018</v>
      </c>
      <c r="O104" s="61">
        <v>2030</v>
      </c>
      <c r="P104" s="61">
        <v>2019</v>
      </c>
      <c r="Q104" s="61">
        <v>162938</v>
      </c>
      <c r="R104" s="61">
        <v>81469</v>
      </c>
      <c r="S104" s="61">
        <v>81469</v>
      </c>
      <c r="T104" s="61">
        <v>0</v>
      </c>
      <c r="U104" s="83">
        <v>27.534399587573187</v>
      </c>
      <c r="V104" s="83">
        <v>0.27529999999999999</v>
      </c>
    </row>
    <row r="105" spans="1:22">
      <c r="A105" s="61" t="s">
        <v>311</v>
      </c>
      <c r="B105" s="61">
        <v>82</v>
      </c>
      <c r="C105" s="61" t="s">
        <v>952</v>
      </c>
      <c r="D105" s="61" t="s">
        <v>1126</v>
      </c>
      <c r="E105" s="83" t="s">
        <v>1096</v>
      </c>
      <c r="G105" s="61" t="s">
        <v>1141</v>
      </c>
      <c r="H105" s="61">
        <v>100</v>
      </c>
      <c r="I105" s="61">
        <v>0</v>
      </c>
      <c r="J105" s="61">
        <v>0</v>
      </c>
      <c r="K105" s="61">
        <v>1</v>
      </c>
      <c r="L105" s="61">
        <v>50</v>
      </c>
      <c r="M105" s="61">
        <v>0.5</v>
      </c>
      <c r="N105" s="84">
        <v>2018</v>
      </c>
      <c r="O105" s="61">
        <v>2030</v>
      </c>
      <c r="P105" s="61">
        <v>2018</v>
      </c>
      <c r="Q105" s="61">
        <v>67890</v>
      </c>
      <c r="R105" s="61">
        <v>0</v>
      </c>
      <c r="S105" s="61">
        <v>0</v>
      </c>
      <c r="T105" s="61">
        <v>67890</v>
      </c>
      <c r="U105" s="83">
        <v>18.694947709530123</v>
      </c>
      <c r="V105" s="83">
        <v>0.18690000000000001</v>
      </c>
    </row>
    <row r="106" spans="1:22">
      <c r="A106" s="61" t="s">
        <v>317</v>
      </c>
      <c r="B106" s="61">
        <v>84</v>
      </c>
      <c r="C106" s="61" t="s">
        <v>956</v>
      </c>
      <c r="D106" s="61" t="s">
        <v>1126</v>
      </c>
      <c r="E106" s="83" t="s">
        <v>1096</v>
      </c>
      <c r="G106" s="61" t="s">
        <v>1127</v>
      </c>
      <c r="H106" s="61">
        <v>100</v>
      </c>
      <c r="I106" s="61">
        <v>1</v>
      </c>
      <c r="J106" s="61">
        <v>1</v>
      </c>
      <c r="K106" s="61">
        <v>0</v>
      </c>
      <c r="L106" s="61">
        <v>68</v>
      </c>
      <c r="M106" s="61">
        <v>0.68</v>
      </c>
      <c r="N106" s="84">
        <v>2019</v>
      </c>
      <c r="O106" s="61">
        <v>2035</v>
      </c>
      <c r="P106" s="61">
        <v>2020</v>
      </c>
      <c r="Q106" s="61">
        <v>266578.01</v>
      </c>
      <c r="R106" s="61">
        <v>133289.005</v>
      </c>
      <c r="S106" s="61">
        <v>133289.005</v>
      </c>
      <c r="T106" s="61">
        <v>0</v>
      </c>
      <c r="U106" s="83">
        <v>0</v>
      </c>
      <c r="V106" s="83">
        <v>0</v>
      </c>
    </row>
    <row r="107" spans="1:22">
      <c r="A107" s="61" t="s">
        <v>317</v>
      </c>
      <c r="B107" s="61">
        <v>84</v>
      </c>
      <c r="C107" s="61" t="s">
        <v>956</v>
      </c>
      <c r="D107" s="61" t="s">
        <v>1126</v>
      </c>
      <c r="E107" s="83" t="s">
        <v>1096</v>
      </c>
      <c r="G107" s="61" t="s">
        <v>1170</v>
      </c>
      <c r="H107" s="61">
        <v>100</v>
      </c>
      <c r="I107" s="61">
        <v>0</v>
      </c>
      <c r="J107" s="61">
        <v>1</v>
      </c>
      <c r="K107" s="61">
        <v>0</v>
      </c>
      <c r="L107" s="61">
        <v>1</v>
      </c>
      <c r="M107" s="61">
        <v>0.01</v>
      </c>
      <c r="N107" s="84">
        <v>2018</v>
      </c>
      <c r="O107" s="61">
        <v>2019</v>
      </c>
      <c r="P107" s="61">
        <v>2019</v>
      </c>
      <c r="Q107" s="61">
        <v>259394.23</v>
      </c>
      <c r="R107" s="61">
        <v>0</v>
      </c>
      <c r="S107" s="61">
        <v>259394.23</v>
      </c>
      <c r="T107" s="61">
        <v>0</v>
      </c>
      <c r="U107" s="83">
        <v>373.15440671135639</v>
      </c>
      <c r="V107" s="83">
        <v>3.7315</v>
      </c>
    </row>
    <row r="108" spans="1:22">
      <c r="A108" s="61" t="s">
        <v>329</v>
      </c>
      <c r="B108" s="61">
        <v>87</v>
      </c>
      <c r="C108" s="61" t="s">
        <v>525</v>
      </c>
      <c r="D108" s="61" t="s">
        <v>1126</v>
      </c>
      <c r="E108" s="83" t="s">
        <v>1096</v>
      </c>
      <c r="G108" s="61" t="s">
        <v>1127</v>
      </c>
      <c r="H108" s="61">
        <v>100</v>
      </c>
      <c r="I108" s="61">
        <v>1</v>
      </c>
      <c r="J108" s="61">
        <v>1</v>
      </c>
      <c r="K108" s="61">
        <v>0</v>
      </c>
      <c r="L108" s="61">
        <v>30</v>
      </c>
      <c r="M108" s="61">
        <v>0.3</v>
      </c>
      <c r="N108" s="84">
        <v>2017</v>
      </c>
      <c r="O108" s="61">
        <v>2030</v>
      </c>
      <c r="P108" s="61">
        <v>2019</v>
      </c>
      <c r="Q108" s="61">
        <v>2567880</v>
      </c>
      <c r="R108" s="61">
        <v>1283940</v>
      </c>
      <c r="S108" s="61">
        <v>1283940</v>
      </c>
      <c r="T108" s="61">
        <v>0</v>
      </c>
      <c r="U108" s="83">
        <v>34.974375749645617</v>
      </c>
      <c r="V108" s="83">
        <v>0.34970000000000001</v>
      </c>
    </row>
    <row r="109" spans="1:22">
      <c r="A109" s="61" t="s">
        <v>329</v>
      </c>
      <c r="B109" s="61">
        <v>87</v>
      </c>
      <c r="C109" s="61" t="s">
        <v>525</v>
      </c>
      <c r="D109" s="61" t="s">
        <v>1126</v>
      </c>
      <c r="E109" s="83" t="s">
        <v>1096</v>
      </c>
      <c r="G109" s="61" t="s">
        <v>1141</v>
      </c>
      <c r="H109" s="61">
        <v>100</v>
      </c>
      <c r="I109" s="61">
        <v>0</v>
      </c>
      <c r="J109" s="61">
        <v>0</v>
      </c>
      <c r="K109" s="61">
        <v>1</v>
      </c>
      <c r="L109" s="61">
        <v>30</v>
      </c>
      <c r="M109" s="61">
        <v>0.3</v>
      </c>
      <c r="N109" s="84">
        <v>2017</v>
      </c>
      <c r="O109" s="61">
        <v>2030</v>
      </c>
      <c r="P109" s="61">
        <v>2019</v>
      </c>
      <c r="Q109" s="61">
        <v>26939000</v>
      </c>
      <c r="R109" s="61">
        <v>0</v>
      </c>
      <c r="S109" s="61">
        <v>0</v>
      </c>
      <c r="T109" s="61">
        <v>26939000</v>
      </c>
      <c r="U109" s="83">
        <v>7.127213333828279</v>
      </c>
      <c r="V109" s="83">
        <v>7.1300000000000002E-2</v>
      </c>
    </row>
    <row r="110" spans="1:22">
      <c r="A110" s="61" t="s">
        <v>334</v>
      </c>
      <c r="B110" s="61">
        <v>88</v>
      </c>
      <c r="C110" s="61" t="s">
        <v>970</v>
      </c>
      <c r="D110" s="61" t="s">
        <v>1126</v>
      </c>
      <c r="E110" s="83" t="s">
        <v>1096</v>
      </c>
      <c r="G110" s="61" t="s">
        <v>1127</v>
      </c>
      <c r="H110" s="61">
        <v>100</v>
      </c>
      <c r="I110" s="61">
        <v>1</v>
      </c>
      <c r="J110" s="61">
        <v>1</v>
      </c>
      <c r="K110" s="61">
        <v>0</v>
      </c>
      <c r="L110" s="61">
        <v>15</v>
      </c>
      <c r="M110" s="61">
        <v>0.15</v>
      </c>
      <c r="N110" s="84">
        <v>2015</v>
      </c>
      <c r="O110" s="61">
        <v>2020</v>
      </c>
      <c r="P110" s="61">
        <v>2016</v>
      </c>
      <c r="Q110" s="61">
        <v>2408435</v>
      </c>
      <c r="R110" s="61">
        <v>1204217.5</v>
      </c>
      <c r="S110" s="61">
        <v>1204217.5</v>
      </c>
      <c r="T110" s="61">
        <v>0</v>
      </c>
      <c r="U110" s="83">
        <v>103.43507990320131</v>
      </c>
      <c r="V110" s="83">
        <v>1.0344</v>
      </c>
    </row>
    <row r="111" spans="1:22">
      <c r="A111" s="61" t="s">
        <v>75</v>
      </c>
      <c r="B111" s="61">
        <v>6</v>
      </c>
      <c r="C111" s="61" t="s">
        <v>539</v>
      </c>
      <c r="D111" s="61" t="s">
        <v>1126</v>
      </c>
      <c r="E111" s="83" t="s">
        <v>1096</v>
      </c>
      <c r="G111" s="61" t="s">
        <v>1127</v>
      </c>
      <c r="H111" s="61">
        <v>66</v>
      </c>
      <c r="I111" s="61">
        <v>0.66</v>
      </c>
      <c r="J111" s="61">
        <v>0.66</v>
      </c>
      <c r="K111" s="61">
        <v>0</v>
      </c>
      <c r="L111" s="61">
        <v>20</v>
      </c>
      <c r="M111" s="61">
        <v>0.2</v>
      </c>
      <c r="N111" s="84">
        <v>2007</v>
      </c>
      <c r="O111" s="61">
        <v>2020</v>
      </c>
      <c r="P111" s="61">
        <v>2010</v>
      </c>
      <c r="Q111" s="61">
        <v>188715</v>
      </c>
      <c r="R111" s="61">
        <v>94357.5</v>
      </c>
      <c r="S111" s="61">
        <v>94357.5</v>
      </c>
      <c r="T111" s="61">
        <v>0</v>
      </c>
      <c r="U111" s="83">
        <v>165.91420925734573</v>
      </c>
      <c r="V111" s="83">
        <v>1.6591</v>
      </c>
    </row>
    <row r="112" spans="1:22">
      <c r="A112" s="61" t="s">
        <v>132</v>
      </c>
      <c r="B112" s="61">
        <v>29</v>
      </c>
      <c r="C112" s="61" t="s">
        <v>535</v>
      </c>
      <c r="D112" s="61" t="s">
        <v>1126</v>
      </c>
      <c r="E112" s="83" t="s">
        <v>1096</v>
      </c>
      <c r="G112" s="61" t="s">
        <v>1157</v>
      </c>
      <c r="H112" s="61">
        <v>100</v>
      </c>
      <c r="I112" s="61">
        <v>1</v>
      </c>
      <c r="J112" s="61">
        <v>1</v>
      </c>
      <c r="K112" s="61">
        <v>1</v>
      </c>
      <c r="L112" s="61">
        <v>25</v>
      </c>
      <c r="M112" s="61">
        <v>0.25</v>
      </c>
      <c r="N112" s="84">
        <v>2015</v>
      </c>
      <c r="O112" s="61">
        <v>2030</v>
      </c>
      <c r="P112" s="61">
        <v>2019</v>
      </c>
      <c r="Q112" s="61">
        <v>70144410</v>
      </c>
      <c r="R112" s="61">
        <v>23381470</v>
      </c>
      <c r="S112" s="61">
        <v>23381470</v>
      </c>
      <c r="T112" s="61">
        <v>23381470</v>
      </c>
      <c r="U112" s="83">
        <v>100</v>
      </c>
      <c r="V112" s="83">
        <v>1</v>
      </c>
    </row>
    <row r="113" spans="1:22">
      <c r="A113" s="61" t="s">
        <v>147</v>
      </c>
      <c r="B113" s="61">
        <v>36</v>
      </c>
      <c r="C113" s="61" t="s">
        <v>1101</v>
      </c>
      <c r="D113" s="61" t="s">
        <v>1126</v>
      </c>
      <c r="E113" s="83" t="s">
        <v>1096</v>
      </c>
      <c r="G113" s="61" t="s">
        <v>1127</v>
      </c>
      <c r="H113" s="61">
        <v>100</v>
      </c>
      <c r="I113" s="61">
        <v>1</v>
      </c>
      <c r="J113" s="61">
        <v>1</v>
      </c>
      <c r="K113" s="61">
        <v>0</v>
      </c>
      <c r="L113" s="61">
        <v>0</v>
      </c>
      <c r="M113" s="61">
        <v>0</v>
      </c>
      <c r="N113" s="84">
        <v>2006</v>
      </c>
      <c r="O113" s="61">
        <v>2025</v>
      </c>
      <c r="P113" s="61">
        <v>2015</v>
      </c>
      <c r="Q113" s="61">
        <v>42100000</v>
      </c>
      <c r="R113" s="61">
        <v>21050000</v>
      </c>
      <c r="S113" s="61">
        <v>21050000</v>
      </c>
      <c r="T113" s="61">
        <v>0</v>
      </c>
      <c r="U113" s="83" t="s">
        <v>1096</v>
      </c>
      <c r="V113" s="91">
        <v>0</v>
      </c>
    </row>
    <row r="114" spans="1:22">
      <c r="A114" s="61" t="s">
        <v>180</v>
      </c>
      <c r="B114" s="61">
        <v>51</v>
      </c>
      <c r="C114" s="61" t="s">
        <v>833</v>
      </c>
      <c r="D114" s="61" t="s">
        <v>1126</v>
      </c>
      <c r="E114" s="83" t="s">
        <v>1096</v>
      </c>
      <c r="G114" s="61" t="s">
        <v>1127</v>
      </c>
      <c r="H114" s="61">
        <v>100</v>
      </c>
      <c r="I114" s="61">
        <v>1</v>
      </c>
      <c r="J114" s="61">
        <v>1</v>
      </c>
      <c r="K114" s="61">
        <v>0</v>
      </c>
      <c r="L114" s="61">
        <v>20</v>
      </c>
      <c r="M114" s="61">
        <v>0.2</v>
      </c>
      <c r="N114" s="61">
        <v>2010</v>
      </c>
      <c r="O114" s="61">
        <v>2020</v>
      </c>
      <c r="P114" s="61">
        <v>2015</v>
      </c>
      <c r="Q114" s="61">
        <v>3073094</v>
      </c>
      <c r="R114" s="61">
        <v>1536547</v>
      </c>
      <c r="S114" s="61">
        <v>1536547</v>
      </c>
      <c r="T114" s="61">
        <v>0</v>
      </c>
      <c r="U114" s="83">
        <v>183.0176688379855</v>
      </c>
      <c r="V114" s="83">
        <v>1.8302</v>
      </c>
    </row>
    <row r="115" spans="1:22">
      <c r="A115" s="61" t="s">
        <v>180</v>
      </c>
      <c r="B115" s="61">
        <v>51</v>
      </c>
      <c r="C115" s="61" t="s">
        <v>833</v>
      </c>
      <c r="D115" s="61" t="s">
        <v>1126</v>
      </c>
      <c r="E115" s="83" t="s">
        <v>1096</v>
      </c>
      <c r="G115" s="61" t="s">
        <v>1127</v>
      </c>
      <c r="H115" s="61">
        <v>100</v>
      </c>
      <c r="I115" s="61">
        <v>1</v>
      </c>
      <c r="J115" s="61">
        <v>1</v>
      </c>
      <c r="K115" s="61">
        <v>0</v>
      </c>
      <c r="L115" s="61">
        <v>39.9</v>
      </c>
      <c r="M115" s="61">
        <v>0.39899999999999997</v>
      </c>
      <c r="N115" s="61">
        <v>2011</v>
      </c>
      <c r="O115" s="61">
        <v>2030</v>
      </c>
      <c r="P115" s="61">
        <v>2018</v>
      </c>
      <c r="Q115" s="61">
        <v>3020011</v>
      </c>
      <c r="R115" s="61">
        <v>1510005.5</v>
      </c>
      <c r="S115" s="61">
        <v>1510005.5</v>
      </c>
      <c r="T115" s="61">
        <v>0</v>
      </c>
      <c r="U115" s="83">
        <v>88.945384669211677</v>
      </c>
      <c r="V115" s="83">
        <v>0.88949999999999996</v>
      </c>
    </row>
    <row r="116" spans="1:22">
      <c r="A116" s="61" t="s">
        <v>180</v>
      </c>
      <c r="B116" s="61">
        <v>51</v>
      </c>
      <c r="C116" s="61" t="s">
        <v>833</v>
      </c>
      <c r="D116" s="61" t="s">
        <v>1126</v>
      </c>
      <c r="E116" s="83" t="s">
        <v>1096</v>
      </c>
      <c r="G116" s="61" t="s">
        <v>1127</v>
      </c>
      <c r="H116" s="61">
        <v>100</v>
      </c>
      <c r="I116" s="61">
        <v>1</v>
      </c>
      <c r="J116" s="61">
        <v>1</v>
      </c>
      <c r="K116" s="61">
        <v>0</v>
      </c>
      <c r="L116" s="61">
        <v>50.4</v>
      </c>
      <c r="M116" s="61">
        <v>0.504</v>
      </c>
      <c r="N116" s="61">
        <v>2011</v>
      </c>
      <c r="O116" s="61">
        <v>2035</v>
      </c>
      <c r="P116" s="61">
        <v>2018</v>
      </c>
      <c r="Q116" s="61">
        <v>3020011</v>
      </c>
      <c r="R116" s="61">
        <v>1510005.5</v>
      </c>
      <c r="S116" s="61">
        <v>1510005.5</v>
      </c>
      <c r="T116" s="61">
        <v>0</v>
      </c>
      <c r="U116" s="83">
        <v>70.415096196459245</v>
      </c>
      <c r="V116" s="83">
        <v>0.70420000000000005</v>
      </c>
    </row>
    <row r="117" spans="1:22">
      <c r="A117" s="61" t="s">
        <v>321</v>
      </c>
      <c r="B117" s="61">
        <v>85</v>
      </c>
      <c r="C117" s="61" t="s">
        <v>974</v>
      </c>
      <c r="D117" s="61" t="s">
        <v>1126</v>
      </c>
      <c r="E117" s="83" t="s">
        <v>1096</v>
      </c>
      <c r="G117" s="61" t="s">
        <v>1164</v>
      </c>
      <c r="H117" s="61">
        <v>100</v>
      </c>
      <c r="I117" s="61">
        <v>1</v>
      </c>
      <c r="J117" s="61">
        <v>0</v>
      </c>
      <c r="K117" s="61">
        <v>0</v>
      </c>
      <c r="L117" s="61">
        <v>100</v>
      </c>
      <c r="M117" s="61">
        <v>1</v>
      </c>
      <c r="N117" s="61">
        <v>2007</v>
      </c>
      <c r="O117" s="61">
        <v>2050</v>
      </c>
      <c r="P117" s="61">
        <v>2018</v>
      </c>
      <c r="Q117" s="61">
        <v>156650363</v>
      </c>
      <c r="R117" s="61">
        <v>156650363</v>
      </c>
      <c r="S117" s="61">
        <v>0</v>
      </c>
      <c r="T117" s="61">
        <v>0</v>
      </c>
      <c r="U117" s="83">
        <v>43.687608946045017</v>
      </c>
      <c r="V117" s="83">
        <v>0.43690000000000001</v>
      </c>
    </row>
    <row r="118" spans="1:22">
      <c r="A118" s="61" t="s">
        <v>321</v>
      </c>
      <c r="B118" s="61">
        <v>85</v>
      </c>
      <c r="C118" s="61" t="s">
        <v>974</v>
      </c>
      <c r="D118" s="61" t="s">
        <v>1126</v>
      </c>
      <c r="E118" s="83" t="s">
        <v>1096</v>
      </c>
      <c r="G118" s="61" t="s">
        <v>1164</v>
      </c>
      <c r="H118" s="61">
        <v>100</v>
      </c>
      <c r="I118" s="61">
        <v>1</v>
      </c>
      <c r="J118" s="61">
        <v>0</v>
      </c>
      <c r="K118" s="61">
        <v>0</v>
      </c>
      <c r="L118" s="61">
        <v>50</v>
      </c>
      <c r="M118" s="61">
        <v>0.5</v>
      </c>
      <c r="N118" s="61">
        <v>2007</v>
      </c>
      <c r="O118" s="61">
        <v>2030</v>
      </c>
      <c r="P118" s="61">
        <v>2018</v>
      </c>
      <c r="Q118" s="61">
        <v>156650363</v>
      </c>
      <c r="R118" s="61">
        <v>156650363</v>
      </c>
      <c r="S118" s="61">
        <v>0</v>
      </c>
      <c r="T118" s="61">
        <v>0</v>
      </c>
      <c r="U118" s="83">
        <v>87.375217892090035</v>
      </c>
      <c r="V118" s="83">
        <v>0.87380000000000002</v>
      </c>
    </row>
    <row r="119" spans="1:22">
      <c r="A119" s="61" t="s">
        <v>361</v>
      </c>
      <c r="B119" s="61">
        <v>95</v>
      </c>
      <c r="C119" s="61" t="s">
        <v>978</v>
      </c>
      <c r="D119" s="61" t="s">
        <v>1126</v>
      </c>
      <c r="E119" s="83" t="s">
        <v>1096</v>
      </c>
      <c r="G119" s="61" t="s">
        <v>1127</v>
      </c>
      <c r="H119" s="61">
        <v>100</v>
      </c>
      <c r="I119" s="61">
        <v>1</v>
      </c>
      <c r="J119" s="61">
        <v>1</v>
      </c>
      <c r="K119" s="61">
        <v>0</v>
      </c>
      <c r="L119" s="61">
        <v>40</v>
      </c>
      <c r="M119" s="61">
        <v>0.4</v>
      </c>
      <c r="N119" s="61">
        <v>2014</v>
      </c>
      <c r="O119" s="61">
        <v>2029</v>
      </c>
      <c r="P119" s="61">
        <v>2016</v>
      </c>
      <c r="Q119" s="61">
        <v>415211</v>
      </c>
      <c r="R119" s="61">
        <v>207605.5</v>
      </c>
      <c r="S119" s="61">
        <v>207605.5</v>
      </c>
      <c r="T119" s="61">
        <v>0</v>
      </c>
      <c r="U119" s="83">
        <v>109.75323389794586</v>
      </c>
      <c r="V119" s="83">
        <v>1.0974999999999999</v>
      </c>
    </row>
    <row r="120" spans="1:22">
      <c r="A120" s="61" t="s">
        <v>361</v>
      </c>
      <c r="B120" s="61">
        <v>95</v>
      </c>
      <c r="C120" s="61" t="s">
        <v>978</v>
      </c>
      <c r="D120" s="61" t="s">
        <v>1126</v>
      </c>
      <c r="E120" s="83" t="s">
        <v>1096</v>
      </c>
      <c r="G120" s="61" t="s">
        <v>1127</v>
      </c>
      <c r="H120" s="61">
        <v>100</v>
      </c>
      <c r="I120" s="61">
        <v>1</v>
      </c>
      <c r="J120" s="61">
        <v>1</v>
      </c>
      <c r="K120" s="61">
        <v>0</v>
      </c>
      <c r="L120" s="61">
        <v>60</v>
      </c>
      <c r="M120" s="61">
        <v>0.6</v>
      </c>
      <c r="N120" s="61">
        <v>2014</v>
      </c>
      <c r="O120" s="61">
        <v>2044</v>
      </c>
      <c r="P120" s="61">
        <v>2016</v>
      </c>
      <c r="Q120" s="61">
        <v>415211</v>
      </c>
      <c r="R120" s="61">
        <v>207605.5</v>
      </c>
      <c r="S120" s="61">
        <v>207605.5</v>
      </c>
      <c r="T120" s="61">
        <v>0</v>
      </c>
      <c r="U120" s="83">
        <v>73.168822598630584</v>
      </c>
      <c r="V120" s="83">
        <v>0.73170000000000002</v>
      </c>
    </row>
    <row r="121" spans="1:22">
      <c r="A121" s="61" t="s">
        <v>351</v>
      </c>
      <c r="B121" s="61">
        <v>93</v>
      </c>
      <c r="C121" s="61" t="s">
        <v>986</v>
      </c>
      <c r="D121" s="61" t="s">
        <v>1126</v>
      </c>
      <c r="E121" s="83" t="s">
        <v>1096</v>
      </c>
      <c r="G121" s="61" t="s">
        <v>1127</v>
      </c>
      <c r="H121" s="61">
        <v>55</v>
      </c>
      <c r="I121" s="61">
        <v>0.55000000000000004</v>
      </c>
      <c r="J121" s="61">
        <v>0.55000000000000004</v>
      </c>
      <c r="K121" s="61">
        <v>0</v>
      </c>
      <c r="L121" s="61">
        <v>3</v>
      </c>
      <c r="M121" s="61">
        <v>0.03</v>
      </c>
      <c r="N121" s="61">
        <v>2017</v>
      </c>
      <c r="O121" s="61">
        <v>2023</v>
      </c>
      <c r="P121" s="61">
        <v>2019</v>
      </c>
      <c r="Q121" s="61">
        <v>95079</v>
      </c>
      <c r="R121" s="61">
        <v>47539.5</v>
      </c>
      <c r="S121" s="61">
        <v>47539.5</v>
      </c>
      <c r="T121" s="61">
        <v>0</v>
      </c>
      <c r="U121" s="83">
        <v>431.01000220869031</v>
      </c>
      <c r="V121" s="83">
        <v>4.3101000000000003</v>
      </c>
    </row>
    <row r="122" spans="1:22">
      <c r="A122" s="61" t="s">
        <v>356</v>
      </c>
      <c r="B122" s="61">
        <v>94</v>
      </c>
      <c r="C122" s="61" t="s">
        <v>990</v>
      </c>
      <c r="D122" s="61" t="s">
        <v>1126</v>
      </c>
      <c r="E122" s="83" t="s">
        <v>1096</v>
      </c>
      <c r="G122" s="61" t="s">
        <v>1127</v>
      </c>
      <c r="H122" s="61">
        <v>43</v>
      </c>
      <c r="I122" s="61">
        <v>0.43</v>
      </c>
      <c r="J122" s="61">
        <v>0.43</v>
      </c>
      <c r="K122" s="61">
        <v>0</v>
      </c>
      <c r="L122" s="61">
        <v>12</v>
      </c>
      <c r="M122" s="61">
        <v>0.12</v>
      </c>
      <c r="N122" s="61">
        <v>2015</v>
      </c>
      <c r="O122" s="61">
        <v>2025</v>
      </c>
      <c r="P122" s="61">
        <v>2016</v>
      </c>
      <c r="Q122" s="61">
        <v>5636000</v>
      </c>
      <c r="R122" s="61">
        <v>2818000</v>
      </c>
      <c r="S122" s="61">
        <v>2818000</v>
      </c>
      <c r="T122" s="61">
        <v>0</v>
      </c>
      <c r="U122" s="83">
        <v>-44.653418500118285</v>
      </c>
      <c r="V122" s="83">
        <v>-0.44650000000000001</v>
      </c>
    </row>
    <row r="123" spans="1:22">
      <c r="A123" s="61" t="s">
        <v>366</v>
      </c>
      <c r="B123" s="61">
        <v>96</v>
      </c>
      <c r="C123" s="61" t="s">
        <v>533</v>
      </c>
      <c r="D123" s="61" t="s">
        <v>1126</v>
      </c>
      <c r="E123" s="83" t="s">
        <v>1096</v>
      </c>
      <c r="G123" s="61" t="s">
        <v>1127</v>
      </c>
      <c r="H123" s="61">
        <v>100</v>
      </c>
      <c r="I123" s="61">
        <v>1</v>
      </c>
      <c r="J123" s="61">
        <v>1</v>
      </c>
      <c r="K123" s="61">
        <v>0</v>
      </c>
      <c r="L123" s="61">
        <v>100</v>
      </c>
      <c r="M123" s="61">
        <v>1</v>
      </c>
      <c r="N123" s="61">
        <v>2018</v>
      </c>
      <c r="O123" s="61">
        <v>2035</v>
      </c>
      <c r="P123" s="61">
        <v>2018</v>
      </c>
      <c r="Q123" s="61">
        <v>4418820</v>
      </c>
      <c r="R123" s="61">
        <v>2209410</v>
      </c>
      <c r="S123" s="61">
        <v>2209410</v>
      </c>
      <c r="T123" s="61">
        <v>0</v>
      </c>
      <c r="U123" s="83">
        <v>1.2037756686174068</v>
      </c>
      <c r="V123" s="83">
        <v>1.2E-2</v>
      </c>
    </row>
    <row r="124" spans="1:22">
      <c r="A124" s="61" t="s">
        <v>366</v>
      </c>
      <c r="B124" s="61">
        <v>96</v>
      </c>
      <c r="C124" s="61" t="s">
        <v>533</v>
      </c>
      <c r="D124" s="61" t="s">
        <v>1126</v>
      </c>
      <c r="E124" s="83" t="s">
        <v>1096</v>
      </c>
      <c r="G124" s="61" t="s">
        <v>1170</v>
      </c>
      <c r="H124" s="61">
        <v>100</v>
      </c>
      <c r="I124" s="61">
        <v>0</v>
      </c>
      <c r="J124" s="61">
        <v>1</v>
      </c>
      <c r="K124" s="61">
        <v>0</v>
      </c>
      <c r="L124" s="61">
        <v>50</v>
      </c>
      <c r="M124" s="61">
        <v>0.5</v>
      </c>
      <c r="N124" s="61">
        <v>2018</v>
      </c>
      <c r="O124" s="61">
        <v>2025</v>
      </c>
      <c r="P124" s="61">
        <v>2018</v>
      </c>
      <c r="Q124" s="61">
        <v>4033579</v>
      </c>
      <c r="R124" s="61">
        <v>0</v>
      </c>
      <c r="S124" s="61">
        <v>4033579</v>
      </c>
      <c r="T124" s="61">
        <v>0</v>
      </c>
      <c r="U124" s="83">
        <v>1.3241109198555325</v>
      </c>
      <c r="V124" s="83">
        <v>1.32E-2</v>
      </c>
    </row>
    <row r="125" spans="1:22">
      <c r="A125" s="61" t="s">
        <v>379</v>
      </c>
      <c r="B125" s="61">
        <v>99</v>
      </c>
      <c r="C125" s="61" t="s">
        <v>523</v>
      </c>
      <c r="D125" s="61" t="s">
        <v>1126</v>
      </c>
      <c r="E125" s="83" t="s">
        <v>1096</v>
      </c>
      <c r="G125" s="61" t="s">
        <v>1127</v>
      </c>
      <c r="H125" s="61">
        <v>100</v>
      </c>
      <c r="I125" s="61">
        <v>1</v>
      </c>
      <c r="J125" s="61">
        <v>1</v>
      </c>
      <c r="K125" s="61">
        <v>0</v>
      </c>
      <c r="L125" s="61">
        <v>18</v>
      </c>
      <c r="M125" s="61">
        <v>0.18</v>
      </c>
      <c r="N125" s="61">
        <v>2015</v>
      </c>
      <c r="O125" s="61">
        <v>2025</v>
      </c>
      <c r="P125" s="61">
        <v>2016</v>
      </c>
      <c r="Q125" s="61">
        <v>19547272</v>
      </c>
      <c r="R125" s="61">
        <v>9773636</v>
      </c>
      <c r="S125" s="61">
        <v>9773636</v>
      </c>
      <c r="T125" s="61">
        <v>0</v>
      </c>
      <c r="U125" s="83">
        <v>56.378313159105886</v>
      </c>
      <c r="V125" s="83">
        <v>0.56379999999999997</v>
      </c>
    </row>
    <row r="126" spans="1:22">
      <c r="A126" s="61" t="s">
        <v>379</v>
      </c>
      <c r="B126" s="61">
        <v>99</v>
      </c>
      <c r="C126" s="61" t="s">
        <v>523</v>
      </c>
      <c r="D126" s="61" t="s">
        <v>1126</v>
      </c>
      <c r="E126" s="83" t="s">
        <v>1096</v>
      </c>
      <c r="G126" s="61" t="s">
        <v>1141</v>
      </c>
      <c r="H126" s="61">
        <v>100</v>
      </c>
      <c r="I126" s="61">
        <v>0</v>
      </c>
      <c r="J126" s="61">
        <v>0</v>
      </c>
      <c r="K126" s="61">
        <v>1</v>
      </c>
      <c r="L126" s="61">
        <v>100</v>
      </c>
      <c r="M126" s="61">
        <v>1</v>
      </c>
      <c r="N126" s="61">
        <v>2015</v>
      </c>
      <c r="O126" s="61">
        <v>2030</v>
      </c>
      <c r="P126" s="61">
        <v>2016</v>
      </c>
      <c r="Q126" s="61">
        <v>1000000000</v>
      </c>
      <c r="R126" s="61">
        <v>0</v>
      </c>
      <c r="S126" s="61">
        <v>0</v>
      </c>
      <c r="T126" s="61">
        <v>1000000000</v>
      </c>
      <c r="U126" s="83">
        <v>23</v>
      </c>
      <c r="V126" s="83">
        <v>0.23</v>
      </c>
    </row>
    <row r="127" spans="1:22">
      <c r="A127" s="61" t="s">
        <v>340</v>
      </c>
      <c r="B127" s="61">
        <v>90</v>
      </c>
      <c r="C127" s="61" t="s">
        <v>999</v>
      </c>
      <c r="D127" s="61" t="s">
        <v>1126</v>
      </c>
      <c r="E127" s="83" t="s">
        <v>1096</v>
      </c>
      <c r="G127" s="61" t="s">
        <v>1127</v>
      </c>
      <c r="H127" s="61">
        <v>100</v>
      </c>
      <c r="I127" s="61">
        <v>1</v>
      </c>
      <c r="J127" s="61">
        <v>1</v>
      </c>
      <c r="K127" s="61">
        <v>0</v>
      </c>
      <c r="L127" s="61">
        <v>50</v>
      </c>
      <c r="M127" s="61">
        <v>0.5</v>
      </c>
      <c r="N127" s="61">
        <v>2012</v>
      </c>
      <c r="O127" s="61">
        <v>2020</v>
      </c>
      <c r="P127" s="61">
        <v>2013</v>
      </c>
      <c r="Q127" s="61">
        <v>1742927</v>
      </c>
      <c r="R127" s="61">
        <v>871463.5</v>
      </c>
      <c r="S127" s="61">
        <v>871463.5</v>
      </c>
      <c r="T127" s="61">
        <v>0</v>
      </c>
      <c r="U127" s="83">
        <v>93.742193448147859</v>
      </c>
      <c r="V127" s="83">
        <v>0.93740000000000001</v>
      </c>
    </row>
    <row r="128" spans="1:22">
      <c r="A128" s="61" t="s">
        <v>385</v>
      </c>
      <c r="B128" s="61">
        <v>100</v>
      </c>
      <c r="C128" s="61" t="s">
        <v>1012</v>
      </c>
      <c r="D128" s="61" t="s">
        <v>1126</v>
      </c>
      <c r="E128" s="83" t="s">
        <v>1096</v>
      </c>
      <c r="G128" s="61" t="s">
        <v>1157</v>
      </c>
      <c r="H128" s="61">
        <v>100</v>
      </c>
      <c r="I128" s="61">
        <v>1</v>
      </c>
      <c r="J128" s="61">
        <v>1</v>
      </c>
      <c r="K128" s="61">
        <v>1</v>
      </c>
      <c r="L128" s="61">
        <v>45</v>
      </c>
      <c r="M128" s="61">
        <v>0.45</v>
      </c>
      <c r="N128" s="61">
        <v>2008</v>
      </c>
      <c r="O128" s="61">
        <v>2020</v>
      </c>
      <c r="P128" s="61">
        <v>2008</v>
      </c>
      <c r="Q128" s="61">
        <v>1953466</v>
      </c>
      <c r="R128" s="61">
        <v>651155.33330000006</v>
      </c>
      <c r="S128" s="61">
        <v>651155.33330000006</v>
      </c>
      <c r="T128" s="61">
        <v>651155.33330000006</v>
      </c>
      <c r="U128" s="83">
        <v>115.10810926720904</v>
      </c>
      <c r="V128" s="83">
        <v>1.1511</v>
      </c>
    </row>
    <row r="129" spans="1:22">
      <c r="A129" s="61" t="s">
        <v>62</v>
      </c>
      <c r="B129" s="61">
        <v>1</v>
      </c>
      <c r="C129" s="61" t="s">
        <v>585</v>
      </c>
      <c r="D129" s="61" t="s">
        <v>1296</v>
      </c>
      <c r="E129" s="83" t="s">
        <v>1297</v>
      </c>
      <c r="F129" s="83" t="s">
        <v>1389</v>
      </c>
      <c r="G129" s="61" t="s">
        <v>1127</v>
      </c>
      <c r="H129" s="61">
        <v>50</v>
      </c>
      <c r="I129" s="61">
        <v>0.5</v>
      </c>
      <c r="J129" s="61">
        <v>0.5</v>
      </c>
      <c r="K129" s="61">
        <v>0</v>
      </c>
      <c r="L129" s="61">
        <v>30</v>
      </c>
      <c r="M129" s="61">
        <v>0.3</v>
      </c>
      <c r="N129" s="61">
        <v>2015</v>
      </c>
      <c r="O129" s="61">
        <v>2025</v>
      </c>
      <c r="P129" s="61">
        <v>2015</v>
      </c>
      <c r="Q129" s="61">
        <v>0</v>
      </c>
      <c r="R129" s="61">
        <v>0</v>
      </c>
      <c r="S129" s="61">
        <v>0</v>
      </c>
      <c r="T129" s="61">
        <v>0</v>
      </c>
      <c r="U129" s="83">
        <v>10.672358591248665</v>
      </c>
      <c r="V129" s="83">
        <v>0.1067</v>
      </c>
    </row>
    <row r="130" spans="1:22">
      <c r="A130" s="61" t="s">
        <v>65</v>
      </c>
      <c r="B130" s="61">
        <v>2</v>
      </c>
      <c r="C130" s="61" t="s">
        <v>538</v>
      </c>
      <c r="D130" s="61" t="s">
        <v>1296</v>
      </c>
      <c r="E130" s="83" t="s">
        <v>1299</v>
      </c>
      <c r="F130" s="83" t="s">
        <v>1054</v>
      </c>
      <c r="G130" s="61" t="s">
        <v>1127</v>
      </c>
      <c r="H130" s="61">
        <v>100</v>
      </c>
      <c r="I130" s="61">
        <v>1</v>
      </c>
      <c r="J130" s="61">
        <v>1</v>
      </c>
      <c r="K130" s="61">
        <v>0</v>
      </c>
      <c r="L130" s="61">
        <v>40</v>
      </c>
      <c r="M130" s="61">
        <v>0.4</v>
      </c>
      <c r="N130" s="86">
        <v>2010</v>
      </c>
      <c r="O130" s="61">
        <v>2020</v>
      </c>
      <c r="P130" s="61">
        <v>2012</v>
      </c>
      <c r="Q130" s="61">
        <v>0</v>
      </c>
      <c r="R130" s="61">
        <v>0</v>
      </c>
      <c r="S130" s="61">
        <v>0</v>
      </c>
      <c r="T130" s="61">
        <v>0</v>
      </c>
      <c r="U130" s="83">
        <v>107.67790262172284</v>
      </c>
      <c r="V130" s="83">
        <v>1.0768</v>
      </c>
    </row>
    <row r="131" spans="1:22">
      <c r="A131" s="61" t="s">
        <v>73</v>
      </c>
      <c r="B131" s="61">
        <v>5</v>
      </c>
      <c r="C131" s="61" t="s">
        <v>513</v>
      </c>
      <c r="D131" s="61" t="s">
        <v>1296</v>
      </c>
      <c r="E131" s="83" t="s">
        <v>1301</v>
      </c>
      <c r="F131" s="83" t="s">
        <v>1389</v>
      </c>
      <c r="G131" s="61" t="s">
        <v>1141</v>
      </c>
      <c r="H131" s="61">
        <v>100</v>
      </c>
      <c r="I131" s="61">
        <v>0</v>
      </c>
      <c r="J131" s="61">
        <v>0</v>
      </c>
      <c r="K131" s="61">
        <v>1</v>
      </c>
      <c r="L131" s="61">
        <v>5</v>
      </c>
      <c r="M131" s="61">
        <v>0.05</v>
      </c>
      <c r="N131" s="61">
        <v>2015</v>
      </c>
      <c r="O131" s="61">
        <v>2025</v>
      </c>
      <c r="P131" s="61">
        <v>2016</v>
      </c>
      <c r="Q131" s="61">
        <v>0</v>
      </c>
      <c r="R131" s="61">
        <v>0</v>
      </c>
      <c r="S131" s="61">
        <v>0</v>
      </c>
      <c r="T131" s="61">
        <v>0</v>
      </c>
      <c r="U131" s="83">
        <v>50</v>
      </c>
      <c r="V131" s="83">
        <v>0.5</v>
      </c>
    </row>
    <row r="132" spans="1:22">
      <c r="A132" s="61" t="s">
        <v>73</v>
      </c>
      <c r="B132" s="61">
        <v>5</v>
      </c>
      <c r="C132" s="61" t="s">
        <v>513</v>
      </c>
      <c r="D132" s="61" t="s">
        <v>1296</v>
      </c>
      <c r="E132" s="83" t="s">
        <v>1304</v>
      </c>
      <c r="F132" s="83" t="s">
        <v>1389</v>
      </c>
      <c r="G132" s="61" t="s">
        <v>1141</v>
      </c>
      <c r="H132" s="61">
        <v>100</v>
      </c>
      <c r="I132" s="61">
        <v>0</v>
      </c>
      <c r="J132" s="61">
        <v>0</v>
      </c>
      <c r="K132" s="61">
        <v>1</v>
      </c>
      <c r="L132" s="61">
        <v>15</v>
      </c>
      <c r="M132" s="61">
        <v>0.15</v>
      </c>
      <c r="N132" s="61">
        <v>2015</v>
      </c>
      <c r="O132" s="61">
        <v>2025</v>
      </c>
      <c r="P132" s="61">
        <v>2016</v>
      </c>
      <c r="Q132" s="61">
        <v>0</v>
      </c>
      <c r="R132" s="61">
        <v>0</v>
      </c>
      <c r="S132" s="61">
        <v>0</v>
      </c>
      <c r="T132" s="61">
        <v>0</v>
      </c>
      <c r="U132" s="83">
        <v>102.21973512404404</v>
      </c>
      <c r="V132" s="83">
        <v>1.0222</v>
      </c>
    </row>
    <row r="133" spans="1:22">
      <c r="A133" s="61" t="s">
        <v>414</v>
      </c>
      <c r="B133" s="61">
        <v>11</v>
      </c>
      <c r="C133" s="61" t="s">
        <v>544</v>
      </c>
      <c r="D133" s="61" t="s">
        <v>1296</v>
      </c>
      <c r="E133" s="83" t="s">
        <v>1304</v>
      </c>
      <c r="F133" s="83" t="s">
        <v>1389</v>
      </c>
      <c r="G133" s="61" t="s">
        <v>1170</v>
      </c>
      <c r="H133" s="61">
        <v>83</v>
      </c>
      <c r="I133" s="61">
        <v>0</v>
      </c>
      <c r="J133" s="61">
        <v>0.83</v>
      </c>
      <c r="K133" s="61">
        <v>0</v>
      </c>
      <c r="L133" s="61">
        <v>30</v>
      </c>
      <c r="M133" s="61">
        <v>0.3</v>
      </c>
      <c r="N133" s="61">
        <v>2011</v>
      </c>
      <c r="O133" s="61">
        <v>2023</v>
      </c>
      <c r="P133" s="61">
        <v>2012</v>
      </c>
      <c r="Q133" s="61">
        <v>0</v>
      </c>
      <c r="R133" s="61">
        <v>0</v>
      </c>
      <c r="S133" s="61">
        <v>0</v>
      </c>
      <c r="T133" s="61">
        <v>0</v>
      </c>
      <c r="U133" s="83">
        <v>133.70998116760825</v>
      </c>
      <c r="V133" s="83">
        <v>1.3371</v>
      </c>
    </row>
    <row r="134" spans="1:22">
      <c r="A134" s="61" t="s">
        <v>98</v>
      </c>
      <c r="B134" s="61">
        <v>15</v>
      </c>
      <c r="C134" s="61" t="s">
        <v>532</v>
      </c>
      <c r="D134" s="61" t="s">
        <v>1296</v>
      </c>
      <c r="E134" s="83" t="s">
        <v>1309</v>
      </c>
      <c r="F134" s="83" t="s">
        <v>1389</v>
      </c>
      <c r="G134" s="61" t="s">
        <v>1307</v>
      </c>
      <c r="H134" s="61"/>
      <c r="I134" s="61">
        <v>0</v>
      </c>
      <c r="J134" s="61">
        <v>0</v>
      </c>
      <c r="K134" s="61">
        <v>0</v>
      </c>
      <c r="L134" s="61"/>
      <c r="M134" s="61">
        <v>0</v>
      </c>
      <c r="N134" s="61"/>
      <c r="O134" s="61">
        <v>2025</v>
      </c>
      <c r="P134" s="61">
        <v>2015</v>
      </c>
      <c r="Q134" s="61">
        <v>0</v>
      </c>
      <c r="R134" s="61">
        <v>0</v>
      </c>
      <c r="S134" s="61">
        <v>0</v>
      </c>
      <c r="T134" s="61">
        <v>0</v>
      </c>
      <c r="U134" s="83"/>
      <c r="V134" s="83">
        <v>0</v>
      </c>
    </row>
    <row r="135" spans="1:22">
      <c r="A135" s="61" t="s">
        <v>108</v>
      </c>
      <c r="B135" s="61">
        <v>19</v>
      </c>
      <c r="C135" s="61" t="s">
        <v>549</v>
      </c>
      <c r="D135" s="61" t="s">
        <v>1296</v>
      </c>
      <c r="E135" s="83" t="s">
        <v>1301</v>
      </c>
      <c r="F135" s="83" t="s">
        <v>1389</v>
      </c>
      <c r="G135" s="61" t="s">
        <v>1170</v>
      </c>
      <c r="H135" s="61">
        <v>12</v>
      </c>
      <c r="I135" s="61">
        <v>0</v>
      </c>
      <c r="J135" s="61">
        <v>0.12</v>
      </c>
      <c r="K135" s="61">
        <v>0</v>
      </c>
      <c r="L135" s="61">
        <v>30</v>
      </c>
      <c r="M135" s="61">
        <v>0.3</v>
      </c>
      <c r="N135" s="61">
        <v>2011</v>
      </c>
      <c r="O135" s="61">
        <v>2023</v>
      </c>
      <c r="P135" s="61">
        <v>2013</v>
      </c>
      <c r="Q135" s="61">
        <v>0</v>
      </c>
      <c r="R135" s="61">
        <v>0</v>
      </c>
      <c r="S135" s="61">
        <v>0</v>
      </c>
      <c r="T135" s="61">
        <v>0</v>
      </c>
      <c r="U135" s="83">
        <v>242.84077892325308</v>
      </c>
      <c r="V135" s="83">
        <v>2.4283999999999999</v>
      </c>
    </row>
    <row r="136" spans="1:22">
      <c r="A136" s="61" t="s">
        <v>108</v>
      </c>
      <c r="B136" s="61">
        <v>19</v>
      </c>
      <c r="C136" s="61" t="s">
        <v>549</v>
      </c>
      <c r="D136" s="61" t="s">
        <v>1296</v>
      </c>
      <c r="E136" s="83" t="s">
        <v>1301</v>
      </c>
      <c r="F136" s="83" t="s">
        <v>1389</v>
      </c>
      <c r="G136" s="61" t="s">
        <v>1127</v>
      </c>
      <c r="H136" s="61">
        <v>100</v>
      </c>
      <c r="I136" s="61">
        <v>1</v>
      </c>
      <c r="J136" s="61">
        <v>1</v>
      </c>
      <c r="K136" s="61">
        <v>0</v>
      </c>
      <c r="L136" s="61">
        <v>45</v>
      </c>
      <c r="M136" s="61">
        <v>0.45</v>
      </c>
      <c r="N136" s="61">
        <v>2014</v>
      </c>
      <c r="O136" s="61">
        <v>2020</v>
      </c>
      <c r="P136" s="61">
        <v>2016</v>
      </c>
      <c r="Q136" s="61">
        <v>0</v>
      </c>
      <c r="R136" s="61">
        <v>0</v>
      </c>
      <c r="S136" s="61">
        <v>0</v>
      </c>
      <c r="T136" s="61">
        <v>0</v>
      </c>
      <c r="U136" s="83">
        <v>86.65808665808666</v>
      </c>
      <c r="V136" s="83">
        <v>0.86660000000000004</v>
      </c>
    </row>
    <row r="137" spans="1:22">
      <c r="A137" s="61" t="s">
        <v>108</v>
      </c>
      <c r="B137" s="61">
        <v>19</v>
      </c>
      <c r="C137" s="61" t="s">
        <v>549</v>
      </c>
      <c r="D137" s="61" t="s">
        <v>1296</v>
      </c>
      <c r="E137" s="83" t="s">
        <v>1301</v>
      </c>
      <c r="F137" s="83" t="s">
        <v>1389</v>
      </c>
      <c r="G137" s="61" t="s">
        <v>1141</v>
      </c>
      <c r="H137" s="61">
        <v>98</v>
      </c>
      <c r="I137" s="61">
        <v>0</v>
      </c>
      <c r="J137" s="61">
        <v>0</v>
      </c>
      <c r="K137" s="61">
        <v>0.98</v>
      </c>
      <c r="L137" s="61">
        <v>20</v>
      </c>
      <c r="M137" s="61">
        <v>0.2</v>
      </c>
      <c r="N137" s="61">
        <v>2014</v>
      </c>
      <c r="O137" s="61">
        <v>2020</v>
      </c>
      <c r="P137" s="61">
        <v>2016</v>
      </c>
      <c r="Q137" s="61">
        <v>0</v>
      </c>
      <c r="R137" s="61">
        <v>0</v>
      </c>
      <c r="S137" s="61">
        <v>0</v>
      </c>
      <c r="T137" s="61">
        <v>0</v>
      </c>
      <c r="U137" s="83">
        <v>157.89473684210535</v>
      </c>
      <c r="V137" s="83">
        <v>1.5789</v>
      </c>
    </row>
    <row r="138" spans="1:22">
      <c r="A138" s="61" t="s">
        <v>139</v>
      </c>
      <c r="B138" s="61">
        <v>32</v>
      </c>
      <c r="C138" s="61" t="s">
        <v>740</v>
      </c>
      <c r="D138" s="61" t="s">
        <v>1296</v>
      </c>
      <c r="E138" s="83" t="s">
        <v>1315</v>
      </c>
      <c r="F138" s="83" t="s">
        <v>1390</v>
      </c>
      <c r="G138" s="61" t="s">
        <v>1127</v>
      </c>
      <c r="H138" s="61">
        <v>99</v>
      </c>
      <c r="I138" s="61">
        <v>0.99</v>
      </c>
      <c r="J138" s="61">
        <v>0.99</v>
      </c>
      <c r="K138" s="61">
        <v>0</v>
      </c>
      <c r="L138" s="61">
        <v>10</v>
      </c>
      <c r="M138" s="61">
        <v>0.1</v>
      </c>
      <c r="N138" s="61">
        <v>2017</v>
      </c>
      <c r="O138" s="61">
        <v>2030</v>
      </c>
      <c r="P138" s="61">
        <v>2017</v>
      </c>
      <c r="Q138" s="61">
        <v>0</v>
      </c>
      <c r="R138" s="61">
        <v>0</v>
      </c>
      <c r="S138" s="61">
        <v>0</v>
      </c>
      <c r="T138" s="61">
        <v>0</v>
      </c>
      <c r="U138" s="83">
        <v>81.841432225064082</v>
      </c>
      <c r="V138" s="83">
        <v>0.81840000000000002</v>
      </c>
    </row>
    <row r="139" spans="1:22">
      <c r="A139" s="61" t="s">
        <v>154</v>
      </c>
      <c r="B139" s="61">
        <v>39</v>
      </c>
      <c r="C139" s="61" t="s">
        <v>773</v>
      </c>
      <c r="D139" s="61" t="s">
        <v>1296</v>
      </c>
      <c r="E139" s="83" t="s">
        <v>1304</v>
      </c>
      <c r="F139" s="83" t="s">
        <v>1389</v>
      </c>
      <c r="G139" s="61" t="s">
        <v>1127</v>
      </c>
      <c r="H139" s="61">
        <v>100</v>
      </c>
      <c r="I139" s="61">
        <v>1</v>
      </c>
      <c r="J139" s="61">
        <v>1</v>
      </c>
      <c r="K139" s="61">
        <v>0</v>
      </c>
      <c r="L139" s="61">
        <v>20</v>
      </c>
      <c r="M139" s="61">
        <v>0.2</v>
      </c>
      <c r="N139" s="61">
        <v>2012</v>
      </c>
      <c r="O139" s="61">
        <v>2020</v>
      </c>
      <c r="P139" s="61">
        <v>2013</v>
      </c>
      <c r="Q139" s="61">
        <v>0</v>
      </c>
      <c r="R139" s="61">
        <v>0</v>
      </c>
      <c r="S139" s="61">
        <v>0</v>
      </c>
      <c r="T139" s="61">
        <v>0</v>
      </c>
      <c r="U139" s="83">
        <v>80.722891566265105</v>
      </c>
      <c r="V139" s="83">
        <v>0.80720000000000003</v>
      </c>
    </row>
    <row r="140" spans="1:22">
      <c r="A140" s="61" t="s">
        <v>164</v>
      </c>
      <c r="B140" s="61">
        <v>44</v>
      </c>
      <c r="C140" s="61" t="s">
        <v>788</v>
      </c>
      <c r="D140" s="61" t="s">
        <v>1296</v>
      </c>
      <c r="E140" s="83" t="s">
        <v>1319</v>
      </c>
      <c r="F140" s="83" t="s">
        <v>1389</v>
      </c>
      <c r="G140" s="61" t="s">
        <v>1164</v>
      </c>
      <c r="H140" s="61">
        <v>82</v>
      </c>
      <c r="I140" s="61">
        <v>0.82</v>
      </c>
      <c r="J140" s="61">
        <v>0</v>
      </c>
      <c r="K140" s="61">
        <v>0</v>
      </c>
      <c r="L140" s="61">
        <v>30</v>
      </c>
      <c r="M140" s="61">
        <v>0.3</v>
      </c>
      <c r="N140" s="61">
        <v>2005</v>
      </c>
      <c r="O140" s="61">
        <v>2020</v>
      </c>
      <c r="P140" s="61">
        <v>2011</v>
      </c>
      <c r="Q140" s="61">
        <v>0</v>
      </c>
      <c r="R140" s="61">
        <v>0</v>
      </c>
      <c r="S140" s="61">
        <v>0</v>
      </c>
      <c r="T140" s="61">
        <v>0</v>
      </c>
      <c r="U140" s="83">
        <v>80</v>
      </c>
      <c r="V140" s="83">
        <v>0.8</v>
      </c>
    </row>
    <row r="141" spans="1:22">
      <c r="A141" s="61" t="s">
        <v>167</v>
      </c>
      <c r="B141" s="61">
        <v>45</v>
      </c>
      <c r="C141" s="61" t="s">
        <v>795</v>
      </c>
      <c r="D141" s="61" t="s">
        <v>1296</v>
      </c>
      <c r="E141" s="83" t="s">
        <v>1321</v>
      </c>
      <c r="F141" s="83" t="s">
        <v>1389</v>
      </c>
      <c r="G141" s="61" t="s">
        <v>1141</v>
      </c>
      <c r="H141" s="61"/>
      <c r="I141" s="61">
        <v>0</v>
      </c>
      <c r="J141" s="61">
        <v>0</v>
      </c>
      <c r="K141" s="61">
        <v>0</v>
      </c>
      <c r="L141" s="61"/>
      <c r="M141" s="61">
        <v>0</v>
      </c>
      <c r="N141" s="61">
        <v>2019</v>
      </c>
      <c r="O141" s="61"/>
      <c r="P141" s="61">
        <v>2020</v>
      </c>
      <c r="Q141" s="61">
        <v>0</v>
      </c>
      <c r="R141" s="61">
        <v>0</v>
      </c>
      <c r="S141" s="61">
        <v>0</v>
      </c>
      <c r="T141" s="61">
        <v>0</v>
      </c>
      <c r="U141" s="83"/>
      <c r="V141" s="83">
        <v>0</v>
      </c>
    </row>
    <row r="142" spans="1:22">
      <c r="A142" s="61" t="s">
        <v>184</v>
      </c>
      <c r="B142" s="61">
        <v>52</v>
      </c>
      <c r="C142" s="61" t="s">
        <v>839</v>
      </c>
      <c r="D142" s="61" t="s">
        <v>1296</v>
      </c>
      <c r="E142" s="83" t="s">
        <v>1299</v>
      </c>
      <c r="F142" s="83" t="s">
        <v>1054</v>
      </c>
      <c r="G142" s="61" t="s">
        <v>1127</v>
      </c>
      <c r="H142" s="61">
        <v>0</v>
      </c>
      <c r="I142" s="61">
        <v>0</v>
      </c>
      <c r="J142" s="61">
        <v>0</v>
      </c>
      <c r="K142" s="61">
        <v>0</v>
      </c>
      <c r="L142" s="61">
        <v>10</v>
      </c>
      <c r="M142" s="61">
        <v>0.1</v>
      </c>
      <c r="N142" s="61">
        <v>2018</v>
      </c>
      <c r="O142" s="61">
        <v>2023</v>
      </c>
      <c r="P142" s="61">
        <v>2019</v>
      </c>
      <c r="Q142" s="61">
        <v>0</v>
      </c>
      <c r="R142" s="61">
        <v>0</v>
      </c>
      <c r="S142" s="61">
        <v>0</v>
      </c>
      <c r="T142" s="61">
        <v>0</v>
      </c>
      <c r="U142" s="83">
        <v>79.890335574464999</v>
      </c>
      <c r="V142" s="83">
        <v>0.79890000000000005</v>
      </c>
    </row>
    <row r="143" spans="1:22">
      <c r="A143" s="61" t="s">
        <v>193</v>
      </c>
      <c r="B143" s="61">
        <v>54</v>
      </c>
      <c r="C143" s="61" t="s">
        <v>853</v>
      </c>
      <c r="D143" s="61" t="s">
        <v>1296</v>
      </c>
      <c r="E143" s="83" t="s">
        <v>1324</v>
      </c>
      <c r="F143" s="83" t="s">
        <v>1389</v>
      </c>
      <c r="G143" s="61" t="s">
        <v>1164</v>
      </c>
      <c r="H143" s="61">
        <v>75</v>
      </c>
      <c r="I143" s="61">
        <v>0.75</v>
      </c>
      <c r="J143" s="61">
        <v>0</v>
      </c>
      <c r="K143" s="61">
        <v>0</v>
      </c>
      <c r="L143" s="61">
        <v>10</v>
      </c>
      <c r="M143" s="61">
        <v>0.1</v>
      </c>
      <c r="N143" s="61">
        <v>2010</v>
      </c>
      <c r="O143" s="61">
        <v>2020</v>
      </c>
      <c r="P143" s="61">
        <v>2010</v>
      </c>
      <c r="Q143" s="61">
        <v>0</v>
      </c>
      <c r="R143" s="61">
        <v>0</v>
      </c>
      <c r="S143" s="61">
        <v>0</v>
      </c>
      <c r="T143" s="61">
        <v>0</v>
      </c>
      <c r="U143" s="83">
        <v>390</v>
      </c>
      <c r="V143" s="83">
        <v>3.9</v>
      </c>
    </row>
    <row r="144" spans="1:22">
      <c r="A144" s="61" t="s">
        <v>226</v>
      </c>
      <c r="B144" s="61">
        <v>62</v>
      </c>
      <c r="C144" s="61" t="s">
        <v>526</v>
      </c>
      <c r="D144" s="61" t="s">
        <v>1296</v>
      </c>
      <c r="E144" s="83" t="s">
        <v>1327</v>
      </c>
      <c r="F144" s="83" t="s">
        <v>1389</v>
      </c>
      <c r="G144" s="61" t="s">
        <v>1141</v>
      </c>
      <c r="H144" s="61">
        <v>80.44</v>
      </c>
      <c r="I144" s="61">
        <v>0</v>
      </c>
      <c r="J144" s="61">
        <v>0</v>
      </c>
      <c r="K144" s="61">
        <v>0.8044</v>
      </c>
      <c r="L144" s="61">
        <v>31</v>
      </c>
      <c r="M144" s="61">
        <v>0.31</v>
      </c>
      <c r="N144" s="61">
        <v>2015</v>
      </c>
      <c r="O144" s="61">
        <v>2030</v>
      </c>
      <c r="P144" s="61">
        <v>2018</v>
      </c>
      <c r="Q144" s="61">
        <v>0</v>
      </c>
      <c r="R144" s="61">
        <v>0</v>
      </c>
      <c r="S144" s="61">
        <v>0</v>
      </c>
      <c r="T144" s="61">
        <v>0</v>
      </c>
      <c r="U144" s="83">
        <v>2.774035032099559</v>
      </c>
      <c r="V144" s="83">
        <v>2.7699999999999999E-2</v>
      </c>
    </row>
    <row r="145" spans="1:22">
      <c r="A145" s="61" t="s">
        <v>231</v>
      </c>
      <c r="B145" s="61">
        <v>63</v>
      </c>
      <c r="C145" s="61" t="s">
        <v>1044</v>
      </c>
      <c r="D145" s="61" t="s">
        <v>1296</v>
      </c>
      <c r="E145" s="83" t="s">
        <v>1299</v>
      </c>
      <c r="F145" s="83" t="s">
        <v>1054</v>
      </c>
      <c r="G145" s="61" t="s">
        <v>1127</v>
      </c>
      <c r="H145" s="61">
        <v>100</v>
      </c>
      <c r="I145" s="61">
        <v>1</v>
      </c>
      <c r="J145" s="61">
        <v>1</v>
      </c>
      <c r="K145" s="61">
        <v>0</v>
      </c>
      <c r="L145" s="61">
        <v>15</v>
      </c>
      <c r="M145" s="61">
        <v>0.15</v>
      </c>
      <c r="N145" s="61">
        <v>2013</v>
      </c>
      <c r="O145" s="61">
        <v>2020</v>
      </c>
      <c r="P145" s="61">
        <v>2013</v>
      </c>
      <c r="Q145" s="61">
        <v>0</v>
      </c>
      <c r="R145" s="61">
        <v>0</v>
      </c>
      <c r="S145" s="61">
        <v>0</v>
      </c>
      <c r="T145" s="61">
        <v>0</v>
      </c>
      <c r="U145" s="83">
        <v>242.34470691163614</v>
      </c>
      <c r="V145" s="83">
        <v>2.4234</v>
      </c>
    </row>
    <row r="146" spans="1:22">
      <c r="A146" s="61" t="s">
        <v>260</v>
      </c>
      <c r="B146" s="61">
        <v>71</v>
      </c>
      <c r="C146" s="61" t="s">
        <v>524</v>
      </c>
      <c r="D146" s="61" t="s">
        <v>1296</v>
      </c>
      <c r="E146" s="83" t="s">
        <v>1324</v>
      </c>
      <c r="F146" s="83" t="s">
        <v>1389</v>
      </c>
      <c r="G146" s="61" t="s">
        <v>1157</v>
      </c>
      <c r="H146" s="61">
        <v>95</v>
      </c>
      <c r="I146" s="61">
        <v>0.95</v>
      </c>
      <c r="J146" s="61">
        <v>0.95</v>
      </c>
      <c r="K146" s="61">
        <v>0.95</v>
      </c>
      <c r="L146" s="61">
        <v>25</v>
      </c>
      <c r="M146" s="61">
        <v>0.25</v>
      </c>
      <c r="N146" s="61">
        <v>2015</v>
      </c>
      <c r="O146" s="61">
        <v>2020</v>
      </c>
      <c r="P146" s="61">
        <v>2015</v>
      </c>
      <c r="Q146" s="61">
        <v>0</v>
      </c>
      <c r="R146" s="61">
        <v>0</v>
      </c>
      <c r="S146" s="61">
        <v>0</v>
      </c>
      <c r="T146" s="61">
        <v>0</v>
      </c>
      <c r="U146" s="83">
        <v>-10.582010582010593</v>
      </c>
      <c r="V146" s="83">
        <v>-0.10580000000000001</v>
      </c>
    </row>
    <row r="147" spans="1:22">
      <c r="A147" s="61" t="s">
        <v>260</v>
      </c>
      <c r="B147" s="61">
        <v>71</v>
      </c>
      <c r="C147" s="61" t="s">
        <v>524</v>
      </c>
      <c r="D147" s="61" t="s">
        <v>1296</v>
      </c>
      <c r="E147" s="83" t="s">
        <v>1333</v>
      </c>
      <c r="F147" s="83" t="s">
        <v>1389</v>
      </c>
      <c r="G147" s="61" t="s">
        <v>1141</v>
      </c>
      <c r="H147" s="61">
        <v>80</v>
      </c>
      <c r="I147" s="61">
        <v>0</v>
      </c>
      <c r="J147" s="61">
        <v>0</v>
      </c>
      <c r="K147" s="61">
        <v>0.8</v>
      </c>
      <c r="L147" s="61">
        <v>35</v>
      </c>
      <c r="M147" s="61">
        <v>0.35</v>
      </c>
      <c r="N147" s="61">
        <v>2015</v>
      </c>
      <c r="O147" s="61">
        <v>2020</v>
      </c>
      <c r="P147" s="61">
        <v>2015</v>
      </c>
      <c r="Q147" s="61">
        <v>0</v>
      </c>
      <c r="R147" s="61">
        <v>0</v>
      </c>
      <c r="S147" s="61">
        <v>0</v>
      </c>
      <c r="T147" s="61">
        <v>0</v>
      </c>
      <c r="U147" s="83">
        <v>43.036461446503324</v>
      </c>
      <c r="V147" s="83">
        <v>0.4304</v>
      </c>
    </row>
    <row r="148" spans="1:22">
      <c r="A148" s="61" t="s">
        <v>266</v>
      </c>
      <c r="B148" s="61">
        <v>72</v>
      </c>
      <c r="C148" s="61" t="s">
        <v>911</v>
      </c>
      <c r="D148" s="61" t="s">
        <v>1296</v>
      </c>
      <c r="E148" s="83" t="s">
        <v>1336</v>
      </c>
      <c r="F148" s="83" t="s">
        <v>1389</v>
      </c>
      <c r="G148" s="61" t="s">
        <v>1127</v>
      </c>
      <c r="H148" s="61">
        <v>100</v>
      </c>
      <c r="I148" s="61">
        <v>1</v>
      </c>
      <c r="J148" s="61">
        <v>1</v>
      </c>
      <c r="K148" s="61">
        <v>0</v>
      </c>
      <c r="L148" s="61">
        <v>15</v>
      </c>
      <c r="M148" s="61">
        <v>0.15</v>
      </c>
      <c r="N148" s="61">
        <v>2014</v>
      </c>
      <c r="O148" s="61">
        <v>2020</v>
      </c>
      <c r="P148" s="61">
        <v>2015</v>
      </c>
      <c r="Q148" s="61">
        <v>0</v>
      </c>
      <c r="R148" s="61">
        <v>0</v>
      </c>
      <c r="S148" s="61">
        <v>0</v>
      </c>
      <c r="T148" s="61">
        <v>0</v>
      </c>
      <c r="U148" s="83">
        <v>100.77348066298346</v>
      </c>
      <c r="V148" s="83">
        <v>1.0077</v>
      </c>
    </row>
    <row r="149" spans="1:22">
      <c r="A149" s="61" t="s">
        <v>271</v>
      </c>
      <c r="B149" s="61">
        <v>73</v>
      </c>
      <c r="C149" s="61" t="s">
        <v>917</v>
      </c>
      <c r="D149" s="61" t="s">
        <v>1296</v>
      </c>
      <c r="E149" s="83" t="s">
        <v>1338</v>
      </c>
      <c r="F149" s="83" t="s">
        <v>1390</v>
      </c>
      <c r="G149" s="61" t="s">
        <v>1164</v>
      </c>
      <c r="H149" s="61">
        <v>100</v>
      </c>
      <c r="I149" s="61">
        <v>1</v>
      </c>
      <c r="J149" s="61">
        <v>0</v>
      </c>
      <c r="K149" s="61">
        <v>0</v>
      </c>
      <c r="L149" s="61">
        <v>13</v>
      </c>
      <c r="M149" s="61">
        <v>0.13</v>
      </c>
      <c r="N149" s="61">
        <v>2017</v>
      </c>
      <c r="O149" s="61">
        <v>2025</v>
      </c>
      <c r="P149" s="61">
        <v>2018</v>
      </c>
      <c r="Q149" s="61">
        <v>0</v>
      </c>
      <c r="R149" s="61">
        <v>0</v>
      </c>
      <c r="S149" s="61">
        <v>0</v>
      </c>
      <c r="T149" s="61">
        <v>0</v>
      </c>
      <c r="U149" s="83">
        <v>769.23076923076906</v>
      </c>
      <c r="V149" s="83">
        <v>7.6923000000000004</v>
      </c>
    </row>
    <row r="150" spans="1:22">
      <c r="A150" s="61" t="s">
        <v>271</v>
      </c>
      <c r="B150" s="61">
        <v>73</v>
      </c>
      <c r="C150" s="61" t="s">
        <v>917</v>
      </c>
      <c r="D150" s="61" t="s">
        <v>1296</v>
      </c>
      <c r="E150" s="83" t="s">
        <v>1340</v>
      </c>
      <c r="F150" s="83" t="s">
        <v>1389</v>
      </c>
      <c r="G150" s="61" t="s">
        <v>1164</v>
      </c>
      <c r="H150" s="61"/>
      <c r="I150" s="61">
        <v>0</v>
      </c>
      <c r="J150" s="61">
        <v>0</v>
      </c>
      <c r="K150" s="61">
        <v>0</v>
      </c>
      <c r="L150" s="61">
        <v>21</v>
      </c>
      <c r="M150" s="61">
        <v>0.21</v>
      </c>
      <c r="N150" s="61">
        <v>2018</v>
      </c>
      <c r="O150" s="61">
        <v>2025</v>
      </c>
      <c r="P150" s="61">
        <v>2017</v>
      </c>
      <c r="Q150" s="61">
        <v>0</v>
      </c>
      <c r="R150" s="61">
        <v>0</v>
      </c>
      <c r="S150" s="61">
        <v>0</v>
      </c>
      <c r="T150" s="61">
        <v>0</v>
      </c>
      <c r="U150" s="83">
        <v>476.1904761904762</v>
      </c>
      <c r="V150" s="83">
        <v>4.7618999999999998</v>
      </c>
    </row>
    <row r="151" spans="1:22">
      <c r="A151" s="61" t="s">
        <v>271</v>
      </c>
      <c r="B151" s="61">
        <v>73</v>
      </c>
      <c r="C151" s="61" t="s">
        <v>917</v>
      </c>
      <c r="D151" s="61" t="s">
        <v>1296</v>
      </c>
      <c r="E151" s="83" t="s">
        <v>1327</v>
      </c>
      <c r="F151" s="83" t="s">
        <v>1389</v>
      </c>
      <c r="G151" s="61" t="s">
        <v>1127</v>
      </c>
      <c r="H151" s="61">
        <v>77</v>
      </c>
      <c r="I151" s="61">
        <v>0.77</v>
      </c>
      <c r="J151" s="61">
        <v>0.77</v>
      </c>
      <c r="K151" s="61">
        <v>0</v>
      </c>
      <c r="L151" s="61">
        <v>4.6500000000000004</v>
      </c>
      <c r="M151" s="61">
        <v>4.6500000000000007E-2</v>
      </c>
      <c r="N151" s="61">
        <v>2013</v>
      </c>
      <c r="O151" s="61">
        <v>2025</v>
      </c>
      <c r="P151" s="61">
        <v>2020</v>
      </c>
      <c r="Q151" s="61">
        <v>0</v>
      </c>
      <c r="R151" s="61">
        <v>0</v>
      </c>
      <c r="S151" s="61">
        <v>0</v>
      </c>
      <c r="T151" s="61">
        <v>0</v>
      </c>
      <c r="U151" s="83">
        <v>2150.5376344086048</v>
      </c>
      <c r="V151" s="83">
        <v>21.505400000000002</v>
      </c>
    </row>
    <row r="152" spans="1:22">
      <c r="A152" s="61" t="s">
        <v>276</v>
      </c>
      <c r="B152" s="61">
        <v>74</v>
      </c>
      <c r="C152" s="61" t="s">
        <v>923</v>
      </c>
      <c r="D152" s="61" t="s">
        <v>1296</v>
      </c>
      <c r="E152" s="83" t="s">
        <v>1343</v>
      </c>
      <c r="F152" s="83" t="s">
        <v>1389</v>
      </c>
      <c r="G152" s="61" t="s">
        <v>1127</v>
      </c>
      <c r="H152" s="61">
        <v>100</v>
      </c>
      <c r="I152" s="61">
        <v>1</v>
      </c>
      <c r="J152" s="61">
        <v>1</v>
      </c>
      <c r="K152" s="61">
        <v>0</v>
      </c>
      <c r="L152" s="61">
        <v>55</v>
      </c>
      <c r="M152" s="61">
        <v>0.55000000000000004</v>
      </c>
      <c r="N152" s="61">
        <v>2015</v>
      </c>
      <c r="O152" s="61">
        <v>2025</v>
      </c>
      <c r="P152" s="61">
        <v>2018</v>
      </c>
      <c r="Q152" s="61">
        <v>0</v>
      </c>
      <c r="R152" s="61">
        <v>0</v>
      </c>
      <c r="S152" s="61">
        <v>0</v>
      </c>
      <c r="T152" s="61">
        <v>0</v>
      </c>
      <c r="U152" s="83">
        <v>76.355199325036907</v>
      </c>
      <c r="V152" s="83">
        <v>0.76359999999999995</v>
      </c>
    </row>
    <row r="153" spans="1:22">
      <c r="A153" s="61" t="s">
        <v>293</v>
      </c>
      <c r="B153" s="61">
        <v>78</v>
      </c>
      <c r="C153" s="61" t="s">
        <v>521</v>
      </c>
      <c r="D153" s="61" t="s">
        <v>1296</v>
      </c>
      <c r="E153" s="83" t="s">
        <v>1346</v>
      </c>
      <c r="F153" s="83" t="s">
        <v>1389</v>
      </c>
      <c r="G153" s="61" t="s">
        <v>1157</v>
      </c>
      <c r="H153" s="61">
        <v>100</v>
      </c>
      <c r="I153" s="61">
        <v>1</v>
      </c>
      <c r="J153" s="61">
        <v>1</v>
      </c>
      <c r="K153" s="61">
        <v>1</v>
      </c>
      <c r="L153" s="61">
        <v>30</v>
      </c>
      <c r="M153" s="61">
        <v>0.3</v>
      </c>
      <c r="N153" s="61">
        <v>2010</v>
      </c>
      <c r="O153" s="61">
        <v>2020</v>
      </c>
      <c r="P153" s="61">
        <v>2012</v>
      </c>
      <c r="Q153" s="61">
        <v>0</v>
      </c>
      <c r="R153" s="61">
        <v>0</v>
      </c>
      <c r="S153" s="61">
        <v>0</v>
      </c>
      <c r="T153" s="61">
        <v>0</v>
      </c>
      <c r="U153" s="83">
        <v>106.78459300099547</v>
      </c>
      <c r="V153" s="83">
        <v>1.0678000000000001</v>
      </c>
    </row>
    <row r="154" spans="1:22">
      <c r="A154" s="61" t="s">
        <v>132</v>
      </c>
      <c r="B154" s="61">
        <v>29</v>
      </c>
      <c r="C154" s="61" t="s">
        <v>535</v>
      </c>
      <c r="D154" s="61" t="s">
        <v>1296</v>
      </c>
      <c r="E154" s="83" t="s">
        <v>1348</v>
      </c>
      <c r="F154" s="83" t="s">
        <v>1389</v>
      </c>
      <c r="G154" s="61" t="s">
        <v>1157</v>
      </c>
      <c r="H154" s="61">
        <v>100</v>
      </c>
      <c r="I154" s="61">
        <v>1</v>
      </c>
      <c r="J154" s="61">
        <v>1</v>
      </c>
      <c r="K154" s="61">
        <v>1</v>
      </c>
      <c r="L154" s="61">
        <v>25</v>
      </c>
      <c r="M154" s="61">
        <v>0.25</v>
      </c>
      <c r="N154" s="61">
        <v>2010</v>
      </c>
      <c r="O154" s="61">
        <v>2020</v>
      </c>
      <c r="P154" s="61">
        <v>2013</v>
      </c>
      <c r="Q154" s="61">
        <v>0</v>
      </c>
      <c r="R154" s="61">
        <v>0</v>
      </c>
      <c r="S154" s="61">
        <v>0</v>
      </c>
      <c r="T154" s="61">
        <v>0</v>
      </c>
      <c r="U154" s="83">
        <v>94.690265486725664</v>
      </c>
      <c r="V154" s="83">
        <v>0.94689999999999996</v>
      </c>
    </row>
    <row r="155" spans="1:22">
      <c r="A155" s="61" t="s">
        <v>208</v>
      </c>
      <c r="B155" s="61">
        <v>58</v>
      </c>
      <c r="C155" s="61" t="s">
        <v>529</v>
      </c>
      <c r="D155" s="61" t="s">
        <v>1296</v>
      </c>
      <c r="E155" s="83" t="s">
        <v>1327</v>
      </c>
      <c r="F155" s="83" t="s">
        <v>1389</v>
      </c>
      <c r="G155" s="61" t="s">
        <v>1127</v>
      </c>
      <c r="H155" s="61">
        <v>100</v>
      </c>
      <c r="I155" s="61">
        <v>1</v>
      </c>
      <c r="J155" s="61">
        <v>1</v>
      </c>
      <c r="K155" s="61">
        <v>0</v>
      </c>
      <c r="L155" s="61">
        <v>15</v>
      </c>
      <c r="M155" s="61">
        <v>0.15</v>
      </c>
      <c r="N155" s="61">
        <v>2015</v>
      </c>
      <c r="O155" s="61">
        <v>2020</v>
      </c>
      <c r="P155" s="61">
        <v>2016</v>
      </c>
      <c r="Q155" s="61">
        <v>0</v>
      </c>
      <c r="R155" s="61">
        <v>0</v>
      </c>
      <c r="S155" s="61">
        <v>0</v>
      </c>
      <c r="T155" s="61">
        <v>0</v>
      </c>
      <c r="U155" s="83">
        <v>-58.82352941176466</v>
      </c>
      <c r="V155" s="83">
        <v>-0.58819999999999995</v>
      </c>
    </row>
    <row r="156" spans="1:22">
      <c r="A156" s="92" t="s">
        <v>347</v>
      </c>
      <c r="B156" s="92">
        <v>92</v>
      </c>
      <c r="C156" s="92" t="s">
        <v>982</v>
      </c>
      <c r="D156" s="92" t="s">
        <v>1296</v>
      </c>
      <c r="E156" s="91" t="s">
        <v>1351</v>
      </c>
      <c r="F156" s="91" t="s">
        <v>1389</v>
      </c>
      <c r="G156" s="92" t="s">
        <v>1164</v>
      </c>
      <c r="H156" s="92">
        <v>93</v>
      </c>
      <c r="I156" s="92">
        <v>0.93</v>
      </c>
      <c r="J156" s="92">
        <v>0</v>
      </c>
      <c r="K156" s="92">
        <v>0</v>
      </c>
      <c r="L156" s="92">
        <v>1.5</v>
      </c>
      <c r="M156" s="92">
        <v>1.4999999999999999E-2</v>
      </c>
      <c r="N156" s="92">
        <v>2017</v>
      </c>
      <c r="O156" s="92">
        <v>2020</v>
      </c>
      <c r="P156" s="92">
        <v>2018</v>
      </c>
      <c r="Q156" s="92">
        <v>0</v>
      </c>
      <c r="R156" s="92">
        <v>0</v>
      </c>
      <c r="S156" s="92">
        <v>0</v>
      </c>
      <c r="T156" s="92">
        <v>0</v>
      </c>
      <c r="U156" s="91">
        <v>-60431.150633252619</v>
      </c>
      <c r="V156" s="91">
        <v>0</v>
      </c>
    </row>
    <row r="157" spans="1:22">
      <c r="A157" s="61" t="s">
        <v>356</v>
      </c>
      <c r="B157" s="61">
        <v>94</v>
      </c>
      <c r="C157" s="61" t="s">
        <v>990</v>
      </c>
      <c r="D157" s="61" t="s">
        <v>1296</v>
      </c>
      <c r="E157" s="83" t="s">
        <v>1353</v>
      </c>
      <c r="F157" s="83" t="s">
        <v>1389</v>
      </c>
      <c r="G157" s="61" t="s">
        <v>1127</v>
      </c>
      <c r="H157" s="61">
        <v>95</v>
      </c>
      <c r="I157" s="61">
        <v>0.95</v>
      </c>
      <c r="J157" s="61">
        <v>0.95</v>
      </c>
      <c r="K157" s="61">
        <v>0</v>
      </c>
      <c r="L157" s="61">
        <v>20</v>
      </c>
      <c r="M157" s="61">
        <v>0.2</v>
      </c>
      <c r="N157" s="61">
        <v>2007</v>
      </c>
      <c r="O157" s="61">
        <v>2020</v>
      </c>
      <c r="P157" s="61">
        <v>2010</v>
      </c>
      <c r="Q157" s="61">
        <v>0</v>
      </c>
      <c r="R157" s="61">
        <v>0</v>
      </c>
      <c r="S157" s="61">
        <v>0</v>
      </c>
      <c r="T157" s="61">
        <v>0</v>
      </c>
      <c r="U157" s="83">
        <v>87.62886597938143</v>
      </c>
      <c r="V157" s="83">
        <v>0.87629999999999997</v>
      </c>
    </row>
    <row r="158" spans="1:22">
      <c r="A158" s="61" t="s">
        <v>356</v>
      </c>
      <c r="B158" s="61">
        <v>94</v>
      </c>
      <c r="C158" s="61" t="s">
        <v>990</v>
      </c>
      <c r="D158" s="61" t="s">
        <v>1296</v>
      </c>
      <c r="E158" s="83" t="s">
        <v>1355</v>
      </c>
      <c r="F158" s="83" t="s">
        <v>1389</v>
      </c>
      <c r="G158" s="61" t="s">
        <v>1164</v>
      </c>
      <c r="H158" s="61">
        <v>59</v>
      </c>
      <c r="I158" s="61">
        <v>0.59</v>
      </c>
      <c r="J158" s="61">
        <v>0</v>
      </c>
      <c r="K158" s="61">
        <v>0</v>
      </c>
      <c r="L158" s="61">
        <v>20</v>
      </c>
      <c r="M158" s="61">
        <v>0.2</v>
      </c>
      <c r="N158" s="61">
        <v>2005</v>
      </c>
      <c r="O158" s="61">
        <v>2020</v>
      </c>
      <c r="P158" s="61">
        <v>2008</v>
      </c>
      <c r="Q158" s="61">
        <v>0</v>
      </c>
      <c r="R158" s="61">
        <v>0</v>
      </c>
      <c r="S158" s="61">
        <v>0</v>
      </c>
      <c r="T158" s="61">
        <v>0</v>
      </c>
      <c r="U158" s="83">
        <v>64.935064935064958</v>
      </c>
      <c r="V158" s="83">
        <v>0.64939999999999998</v>
      </c>
    </row>
    <row r="159" spans="1:22">
      <c r="A159" s="61" t="s">
        <v>366</v>
      </c>
      <c r="B159" s="61">
        <v>96</v>
      </c>
      <c r="C159" s="61" t="s">
        <v>533</v>
      </c>
      <c r="D159" s="61" t="s">
        <v>1296</v>
      </c>
      <c r="E159" s="83" t="s">
        <v>1357</v>
      </c>
      <c r="F159" s="83" t="s">
        <v>1389</v>
      </c>
      <c r="G159" s="61" t="s">
        <v>1127</v>
      </c>
      <c r="H159" s="61">
        <v>100</v>
      </c>
      <c r="I159" s="61">
        <v>1</v>
      </c>
      <c r="J159" s="61">
        <v>1</v>
      </c>
      <c r="K159" s="61">
        <v>0</v>
      </c>
      <c r="L159" s="61">
        <v>50</v>
      </c>
      <c r="M159" s="61">
        <v>0.5</v>
      </c>
      <c r="N159" s="61">
        <v>2009</v>
      </c>
      <c r="O159" s="61">
        <v>2020</v>
      </c>
      <c r="P159" s="61">
        <v>2010</v>
      </c>
      <c r="Q159" s="61">
        <v>0</v>
      </c>
      <c r="R159" s="61">
        <v>0</v>
      </c>
      <c r="S159" s="61">
        <v>0</v>
      </c>
      <c r="T159" s="61">
        <v>0</v>
      </c>
      <c r="U159" s="83">
        <v>107.41849541161046</v>
      </c>
      <c r="V159" s="83">
        <v>1.0742</v>
      </c>
    </row>
    <row r="160" spans="1:22">
      <c r="A160" s="61" t="s">
        <v>366</v>
      </c>
      <c r="B160" s="61">
        <v>96</v>
      </c>
      <c r="C160" s="61" t="s">
        <v>533</v>
      </c>
      <c r="D160" s="61" t="s">
        <v>1296</v>
      </c>
      <c r="E160" s="83" t="s">
        <v>1359</v>
      </c>
      <c r="F160" s="83" t="s">
        <v>1389</v>
      </c>
      <c r="G160" s="61" t="s">
        <v>1127</v>
      </c>
      <c r="H160" s="61">
        <v>100</v>
      </c>
      <c r="I160" s="61">
        <v>1</v>
      </c>
      <c r="J160" s="61">
        <v>1</v>
      </c>
      <c r="K160" s="61">
        <v>0</v>
      </c>
      <c r="L160" s="61">
        <v>50</v>
      </c>
      <c r="M160" s="61">
        <v>0.5</v>
      </c>
      <c r="N160" s="61">
        <v>2016</v>
      </c>
      <c r="O160" s="61">
        <v>2025</v>
      </c>
      <c r="P160" s="61">
        <v>2016</v>
      </c>
      <c r="Q160" s="61">
        <v>0</v>
      </c>
      <c r="R160" s="61">
        <v>0</v>
      </c>
      <c r="S160" s="61">
        <v>0</v>
      </c>
      <c r="T160" s="61">
        <v>0</v>
      </c>
      <c r="U160" s="83">
        <v>105.35256842389104</v>
      </c>
      <c r="V160" s="83">
        <v>1.0535000000000001</v>
      </c>
    </row>
    <row r="161" spans="1:22">
      <c r="A161" s="61" t="s">
        <v>375</v>
      </c>
      <c r="B161" s="61">
        <v>98</v>
      </c>
      <c r="C161" s="61" t="s">
        <v>1005</v>
      </c>
      <c r="D161" s="61" t="s">
        <v>1296</v>
      </c>
      <c r="E161" s="83" t="s">
        <v>1304</v>
      </c>
      <c r="F161" s="83" t="s">
        <v>1389</v>
      </c>
      <c r="G161" s="61" t="s">
        <v>1127</v>
      </c>
      <c r="H161" s="61">
        <v>50</v>
      </c>
      <c r="I161" s="61">
        <v>0.5</v>
      </c>
      <c r="J161" s="61">
        <v>0.5</v>
      </c>
      <c r="K161" s="61">
        <v>0</v>
      </c>
      <c r="L161" s="61">
        <v>20</v>
      </c>
      <c r="M161" s="61">
        <v>0.2</v>
      </c>
      <c r="N161" s="61">
        <v>2011</v>
      </c>
      <c r="O161" s="61">
        <v>2020</v>
      </c>
      <c r="P161" s="61">
        <v>2012</v>
      </c>
      <c r="Q161" s="61">
        <v>0</v>
      </c>
      <c r="R161" s="61">
        <v>0</v>
      </c>
      <c r="S161" s="61">
        <v>0</v>
      </c>
      <c r="T161" s="61">
        <v>0</v>
      </c>
      <c r="U161" s="83">
        <v>81.296399171758992</v>
      </c>
      <c r="V161" s="83">
        <v>0.81299999999999994</v>
      </c>
    </row>
  </sheetData>
  <phoneticPr fontId="20" type="noConversion"/>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EA2F7-CF51-4095-8C62-7925666D3075}">
  <dimension ref="A1:T101"/>
  <sheetViews>
    <sheetView topLeftCell="A79" workbookViewId="0">
      <selection activeCell="O2" sqref="O2"/>
    </sheetView>
  </sheetViews>
  <sheetFormatPr defaultRowHeight="14.25"/>
  <cols>
    <col min="1" max="1" width="28.7109375" style="87" bestFit="1" customWidth="1"/>
    <col min="2" max="15" width="12.5703125" style="87" customWidth="1"/>
    <col min="16" max="16" width="13" style="87" customWidth="1"/>
    <col min="17" max="20" width="12.5703125" style="87" customWidth="1"/>
    <col min="21" max="16384" width="9.140625" style="87"/>
  </cols>
  <sheetData>
    <row r="1" spans="1:20">
      <c r="A1" s="87" t="s">
        <v>566</v>
      </c>
      <c r="B1" s="87" t="s">
        <v>557</v>
      </c>
      <c r="C1" s="87" t="s">
        <v>1362</v>
      </c>
      <c r="D1" s="87" t="s">
        <v>1363</v>
      </c>
      <c r="E1" s="87" t="s">
        <v>1364</v>
      </c>
      <c r="F1" s="87" t="s">
        <v>1365</v>
      </c>
      <c r="G1" s="87" t="s">
        <v>1366</v>
      </c>
      <c r="H1" s="87" t="s">
        <v>1367</v>
      </c>
      <c r="I1" s="87" t="s">
        <v>1368</v>
      </c>
      <c r="J1" s="87" t="s">
        <v>1369</v>
      </c>
      <c r="K1" s="87" t="s">
        <v>1391</v>
      </c>
      <c r="L1" s="87" t="s">
        <v>1392</v>
      </c>
      <c r="M1" s="87" t="s">
        <v>1393</v>
      </c>
      <c r="N1" s="87" t="s">
        <v>1370</v>
      </c>
      <c r="O1" s="87" t="s">
        <v>1371</v>
      </c>
      <c r="P1" s="87" t="s">
        <v>1372</v>
      </c>
      <c r="Q1" s="88" t="s">
        <v>1373</v>
      </c>
      <c r="R1" s="87" t="s">
        <v>1374</v>
      </c>
      <c r="S1" s="87" t="s">
        <v>1375</v>
      </c>
      <c r="T1" s="87" t="s">
        <v>1376</v>
      </c>
    </row>
    <row r="2" spans="1:20">
      <c r="A2" s="58" t="s">
        <v>62</v>
      </c>
      <c r="B2" s="58" t="s">
        <v>585</v>
      </c>
      <c r="C2" s="58" t="s">
        <v>585</v>
      </c>
      <c r="D2" s="58" t="s">
        <v>1377</v>
      </c>
      <c r="E2" s="58" t="s">
        <v>1378</v>
      </c>
      <c r="F2" s="58" t="s">
        <v>9</v>
      </c>
      <c r="G2" s="58"/>
      <c r="J2" s="58" t="s">
        <v>148</v>
      </c>
      <c r="K2" s="58">
        <v>4050000</v>
      </c>
      <c r="L2" s="58">
        <v>1780000</v>
      </c>
      <c r="M2" s="58">
        <v>1320000</v>
      </c>
      <c r="N2" s="58">
        <v>5370000</v>
      </c>
      <c r="O2" s="58">
        <v>8925800</v>
      </c>
      <c r="P2" s="58">
        <v>32136000000</v>
      </c>
    </row>
    <row r="3" spans="1:20">
      <c r="A3" s="58" t="s">
        <v>65</v>
      </c>
      <c r="B3" s="58" t="s">
        <v>538</v>
      </c>
      <c r="C3" s="58" t="s">
        <v>538</v>
      </c>
      <c r="D3" s="58" t="s">
        <v>1377</v>
      </c>
      <c r="E3" s="58" t="s">
        <v>1378</v>
      </c>
      <c r="F3" s="58" t="s">
        <v>575</v>
      </c>
      <c r="G3" s="58"/>
      <c r="J3" s="58" t="s">
        <v>574</v>
      </c>
      <c r="K3" s="58">
        <v>533000</v>
      </c>
      <c r="L3" s="58">
        <v>518000</v>
      </c>
      <c r="M3" s="58">
        <v>439000</v>
      </c>
      <c r="N3" s="58">
        <v>972000</v>
      </c>
      <c r="O3" s="58">
        <v>14363000</v>
      </c>
      <c r="P3" s="58">
        <v>31904000000</v>
      </c>
    </row>
    <row r="4" spans="1:20">
      <c r="A4" s="58" t="s">
        <v>68</v>
      </c>
      <c r="B4" s="58" t="s">
        <v>537</v>
      </c>
      <c r="C4" s="58" t="s">
        <v>537</v>
      </c>
      <c r="D4" s="58" t="s">
        <v>1377</v>
      </c>
      <c r="E4" s="58" t="s">
        <v>1378</v>
      </c>
      <c r="F4" s="58" t="s">
        <v>575</v>
      </c>
      <c r="G4" s="58"/>
      <c r="J4" s="58" t="s">
        <v>610</v>
      </c>
      <c r="K4" s="58">
        <v>314421</v>
      </c>
      <c r="L4" s="58">
        <v>308204</v>
      </c>
      <c r="M4" s="58">
        <v>249777</v>
      </c>
      <c r="N4" s="58">
        <v>564198</v>
      </c>
      <c r="O4" s="58">
        <v>1334209</v>
      </c>
      <c r="P4" s="58">
        <v>33266000000</v>
      </c>
    </row>
    <row r="5" spans="1:20">
      <c r="A5" s="58" t="s">
        <v>71</v>
      </c>
      <c r="B5" s="58" t="s">
        <v>530</v>
      </c>
      <c r="C5" s="58" t="s">
        <v>530</v>
      </c>
      <c r="D5" s="58" t="s">
        <v>1041</v>
      </c>
      <c r="E5" s="58" t="s">
        <v>1379</v>
      </c>
      <c r="F5" s="58" t="s">
        <v>593</v>
      </c>
      <c r="G5" s="58"/>
      <c r="J5" s="58" t="s">
        <v>592</v>
      </c>
      <c r="K5" s="58">
        <v>18923</v>
      </c>
      <c r="L5" s="58">
        <v>281489</v>
      </c>
      <c r="M5" s="58">
        <v>214680</v>
      </c>
      <c r="N5" s="58">
        <v>233603</v>
      </c>
      <c r="O5" s="58">
        <v>932653</v>
      </c>
      <c r="P5" s="58">
        <v>43200000000</v>
      </c>
    </row>
    <row r="6" spans="1:20">
      <c r="A6" s="58" t="s">
        <v>73</v>
      </c>
      <c r="B6" s="58" t="s">
        <v>513</v>
      </c>
      <c r="C6" s="58" t="s">
        <v>513</v>
      </c>
      <c r="D6" s="58" t="s">
        <v>1377</v>
      </c>
      <c r="E6" s="58" t="s">
        <v>1378</v>
      </c>
      <c r="F6" s="58" t="s">
        <v>593</v>
      </c>
      <c r="G6" s="58"/>
      <c r="J6" s="58" t="s">
        <v>592</v>
      </c>
      <c r="K6" s="58">
        <v>11816</v>
      </c>
      <c r="L6" s="58">
        <v>56113</v>
      </c>
      <c r="M6" s="58">
        <v>43526</v>
      </c>
      <c r="N6" s="58">
        <v>55342</v>
      </c>
      <c r="O6" s="58">
        <v>543411.87</v>
      </c>
      <c r="P6" s="58">
        <v>11171000000</v>
      </c>
    </row>
    <row r="7" spans="1:20">
      <c r="A7" s="58" t="s">
        <v>75</v>
      </c>
      <c r="B7" s="58" t="s">
        <v>539</v>
      </c>
      <c r="C7" s="58" t="s">
        <v>539</v>
      </c>
      <c r="D7" s="58" t="s">
        <v>1377</v>
      </c>
      <c r="E7" s="58" t="s">
        <v>1378</v>
      </c>
      <c r="F7" s="58" t="s">
        <v>593</v>
      </c>
      <c r="G7" s="58"/>
      <c r="J7" s="58" t="s">
        <v>604</v>
      </c>
      <c r="K7" s="58">
        <v>39230</v>
      </c>
      <c r="L7" s="58">
        <v>86863</v>
      </c>
      <c r="M7" s="58">
        <v>74230</v>
      </c>
      <c r="N7" s="58">
        <v>113460</v>
      </c>
      <c r="O7" s="58">
        <v>37589</v>
      </c>
      <c r="P7" s="58">
        <v>44675000000</v>
      </c>
    </row>
    <row r="8" spans="1:20">
      <c r="A8" s="58" t="s">
        <v>78</v>
      </c>
      <c r="B8" s="58" t="s">
        <v>1408</v>
      </c>
      <c r="C8" s="58" t="s">
        <v>1408</v>
      </c>
      <c r="D8" s="58" t="s">
        <v>1377</v>
      </c>
      <c r="E8" s="58" t="s">
        <v>1378</v>
      </c>
      <c r="F8" s="58" t="s">
        <v>593</v>
      </c>
      <c r="G8" s="58"/>
      <c r="J8" s="58" t="s">
        <v>826</v>
      </c>
      <c r="K8" s="58">
        <v>66686</v>
      </c>
      <c r="L8" s="58">
        <v>5116949</v>
      </c>
      <c r="M8" s="58">
        <v>794267</v>
      </c>
      <c r="N8" s="58">
        <v>860953</v>
      </c>
      <c r="O8" s="58">
        <v>11669000</v>
      </c>
      <c r="P8" s="58">
        <v>161857000000</v>
      </c>
    </row>
    <row r="9" spans="1:20">
      <c r="A9" s="58" t="s">
        <v>81</v>
      </c>
      <c r="B9" s="58" t="s">
        <v>527</v>
      </c>
      <c r="C9" s="58" t="s">
        <v>527</v>
      </c>
      <c r="D9" s="58" t="s">
        <v>1377</v>
      </c>
      <c r="E9" s="58" t="s">
        <v>1378</v>
      </c>
      <c r="F9" s="58" t="s">
        <v>620</v>
      </c>
      <c r="G9" s="58"/>
      <c r="J9" s="58" t="s">
        <v>82</v>
      </c>
      <c r="K9" s="58">
        <v>154507</v>
      </c>
      <c r="L9" s="58">
        <v>151259</v>
      </c>
      <c r="M9" s="58">
        <v>147909</v>
      </c>
      <c r="N9" s="58">
        <v>302416</v>
      </c>
      <c r="O9" s="58">
        <v>5568021</v>
      </c>
      <c r="P9" s="58">
        <v>25364000000</v>
      </c>
    </row>
    <row r="10" spans="1:20">
      <c r="A10" s="58" t="s">
        <v>84</v>
      </c>
      <c r="B10" s="58" t="s">
        <v>1400</v>
      </c>
      <c r="C10" s="58" t="s">
        <v>1400</v>
      </c>
      <c r="D10" s="58" t="s">
        <v>1377</v>
      </c>
      <c r="E10" s="58" t="s">
        <v>1378</v>
      </c>
      <c r="F10" s="58"/>
      <c r="G10" s="58"/>
      <c r="J10" s="58"/>
      <c r="K10" s="93">
        <v>10</v>
      </c>
      <c r="L10" s="93">
        <v>10</v>
      </c>
      <c r="M10" s="93">
        <v>10</v>
      </c>
      <c r="N10" s="93">
        <v>10</v>
      </c>
      <c r="O10" s="93">
        <v>10</v>
      </c>
      <c r="P10" s="58">
        <v>280000000000</v>
      </c>
    </row>
    <row r="11" spans="1:20">
      <c r="A11" s="58" t="s">
        <v>88</v>
      </c>
      <c r="B11" s="58" t="s">
        <v>545</v>
      </c>
      <c r="C11" s="58" t="s">
        <v>545</v>
      </c>
      <c r="D11" s="58" t="s">
        <v>1377</v>
      </c>
      <c r="E11" s="58" t="s">
        <v>1378</v>
      </c>
      <c r="F11" s="58" t="s">
        <v>593</v>
      </c>
      <c r="G11" s="58"/>
      <c r="J11" s="58" t="s">
        <v>604</v>
      </c>
      <c r="K11" s="58">
        <v>24363</v>
      </c>
      <c r="L11" s="58">
        <v>113964</v>
      </c>
      <c r="M11" s="58">
        <v>3153</v>
      </c>
      <c r="N11" s="58">
        <v>27516</v>
      </c>
      <c r="O11" s="58">
        <v>2169197.679</v>
      </c>
      <c r="P11" s="58">
        <v>43556000000</v>
      </c>
    </row>
    <row r="12" spans="1:20">
      <c r="A12" s="58" t="s">
        <v>414</v>
      </c>
      <c r="B12" s="58" t="s">
        <v>544</v>
      </c>
      <c r="C12" s="58" t="s">
        <v>544</v>
      </c>
      <c r="D12" s="58" t="s">
        <v>1377</v>
      </c>
      <c r="E12" s="58" t="s">
        <v>1378</v>
      </c>
      <c r="F12" s="58" t="s">
        <v>593</v>
      </c>
      <c r="G12" s="58"/>
      <c r="J12" s="58" t="s">
        <v>604</v>
      </c>
      <c r="K12" s="58">
        <v>17121</v>
      </c>
      <c r="L12" s="58">
        <v>93781</v>
      </c>
      <c r="M12" s="58">
        <v>0</v>
      </c>
      <c r="N12" s="58">
        <v>110902</v>
      </c>
      <c r="O12" s="58">
        <v>44695</v>
      </c>
      <c r="P12" s="58">
        <v>49750000000</v>
      </c>
    </row>
    <row r="13" spans="1:20">
      <c r="A13" s="58" t="s">
        <v>91</v>
      </c>
      <c r="B13" s="58" t="s">
        <v>543</v>
      </c>
      <c r="C13" s="58" t="s">
        <v>543</v>
      </c>
      <c r="D13" s="58" t="s">
        <v>1377</v>
      </c>
      <c r="E13" s="58" t="s">
        <v>1378</v>
      </c>
      <c r="F13" s="58" t="s">
        <v>589</v>
      </c>
      <c r="G13" s="58"/>
      <c r="J13" s="58" t="s">
        <v>637</v>
      </c>
      <c r="K13" s="58">
        <v>556281</v>
      </c>
      <c r="L13" s="58">
        <v>1780621</v>
      </c>
      <c r="M13" s="58">
        <v>0</v>
      </c>
      <c r="N13" s="58">
        <v>2336902</v>
      </c>
      <c r="O13" s="58">
        <v>0</v>
      </c>
      <c r="P13" s="58">
        <v>7580000000</v>
      </c>
    </row>
    <row r="14" spans="1:20">
      <c r="A14" s="58" t="s">
        <v>93</v>
      </c>
      <c r="B14" s="58" t="s">
        <v>542</v>
      </c>
      <c r="C14" s="58" t="s">
        <v>542</v>
      </c>
      <c r="D14" s="58" t="s">
        <v>1377</v>
      </c>
      <c r="E14" s="58" t="s">
        <v>1378</v>
      </c>
      <c r="F14" s="58" t="s">
        <v>575</v>
      </c>
      <c r="G14" s="58"/>
      <c r="J14" s="58" t="s">
        <v>610</v>
      </c>
      <c r="K14" s="58">
        <v>135954</v>
      </c>
      <c r="L14" s="58">
        <v>173922</v>
      </c>
      <c r="M14" s="58">
        <v>160360</v>
      </c>
      <c r="N14" s="58">
        <v>296314</v>
      </c>
      <c r="O14" s="58">
        <v>2829355</v>
      </c>
      <c r="P14" s="58">
        <v>23400000000</v>
      </c>
    </row>
    <row r="15" spans="1:20">
      <c r="A15" s="58" t="s">
        <v>95</v>
      </c>
      <c r="B15" s="58" t="s">
        <v>546</v>
      </c>
      <c r="C15" s="58" t="s">
        <v>546</v>
      </c>
      <c r="D15" s="58" t="s">
        <v>1377</v>
      </c>
      <c r="E15" s="58" t="s">
        <v>1378</v>
      </c>
      <c r="F15" s="58" t="s">
        <v>601</v>
      </c>
      <c r="G15" s="58"/>
      <c r="J15" s="58" t="s">
        <v>600</v>
      </c>
      <c r="K15" s="58">
        <v>50549</v>
      </c>
      <c r="L15" s="58">
        <v>862127</v>
      </c>
      <c r="M15" s="58">
        <v>0</v>
      </c>
      <c r="N15" s="58">
        <v>912676</v>
      </c>
      <c r="O15" s="58">
        <v>25065200</v>
      </c>
      <c r="P15" s="58">
        <v>260174000000</v>
      </c>
    </row>
    <row r="16" spans="1:20">
      <c r="A16" s="58" t="s">
        <v>98</v>
      </c>
      <c r="B16" s="58" t="s">
        <v>532</v>
      </c>
      <c r="C16" s="58" t="s">
        <v>532</v>
      </c>
      <c r="D16" s="58" t="s">
        <v>1377</v>
      </c>
      <c r="E16" s="58" t="s">
        <v>1378</v>
      </c>
      <c r="F16" s="58" t="s">
        <v>593</v>
      </c>
      <c r="G16" s="58"/>
      <c r="J16" s="58" t="s">
        <v>659</v>
      </c>
      <c r="K16" s="58">
        <v>990955</v>
      </c>
      <c r="L16" s="58">
        <v>6015122</v>
      </c>
      <c r="M16" s="58">
        <v>5534088</v>
      </c>
      <c r="N16" s="58">
        <v>6525043</v>
      </c>
      <c r="O16" s="58">
        <v>6291545</v>
      </c>
      <c r="P16" s="58">
        <v>181200000000</v>
      </c>
    </row>
    <row r="17" spans="1:16">
      <c r="A17" s="58" t="s">
        <v>102</v>
      </c>
      <c r="B17" s="58" t="s">
        <v>547</v>
      </c>
      <c r="C17" s="58" t="s">
        <v>547</v>
      </c>
      <c r="D17" s="58" t="s">
        <v>1377</v>
      </c>
      <c r="E17" s="58" t="s">
        <v>1378</v>
      </c>
      <c r="F17" s="58" t="s">
        <v>593</v>
      </c>
      <c r="G17" s="58"/>
      <c r="J17" s="58" t="s">
        <v>604</v>
      </c>
      <c r="K17" s="58">
        <v>62639</v>
      </c>
      <c r="L17" s="58">
        <v>728771</v>
      </c>
      <c r="M17" s="58">
        <v>17523</v>
      </c>
      <c r="N17" s="58">
        <v>80162</v>
      </c>
      <c r="O17" s="58">
        <v>4867841</v>
      </c>
      <c r="P17" s="58">
        <v>91240000000</v>
      </c>
    </row>
    <row r="18" spans="1:16">
      <c r="A18" s="58" t="s">
        <v>106</v>
      </c>
      <c r="B18" s="58" t="s">
        <v>1401</v>
      </c>
      <c r="C18" s="58" t="s">
        <v>1401</v>
      </c>
      <c r="D18" s="58" t="s">
        <v>1377</v>
      </c>
      <c r="E18" s="58" t="s">
        <v>1378</v>
      </c>
      <c r="F18" s="58"/>
      <c r="G18" s="58"/>
      <c r="J18" s="58"/>
      <c r="K18" s="93">
        <v>10</v>
      </c>
      <c r="L18" s="93">
        <v>10</v>
      </c>
      <c r="M18" s="93">
        <v>10</v>
      </c>
      <c r="N18" s="93">
        <v>10</v>
      </c>
      <c r="O18" s="93">
        <v>10</v>
      </c>
      <c r="P18" s="58">
        <v>254616000000</v>
      </c>
    </row>
    <row r="19" spans="1:16">
      <c r="A19" s="58" t="s">
        <v>107</v>
      </c>
      <c r="B19" s="58" t="s">
        <v>514</v>
      </c>
      <c r="C19" s="58" t="s">
        <v>514</v>
      </c>
      <c r="D19" s="58" t="s">
        <v>1377</v>
      </c>
      <c r="E19" s="58" t="s">
        <v>1378</v>
      </c>
      <c r="F19" s="58" t="s">
        <v>575</v>
      </c>
      <c r="G19" s="58"/>
      <c r="J19" s="58" t="s">
        <v>610</v>
      </c>
      <c r="K19" s="58">
        <v>67031</v>
      </c>
      <c r="L19" s="58">
        <v>36802</v>
      </c>
      <c r="M19" s="58">
        <v>106</v>
      </c>
      <c r="N19" s="58">
        <v>67137</v>
      </c>
      <c r="O19" s="58">
        <v>424537</v>
      </c>
      <c r="P19" s="58">
        <v>13500000000</v>
      </c>
    </row>
    <row r="20" spans="1:16">
      <c r="A20" s="58" t="s">
        <v>108</v>
      </c>
      <c r="B20" s="58" t="s">
        <v>549</v>
      </c>
      <c r="C20" s="58" t="s">
        <v>549</v>
      </c>
      <c r="D20" s="58" t="s">
        <v>1377</v>
      </c>
      <c r="E20" s="58" t="s">
        <v>1378</v>
      </c>
      <c r="F20" s="58" t="s">
        <v>593</v>
      </c>
      <c r="G20" s="58"/>
      <c r="J20" s="58" t="s">
        <v>604</v>
      </c>
      <c r="K20" s="58">
        <v>5589</v>
      </c>
      <c r="L20" s="58">
        <v>20369</v>
      </c>
      <c r="M20" s="58">
        <v>0</v>
      </c>
      <c r="N20" s="58">
        <v>25958</v>
      </c>
      <c r="O20" s="58">
        <v>420014</v>
      </c>
      <c r="P20" s="58">
        <v>14539000000</v>
      </c>
    </row>
    <row r="21" spans="1:16">
      <c r="A21" s="58" t="s">
        <v>111</v>
      </c>
      <c r="B21" s="58" t="s">
        <v>550</v>
      </c>
      <c r="C21" s="58" t="s">
        <v>550</v>
      </c>
      <c r="D21" s="58" t="s">
        <v>1377</v>
      </c>
      <c r="E21" s="58" t="s">
        <v>1378</v>
      </c>
      <c r="F21" s="58" t="s">
        <v>601</v>
      </c>
      <c r="G21" s="58"/>
      <c r="J21" s="58" t="s">
        <v>688</v>
      </c>
      <c r="K21" s="58">
        <v>613000</v>
      </c>
      <c r="L21" s="58">
        <v>871000</v>
      </c>
      <c r="M21" s="58">
        <v>733000</v>
      </c>
      <c r="N21" s="58">
        <v>1346000</v>
      </c>
      <c r="O21" s="58">
        <v>290000</v>
      </c>
      <c r="P21" s="58">
        <v>76559000000</v>
      </c>
    </row>
    <row r="22" spans="1:16">
      <c r="A22" s="58" t="s">
        <v>113</v>
      </c>
      <c r="B22" s="58" t="s">
        <v>552</v>
      </c>
      <c r="C22" s="58" t="s">
        <v>552</v>
      </c>
      <c r="D22" s="58" t="s">
        <v>1377</v>
      </c>
      <c r="E22" s="58" t="s">
        <v>1378</v>
      </c>
      <c r="F22" s="58"/>
      <c r="G22" s="58"/>
      <c r="J22" s="58"/>
      <c r="K22" s="93">
        <v>10</v>
      </c>
      <c r="L22" s="93">
        <v>10</v>
      </c>
      <c r="M22" s="93">
        <v>10</v>
      </c>
      <c r="N22" s="93">
        <v>10</v>
      </c>
      <c r="O22" s="93">
        <v>10</v>
      </c>
      <c r="P22" s="58">
        <v>15066000000</v>
      </c>
    </row>
    <row r="23" spans="1:16">
      <c r="A23" s="58" t="s">
        <v>115</v>
      </c>
      <c r="B23" s="58" t="s">
        <v>553</v>
      </c>
      <c r="C23" s="58" t="s">
        <v>553</v>
      </c>
      <c r="D23" s="58" t="s">
        <v>1377</v>
      </c>
      <c r="E23" s="58" t="s">
        <v>1378</v>
      </c>
      <c r="F23" s="58" t="s">
        <v>575</v>
      </c>
      <c r="G23" s="58"/>
      <c r="J23" s="58" t="s">
        <v>610</v>
      </c>
      <c r="K23" s="58">
        <v>189193.66500000001</v>
      </c>
      <c r="L23" s="58">
        <v>122295.068</v>
      </c>
      <c r="M23" s="58">
        <v>111155.772</v>
      </c>
      <c r="N23" s="58">
        <v>300349.43700000003</v>
      </c>
      <c r="O23" s="58">
        <v>17184923.5</v>
      </c>
      <c r="P23" s="58">
        <v>26145000000</v>
      </c>
    </row>
    <row r="24" spans="1:16">
      <c r="A24" s="58" t="s">
        <v>117</v>
      </c>
      <c r="B24" s="58" t="s">
        <v>554</v>
      </c>
      <c r="C24" s="58" t="s">
        <v>554</v>
      </c>
      <c r="D24" s="58" t="s">
        <v>1377</v>
      </c>
      <c r="E24" s="58" t="s">
        <v>1378</v>
      </c>
      <c r="F24" s="58" t="s">
        <v>593</v>
      </c>
      <c r="G24" s="58"/>
      <c r="J24" s="58" t="s">
        <v>604</v>
      </c>
      <c r="K24" s="58">
        <v>9495</v>
      </c>
      <c r="L24" s="58">
        <v>146671</v>
      </c>
      <c r="M24" s="58">
        <v>135</v>
      </c>
      <c r="N24" s="58">
        <v>9630</v>
      </c>
      <c r="O24" s="58">
        <v>390974.51</v>
      </c>
      <c r="P24" s="58">
        <v>28600000000</v>
      </c>
    </row>
    <row r="25" spans="1:16">
      <c r="A25" s="58" t="s">
        <v>120</v>
      </c>
      <c r="B25" s="58" t="s">
        <v>555</v>
      </c>
      <c r="C25" s="58" t="s">
        <v>555</v>
      </c>
      <c r="D25" s="58" t="s">
        <v>1377</v>
      </c>
      <c r="E25" s="58" t="s">
        <v>1378</v>
      </c>
      <c r="F25" s="58"/>
      <c r="G25" s="58"/>
      <c r="J25" s="58"/>
      <c r="K25" s="93">
        <v>10</v>
      </c>
      <c r="L25" s="93">
        <v>10</v>
      </c>
      <c r="M25" s="93">
        <v>10</v>
      </c>
      <c r="N25" s="93">
        <v>10</v>
      </c>
      <c r="O25" s="93">
        <v>10</v>
      </c>
      <c r="P25" s="58">
        <v>53800000000</v>
      </c>
    </row>
    <row r="26" spans="1:16">
      <c r="A26" s="58" t="s">
        <v>123</v>
      </c>
      <c r="B26" s="58" t="s">
        <v>556</v>
      </c>
      <c r="C26" s="58" t="s">
        <v>556</v>
      </c>
      <c r="D26" s="58" t="s">
        <v>1377</v>
      </c>
      <c r="E26" s="58" t="s">
        <v>1378</v>
      </c>
      <c r="F26" s="58"/>
      <c r="G26" s="58"/>
      <c r="J26" s="58"/>
      <c r="K26" s="93">
        <v>10</v>
      </c>
      <c r="L26" s="93">
        <v>10</v>
      </c>
      <c r="M26" s="93">
        <v>10</v>
      </c>
      <c r="N26" s="93">
        <v>10</v>
      </c>
      <c r="O26" s="93">
        <v>10</v>
      </c>
      <c r="P26" s="58">
        <v>45764000000</v>
      </c>
    </row>
    <row r="27" spans="1:16">
      <c r="A27" s="58" t="s">
        <v>125</v>
      </c>
      <c r="B27" s="58" t="s">
        <v>551</v>
      </c>
      <c r="C27" s="58" t="s">
        <v>551</v>
      </c>
      <c r="D27" s="58" t="s">
        <v>1377</v>
      </c>
      <c r="E27" s="58" t="s">
        <v>1378</v>
      </c>
      <c r="F27" s="58"/>
      <c r="G27" s="58"/>
      <c r="J27" s="58"/>
      <c r="K27" s="93">
        <v>10</v>
      </c>
      <c r="L27" s="93">
        <v>10</v>
      </c>
      <c r="M27" s="93">
        <v>10</v>
      </c>
      <c r="N27" s="93">
        <v>10</v>
      </c>
      <c r="O27" s="93">
        <v>10</v>
      </c>
      <c r="P27" s="58">
        <v>146516000000</v>
      </c>
    </row>
    <row r="28" spans="1:16">
      <c r="A28" s="58" t="s">
        <v>128</v>
      </c>
      <c r="B28" s="58" t="s">
        <v>515</v>
      </c>
      <c r="C28" s="58" t="s">
        <v>515</v>
      </c>
      <c r="D28" s="58" t="s">
        <v>1377</v>
      </c>
      <c r="E28" s="58" t="s">
        <v>1378</v>
      </c>
      <c r="F28" s="58" t="s">
        <v>593</v>
      </c>
      <c r="G28" s="58"/>
      <c r="J28" s="58" t="s">
        <v>592</v>
      </c>
      <c r="K28" s="58">
        <v>41181</v>
      </c>
      <c r="L28" s="58">
        <v>651331</v>
      </c>
      <c r="M28" s="58">
        <v>187428</v>
      </c>
      <c r="N28" s="58">
        <v>228609</v>
      </c>
      <c r="O28" s="58">
        <v>26570997</v>
      </c>
      <c r="P28" s="58">
        <v>51900000000</v>
      </c>
    </row>
    <row r="29" spans="1:16">
      <c r="A29" s="58" t="s">
        <v>130</v>
      </c>
      <c r="B29" s="58" t="s">
        <v>714</v>
      </c>
      <c r="C29" s="58" t="s">
        <v>714</v>
      </c>
      <c r="D29" s="58" t="s">
        <v>1377</v>
      </c>
      <c r="E29" s="58" t="s">
        <v>1378</v>
      </c>
      <c r="F29" s="58" t="s">
        <v>593</v>
      </c>
      <c r="G29" s="58"/>
      <c r="J29" s="58" t="s">
        <v>604</v>
      </c>
      <c r="K29" s="58">
        <v>23289</v>
      </c>
      <c r="L29" s="58">
        <v>593611</v>
      </c>
      <c r="M29" s="58">
        <v>359748</v>
      </c>
      <c r="N29" s="58">
        <v>383037</v>
      </c>
      <c r="O29" s="58">
        <v>747913.30999999994</v>
      </c>
      <c r="P29" s="58">
        <v>103449000000</v>
      </c>
    </row>
    <row r="30" spans="1:16">
      <c r="A30" s="58" t="s">
        <v>132</v>
      </c>
      <c r="B30" s="58" t="s">
        <v>535</v>
      </c>
      <c r="C30" s="58" t="s">
        <v>535</v>
      </c>
      <c r="D30" s="58" t="s">
        <v>1377</v>
      </c>
      <c r="E30" s="58" t="s">
        <v>1378</v>
      </c>
      <c r="F30" s="58" t="s">
        <v>620</v>
      </c>
      <c r="G30" s="58"/>
      <c r="J30" s="58" t="s">
        <v>653</v>
      </c>
      <c r="K30" s="58">
        <v>687597</v>
      </c>
      <c r="L30" s="58">
        <v>868343</v>
      </c>
      <c r="M30" s="58">
        <v>871304</v>
      </c>
      <c r="N30" s="58">
        <v>1558901</v>
      </c>
      <c r="O30" s="58">
        <v>54039041</v>
      </c>
      <c r="P30" s="58">
        <v>37266000000</v>
      </c>
    </row>
    <row r="31" spans="1:16">
      <c r="A31" s="58" t="s">
        <v>135</v>
      </c>
      <c r="B31" s="58" t="s">
        <v>516</v>
      </c>
      <c r="C31" s="58" t="s">
        <v>516</v>
      </c>
      <c r="D31" s="58" t="s">
        <v>1377</v>
      </c>
      <c r="E31" s="58" t="s">
        <v>1378</v>
      </c>
      <c r="F31" s="58" t="s">
        <v>9</v>
      </c>
      <c r="G31" s="58"/>
      <c r="J31" s="58" t="s">
        <v>148</v>
      </c>
      <c r="K31" s="58">
        <v>197523</v>
      </c>
      <c r="L31" s="58">
        <v>379901</v>
      </c>
      <c r="M31" s="58">
        <v>283289</v>
      </c>
      <c r="N31" s="58">
        <v>480812</v>
      </c>
      <c r="O31" s="58">
        <v>48680218</v>
      </c>
      <c r="P31" s="58">
        <v>15693000000</v>
      </c>
    </row>
    <row r="32" spans="1:16">
      <c r="A32" s="58" t="s">
        <v>138</v>
      </c>
      <c r="B32" s="58" t="s">
        <v>730</v>
      </c>
      <c r="C32" s="58" t="s">
        <v>730</v>
      </c>
      <c r="D32" s="58" t="s">
        <v>1377</v>
      </c>
      <c r="E32" s="58" t="s">
        <v>1378</v>
      </c>
      <c r="F32" s="58" t="s">
        <v>593</v>
      </c>
      <c r="G32" s="58"/>
      <c r="J32" s="58" t="s">
        <v>659</v>
      </c>
      <c r="K32" s="58">
        <v>498455</v>
      </c>
      <c r="L32" s="58">
        <v>1568717</v>
      </c>
      <c r="M32" s="58">
        <v>1496771</v>
      </c>
      <c r="N32" s="58">
        <v>1995226</v>
      </c>
      <c r="O32" s="58">
        <v>0</v>
      </c>
      <c r="P32" s="58">
        <v>108942000000</v>
      </c>
    </row>
    <row r="33" spans="1:16">
      <c r="A33" s="58" t="s">
        <v>139</v>
      </c>
      <c r="B33" s="58" t="s">
        <v>740</v>
      </c>
      <c r="C33" s="58" t="s">
        <v>740</v>
      </c>
      <c r="D33" s="58" t="s">
        <v>1377</v>
      </c>
      <c r="E33" s="58" t="s">
        <v>1378</v>
      </c>
      <c r="F33" s="58" t="s">
        <v>738</v>
      </c>
      <c r="G33" s="58"/>
      <c r="J33" s="58" t="s">
        <v>737</v>
      </c>
      <c r="K33" s="58">
        <v>19500244</v>
      </c>
      <c r="L33" s="58">
        <v>956931</v>
      </c>
      <c r="M33" s="58">
        <v>0</v>
      </c>
      <c r="N33" s="58">
        <v>20457175</v>
      </c>
      <c r="O33" s="58">
        <v>195164764</v>
      </c>
      <c r="P33" s="58">
        <v>36670000000</v>
      </c>
    </row>
    <row r="34" spans="1:16">
      <c r="A34" s="58" t="s">
        <v>141</v>
      </c>
      <c r="B34" s="58" t="s">
        <v>749</v>
      </c>
      <c r="C34" s="58" t="s">
        <v>749</v>
      </c>
      <c r="D34" s="58" t="s">
        <v>1377</v>
      </c>
      <c r="E34" s="58" t="s">
        <v>1378</v>
      </c>
      <c r="F34" s="58" t="s">
        <v>85</v>
      </c>
      <c r="G34" s="58"/>
      <c r="J34" s="58" t="s">
        <v>747</v>
      </c>
      <c r="K34" s="58">
        <v>1108562.25</v>
      </c>
      <c r="L34" s="58">
        <v>1473874.16</v>
      </c>
      <c r="M34" s="58">
        <v>0</v>
      </c>
      <c r="N34" s="58">
        <v>2582436.41</v>
      </c>
      <c r="O34" s="58">
        <v>0</v>
      </c>
      <c r="P34" s="58">
        <v>152703000000</v>
      </c>
    </row>
    <row r="35" spans="1:16">
      <c r="A35" s="58" t="s">
        <v>143</v>
      </c>
      <c r="B35" s="58" t="s">
        <v>517</v>
      </c>
      <c r="C35" s="58" t="s">
        <v>517</v>
      </c>
      <c r="D35" s="58" t="s">
        <v>1377</v>
      </c>
      <c r="E35" s="58" t="s">
        <v>1378</v>
      </c>
      <c r="F35" s="58" t="s">
        <v>575</v>
      </c>
      <c r="G35" s="58"/>
      <c r="J35" s="58" t="s">
        <v>574</v>
      </c>
      <c r="K35" s="58">
        <v>157199.32</v>
      </c>
      <c r="L35" s="58">
        <v>1024681.56</v>
      </c>
      <c r="M35" s="58">
        <v>1036690.44</v>
      </c>
      <c r="N35" s="58">
        <v>1193889.76</v>
      </c>
      <c r="O35" s="58">
        <v>15857183.630000001</v>
      </c>
      <c r="P35" s="58">
        <v>256776000000</v>
      </c>
    </row>
    <row r="36" spans="1:16">
      <c r="A36" s="58" t="s">
        <v>145</v>
      </c>
      <c r="B36" s="58" t="s">
        <v>1100</v>
      </c>
      <c r="C36" s="58" t="s">
        <v>1100</v>
      </c>
      <c r="D36" s="58" t="s">
        <v>1377</v>
      </c>
      <c r="E36" s="58" t="s">
        <v>1378</v>
      </c>
      <c r="F36" s="58"/>
      <c r="G36" s="58"/>
      <c r="J36" s="58"/>
      <c r="K36" s="93">
        <v>10</v>
      </c>
      <c r="L36" s="93">
        <v>10</v>
      </c>
      <c r="M36" s="93">
        <v>10</v>
      </c>
      <c r="N36" s="93">
        <v>10</v>
      </c>
      <c r="O36" s="93">
        <v>10</v>
      </c>
      <c r="P36" s="58">
        <v>17910000000</v>
      </c>
    </row>
    <row r="37" spans="1:16">
      <c r="A37" s="58" t="s">
        <v>147</v>
      </c>
      <c r="B37" s="58" t="s">
        <v>1101</v>
      </c>
      <c r="C37" s="58" t="s">
        <v>1101</v>
      </c>
      <c r="D37" s="58" t="s">
        <v>1377</v>
      </c>
      <c r="E37" s="58" t="s">
        <v>1378</v>
      </c>
      <c r="F37" s="58" t="s">
        <v>9</v>
      </c>
      <c r="G37" s="58"/>
      <c r="J37" s="58" t="s">
        <v>148</v>
      </c>
      <c r="K37" s="58">
        <v>27522854</v>
      </c>
      <c r="L37" s="58">
        <v>5058885</v>
      </c>
      <c r="M37" s="58">
        <v>6058164</v>
      </c>
      <c r="N37" s="58">
        <v>33581018</v>
      </c>
      <c r="O37" s="58">
        <v>91421957</v>
      </c>
      <c r="P37" s="58">
        <v>42951000000</v>
      </c>
    </row>
    <row r="38" spans="1:16">
      <c r="A38" s="58" t="s">
        <v>150</v>
      </c>
      <c r="B38" s="58" t="s">
        <v>768</v>
      </c>
      <c r="C38" s="58" t="s">
        <v>768</v>
      </c>
      <c r="D38" s="58" t="s">
        <v>1377</v>
      </c>
      <c r="E38" s="58" t="s">
        <v>1378</v>
      </c>
      <c r="F38" s="58" t="s">
        <v>616</v>
      </c>
      <c r="G38" s="58"/>
      <c r="J38" s="58" t="s">
        <v>615</v>
      </c>
      <c r="K38" s="58">
        <v>85525000</v>
      </c>
      <c r="L38" s="58">
        <v>5200</v>
      </c>
      <c r="M38" s="58">
        <v>0</v>
      </c>
      <c r="N38" s="58">
        <v>85530200</v>
      </c>
      <c r="O38" s="58">
        <v>29715113</v>
      </c>
      <c r="P38" s="58">
        <v>25079000000</v>
      </c>
    </row>
    <row r="39" spans="1:16">
      <c r="A39" s="58" t="s">
        <v>152</v>
      </c>
      <c r="B39" s="58" t="s">
        <v>1037</v>
      </c>
      <c r="C39" s="58" t="s">
        <v>1037</v>
      </c>
      <c r="D39" s="58" t="s">
        <v>1377</v>
      </c>
      <c r="E39" s="58" t="s">
        <v>1378</v>
      </c>
      <c r="F39" s="58" t="s">
        <v>9</v>
      </c>
      <c r="G39" s="58"/>
      <c r="J39" s="58" t="s">
        <v>148</v>
      </c>
      <c r="K39" s="58">
        <v>3057437</v>
      </c>
      <c r="L39" s="58">
        <v>2322922</v>
      </c>
      <c r="M39" s="58">
        <v>2532756</v>
      </c>
      <c r="N39" s="58">
        <v>5590193</v>
      </c>
      <c r="O39" s="58">
        <v>1302744</v>
      </c>
      <c r="P39" s="58">
        <v>21570000000</v>
      </c>
    </row>
    <row r="40" spans="1:16">
      <c r="A40" s="58" t="s">
        <v>154</v>
      </c>
      <c r="B40" s="58" t="s">
        <v>773</v>
      </c>
      <c r="C40" s="58" t="s">
        <v>773</v>
      </c>
      <c r="D40" s="58" t="s">
        <v>1377</v>
      </c>
      <c r="E40" s="58" t="s">
        <v>1378</v>
      </c>
      <c r="F40" s="58" t="s">
        <v>575</v>
      </c>
      <c r="G40" s="58"/>
      <c r="J40" s="58" t="s">
        <v>610</v>
      </c>
      <c r="K40" s="58">
        <v>192075</v>
      </c>
      <c r="L40" s="58">
        <v>616431</v>
      </c>
      <c r="M40" s="58">
        <v>556855</v>
      </c>
      <c r="N40" s="58">
        <v>748930</v>
      </c>
      <c r="O40" s="58">
        <v>234796</v>
      </c>
      <c r="P40" s="58">
        <v>22320000000</v>
      </c>
    </row>
    <row r="41" spans="1:16">
      <c r="A41" s="58" t="s">
        <v>156</v>
      </c>
      <c r="B41" s="58" t="s">
        <v>1102</v>
      </c>
      <c r="C41" s="58" t="s">
        <v>1102</v>
      </c>
      <c r="D41" s="58" t="s">
        <v>1377</v>
      </c>
      <c r="E41" s="58" t="s">
        <v>1378</v>
      </c>
      <c r="F41" s="58"/>
      <c r="G41" s="58"/>
      <c r="J41" s="58"/>
      <c r="K41" s="93">
        <v>10</v>
      </c>
      <c r="L41" s="93">
        <v>10</v>
      </c>
      <c r="M41" s="93">
        <v>10</v>
      </c>
      <c r="N41" s="93">
        <v>10</v>
      </c>
      <c r="O41" s="93">
        <v>10</v>
      </c>
      <c r="P41" s="58">
        <v>18372000000</v>
      </c>
    </row>
    <row r="42" spans="1:16">
      <c r="A42" s="58" t="s">
        <v>158</v>
      </c>
      <c r="B42" s="58" t="s">
        <v>781</v>
      </c>
      <c r="C42" s="58" t="s">
        <v>781</v>
      </c>
      <c r="D42" s="58" t="s">
        <v>1377</v>
      </c>
      <c r="E42" s="58" t="s">
        <v>1378</v>
      </c>
      <c r="F42" s="58" t="s">
        <v>616</v>
      </c>
      <c r="G42" s="58"/>
      <c r="J42" s="58" t="s">
        <v>779</v>
      </c>
      <c r="K42" s="58">
        <v>9394598</v>
      </c>
      <c r="L42" s="58">
        <v>6103307</v>
      </c>
      <c r="M42" s="58">
        <v>4913525</v>
      </c>
      <c r="N42" s="58">
        <v>14308123</v>
      </c>
      <c r="O42" s="58">
        <v>103869303</v>
      </c>
      <c r="P42" s="58">
        <v>34438000000</v>
      </c>
    </row>
    <row r="43" spans="1:16">
      <c r="A43" s="58" t="s">
        <v>160</v>
      </c>
      <c r="B43" s="58" t="s">
        <v>1103</v>
      </c>
      <c r="C43" s="58" t="s">
        <v>1103</v>
      </c>
      <c r="D43" s="58" t="s">
        <v>1377</v>
      </c>
      <c r="E43" s="58" t="s">
        <v>1378</v>
      </c>
      <c r="F43" s="58"/>
      <c r="G43" s="58"/>
      <c r="J43" s="58"/>
      <c r="K43" s="93">
        <v>10</v>
      </c>
      <c r="L43" s="93">
        <v>10</v>
      </c>
      <c r="M43" s="93">
        <v>10</v>
      </c>
      <c r="N43" s="93">
        <v>10</v>
      </c>
      <c r="O43" s="93">
        <v>10</v>
      </c>
      <c r="P43" s="58">
        <v>264938000000</v>
      </c>
    </row>
    <row r="44" spans="1:16">
      <c r="A44" s="58" t="s">
        <v>162</v>
      </c>
      <c r="B44" s="58" t="s">
        <v>1104</v>
      </c>
      <c r="C44" s="58" t="s">
        <v>1104</v>
      </c>
      <c r="D44" s="58" t="s">
        <v>1377</v>
      </c>
      <c r="E44" s="58" t="s">
        <v>1378</v>
      </c>
      <c r="F44" s="58"/>
      <c r="G44" s="58"/>
      <c r="J44" s="58"/>
      <c r="K44" s="93">
        <v>10</v>
      </c>
      <c r="L44" s="93">
        <v>10</v>
      </c>
      <c r="M44" s="93">
        <v>10</v>
      </c>
      <c r="N44" s="93">
        <v>10</v>
      </c>
      <c r="O44" s="93">
        <v>10</v>
      </c>
      <c r="P44" s="58">
        <v>70697000000</v>
      </c>
    </row>
    <row r="45" spans="1:16">
      <c r="A45" s="58" t="s">
        <v>164</v>
      </c>
      <c r="B45" s="58" t="s">
        <v>788</v>
      </c>
      <c r="C45" s="58" t="s">
        <v>788</v>
      </c>
      <c r="D45" s="58" t="s">
        <v>1377</v>
      </c>
      <c r="E45" s="58" t="s">
        <v>1378</v>
      </c>
      <c r="F45" s="58" t="s">
        <v>624</v>
      </c>
      <c r="G45" s="58"/>
      <c r="J45" s="58" t="s">
        <v>698</v>
      </c>
      <c r="K45" s="58">
        <v>15406173</v>
      </c>
      <c r="L45" s="58">
        <v>995988</v>
      </c>
      <c r="M45" s="58">
        <v>995988</v>
      </c>
      <c r="N45" s="58">
        <v>16402161</v>
      </c>
      <c r="O45" s="58">
        <v>3099293</v>
      </c>
      <c r="P45" s="58">
        <v>69693000000</v>
      </c>
    </row>
    <row r="46" spans="1:16">
      <c r="A46" s="58" t="s">
        <v>167</v>
      </c>
      <c r="B46" s="58" t="s">
        <v>795</v>
      </c>
      <c r="C46" s="58" t="s">
        <v>795</v>
      </c>
      <c r="D46" s="58" t="s">
        <v>1377</v>
      </c>
      <c r="E46" s="58" t="s">
        <v>1378</v>
      </c>
      <c r="F46" s="58" t="s">
        <v>601</v>
      </c>
      <c r="G46" s="58"/>
      <c r="J46" s="58" t="s">
        <v>688</v>
      </c>
      <c r="K46" s="58">
        <v>1451947</v>
      </c>
      <c r="L46" s="58">
        <v>3195704</v>
      </c>
      <c r="M46" s="58">
        <v>3068182</v>
      </c>
      <c r="N46" s="58">
        <v>4520129</v>
      </c>
      <c r="O46" s="58">
        <v>183077722</v>
      </c>
      <c r="P46" s="58">
        <v>155900000000</v>
      </c>
    </row>
    <row r="47" spans="1:16">
      <c r="A47" s="58" t="s">
        <v>171</v>
      </c>
      <c r="B47" s="58" t="s">
        <v>801</v>
      </c>
      <c r="C47" s="58" t="s">
        <v>801</v>
      </c>
      <c r="D47" s="58" t="s">
        <v>1377</v>
      </c>
      <c r="E47" s="58" t="s">
        <v>1378</v>
      </c>
      <c r="F47" s="58" t="s">
        <v>601</v>
      </c>
      <c r="G47" s="58"/>
      <c r="J47" s="58" t="s">
        <v>600</v>
      </c>
      <c r="K47" s="58">
        <v>317081</v>
      </c>
      <c r="L47" s="58">
        <v>0</v>
      </c>
      <c r="M47" s="58">
        <v>445119</v>
      </c>
      <c r="N47" s="58">
        <v>762200</v>
      </c>
      <c r="O47" s="58">
        <v>0</v>
      </c>
      <c r="P47" s="58">
        <v>39350000000</v>
      </c>
    </row>
    <row r="48" spans="1:16">
      <c r="A48" s="58" t="s">
        <v>173</v>
      </c>
      <c r="B48" s="58" t="s">
        <v>812</v>
      </c>
      <c r="C48" s="58" t="s">
        <v>812</v>
      </c>
      <c r="D48" s="58" t="s">
        <v>1377</v>
      </c>
      <c r="E48" s="58" t="s">
        <v>1378</v>
      </c>
      <c r="F48" s="58" t="s">
        <v>601</v>
      </c>
      <c r="G48" s="58"/>
      <c r="J48" s="58" t="s">
        <v>693</v>
      </c>
      <c r="K48" s="58">
        <v>997409.51899999997</v>
      </c>
      <c r="L48" s="58">
        <v>1416578.8840000001</v>
      </c>
      <c r="M48" s="58">
        <v>1387615.0179999999</v>
      </c>
      <c r="N48" s="58">
        <v>2385024.537</v>
      </c>
      <c r="O48" s="58">
        <v>865714.07799999998</v>
      </c>
      <c r="P48" s="58">
        <v>95214000000</v>
      </c>
    </row>
    <row r="49" spans="1:19">
      <c r="A49" s="58" t="s">
        <v>174</v>
      </c>
      <c r="B49" s="58" t="s">
        <v>806</v>
      </c>
      <c r="C49" s="58" t="s">
        <v>806</v>
      </c>
      <c r="D49" s="58" t="s">
        <v>1377</v>
      </c>
      <c r="E49" s="58" t="s">
        <v>1378</v>
      </c>
      <c r="F49" s="58" t="s">
        <v>601</v>
      </c>
      <c r="G49" s="58"/>
      <c r="J49" s="58" t="s">
        <v>688</v>
      </c>
      <c r="K49" s="58">
        <v>1589700</v>
      </c>
      <c r="L49" s="58">
        <v>4381970</v>
      </c>
      <c r="M49" s="58">
        <v>3721875</v>
      </c>
      <c r="N49" s="58">
        <v>5311575</v>
      </c>
      <c r="O49" s="58">
        <v>249313396</v>
      </c>
      <c r="P49" s="58">
        <v>137237000000</v>
      </c>
    </row>
    <row r="50" spans="1:19">
      <c r="A50" s="58" t="s">
        <v>175</v>
      </c>
      <c r="B50" s="58" t="s">
        <v>816</v>
      </c>
      <c r="C50" s="58" t="s">
        <v>816</v>
      </c>
      <c r="D50" s="58" t="s">
        <v>1377</v>
      </c>
      <c r="E50" s="58" t="s">
        <v>1378</v>
      </c>
      <c r="F50" s="58" t="s">
        <v>575</v>
      </c>
      <c r="G50" s="58"/>
      <c r="J50" s="58" t="s">
        <v>610</v>
      </c>
      <c r="K50" s="58">
        <v>52019</v>
      </c>
      <c r="L50" s="58">
        <v>42546</v>
      </c>
      <c r="M50" s="58">
        <v>21716</v>
      </c>
      <c r="N50" s="58">
        <v>73735</v>
      </c>
      <c r="O50" s="58">
        <v>1436297</v>
      </c>
      <c r="P50" s="58">
        <v>22449000000</v>
      </c>
    </row>
    <row r="51" spans="1:19">
      <c r="A51" s="58" t="s">
        <v>177</v>
      </c>
      <c r="B51" s="58" t="s">
        <v>820</v>
      </c>
      <c r="C51" s="58" t="s">
        <v>820</v>
      </c>
      <c r="D51" s="58" t="s">
        <v>1377</v>
      </c>
      <c r="E51" s="58" t="s">
        <v>1378</v>
      </c>
      <c r="F51" s="58" t="s">
        <v>593</v>
      </c>
      <c r="G51" s="58"/>
      <c r="J51" s="58" t="s">
        <v>604</v>
      </c>
      <c r="K51" s="58">
        <v>12673</v>
      </c>
      <c r="L51" s="58">
        <v>166249</v>
      </c>
      <c r="M51" s="58">
        <v>9109</v>
      </c>
      <c r="N51" s="58">
        <v>21782</v>
      </c>
      <c r="O51" s="58">
        <v>1404464</v>
      </c>
      <c r="P51" s="58">
        <v>36546000000</v>
      </c>
    </row>
    <row r="52" spans="1:19">
      <c r="A52" s="58" t="s">
        <v>180</v>
      </c>
      <c r="B52" s="58" t="s">
        <v>833</v>
      </c>
      <c r="C52" s="58" t="s">
        <v>833</v>
      </c>
      <c r="D52" s="58" t="s">
        <v>1377</v>
      </c>
      <c r="E52" s="58" t="s">
        <v>1378</v>
      </c>
      <c r="F52" s="58" t="s">
        <v>85</v>
      </c>
      <c r="G52" s="58"/>
      <c r="J52" s="58" t="s">
        <v>678</v>
      </c>
      <c r="K52" s="58">
        <v>554317</v>
      </c>
      <c r="L52" s="58">
        <v>1393916</v>
      </c>
      <c r="M52" s="58">
        <v>1302648</v>
      </c>
      <c r="N52" s="58">
        <v>1856965</v>
      </c>
      <c r="O52" s="58">
        <v>204637598</v>
      </c>
      <c r="P52" s="58">
        <v>110200000000</v>
      </c>
      <c r="S52" s="90"/>
    </row>
    <row r="53" spans="1:19">
      <c r="A53" s="58" t="s">
        <v>184</v>
      </c>
      <c r="B53" s="58" t="s">
        <v>839</v>
      </c>
      <c r="C53" s="58" t="s">
        <v>839</v>
      </c>
      <c r="D53" s="58" t="s">
        <v>1377</v>
      </c>
      <c r="E53" s="58" t="s">
        <v>1378</v>
      </c>
      <c r="F53" s="58" t="s">
        <v>601</v>
      </c>
      <c r="G53" s="58"/>
      <c r="J53" s="58" t="s">
        <v>600</v>
      </c>
      <c r="K53" s="58">
        <v>1090649</v>
      </c>
      <c r="L53" s="58">
        <v>951982</v>
      </c>
      <c r="M53" s="58">
        <v>933484</v>
      </c>
      <c r="N53" s="58">
        <v>2024133</v>
      </c>
      <c r="O53" s="58">
        <v>18087050</v>
      </c>
      <c r="P53" s="58">
        <v>36709000000</v>
      </c>
      <c r="S53" s="90"/>
    </row>
    <row r="54" spans="1:19">
      <c r="A54" s="58" t="s">
        <v>188</v>
      </c>
      <c r="B54" s="58" t="s">
        <v>847</v>
      </c>
      <c r="C54" s="58" t="s">
        <v>847</v>
      </c>
      <c r="D54" s="58" t="s">
        <v>1377</v>
      </c>
      <c r="E54" s="58" t="s">
        <v>1378</v>
      </c>
      <c r="F54" s="58" t="s">
        <v>593</v>
      </c>
      <c r="G54" s="58"/>
      <c r="J54" s="58" t="s">
        <v>592</v>
      </c>
      <c r="K54" s="58">
        <v>117723</v>
      </c>
      <c r="L54" s="58">
        <v>987066</v>
      </c>
      <c r="M54" s="58">
        <v>827369</v>
      </c>
      <c r="N54" s="58">
        <v>945092</v>
      </c>
      <c r="O54" s="58">
        <v>1158414</v>
      </c>
      <c r="P54" s="58">
        <v>77140000000</v>
      </c>
      <c r="S54" s="90"/>
    </row>
    <row r="55" spans="1:19">
      <c r="A55" s="58" t="s">
        <v>193</v>
      </c>
      <c r="B55" s="58" t="s">
        <v>853</v>
      </c>
      <c r="C55" s="58" t="s">
        <v>853</v>
      </c>
      <c r="D55" s="58" t="s">
        <v>1377</v>
      </c>
      <c r="E55" s="58" t="s">
        <v>1378</v>
      </c>
      <c r="F55" s="58" t="s">
        <v>601</v>
      </c>
      <c r="G55" s="58"/>
      <c r="J55" s="58" t="s">
        <v>600</v>
      </c>
      <c r="K55" s="58">
        <v>1489000</v>
      </c>
      <c r="L55" s="58">
        <v>3345000</v>
      </c>
      <c r="M55" s="58">
        <v>1299000</v>
      </c>
      <c r="N55" s="58">
        <v>2788000</v>
      </c>
      <c r="O55" s="58">
        <v>9739000</v>
      </c>
      <c r="P55" s="58">
        <v>71900000000</v>
      </c>
      <c r="S55" s="90"/>
    </row>
    <row r="56" spans="1:19">
      <c r="A56" s="58" t="s">
        <v>197</v>
      </c>
      <c r="B56" s="58" t="s">
        <v>859</v>
      </c>
      <c r="C56" s="58" t="s">
        <v>859</v>
      </c>
      <c r="D56" s="58" t="s">
        <v>1377</v>
      </c>
      <c r="E56" s="58" t="s">
        <v>1378</v>
      </c>
      <c r="F56" s="58" t="s">
        <v>575</v>
      </c>
      <c r="G56" s="58"/>
      <c r="J56" s="58" t="s">
        <v>610</v>
      </c>
      <c r="K56" s="58">
        <v>415094</v>
      </c>
      <c r="L56" s="58">
        <v>648598</v>
      </c>
      <c r="M56" s="58">
        <v>518542</v>
      </c>
      <c r="N56" s="58">
        <v>933636</v>
      </c>
      <c r="O56" s="58">
        <v>20365501</v>
      </c>
      <c r="P56" s="58">
        <v>82060000000</v>
      </c>
      <c r="S56" s="90"/>
    </row>
    <row r="57" spans="1:19">
      <c r="A57" s="58" t="s">
        <v>201</v>
      </c>
      <c r="B57" s="58" t="s">
        <v>863</v>
      </c>
      <c r="C57" s="58" t="s">
        <v>863</v>
      </c>
      <c r="D57" s="58" t="s">
        <v>1377</v>
      </c>
      <c r="E57" s="58" t="s">
        <v>1378</v>
      </c>
      <c r="F57" s="58" t="s">
        <v>593</v>
      </c>
      <c r="G57" s="58"/>
      <c r="J57" s="58" t="s">
        <v>604</v>
      </c>
      <c r="K57" s="58">
        <v>81655</v>
      </c>
      <c r="L57" s="58">
        <v>692299</v>
      </c>
      <c r="M57" s="58">
        <v>556142</v>
      </c>
      <c r="N57" s="58">
        <v>637797</v>
      </c>
      <c r="O57" s="58">
        <v>213233</v>
      </c>
      <c r="P57" s="58">
        <v>115600000000</v>
      </c>
      <c r="S57" s="90"/>
    </row>
    <row r="58" spans="1:19">
      <c r="A58" s="58" t="s">
        <v>204</v>
      </c>
      <c r="B58" s="58" t="s">
        <v>1402</v>
      </c>
      <c r="C58" s="58" t="s">
        <v>1402</v>
      </c>
      <c r="D58" s="58" t="s">
        <v>1377</v>
      </c>
      <c r="E58" s="58" t="s">
        <v>1378</v>
      </c>
      <c r="F58" s="58"/>
      <c r="G58" s="58"/>
      <c r="J58" s="58"/>
      <c r="K58" s="93">
        <v>10</v>
      </c>
      <c r="L58" s="93">
        <v>10</v>
      </c>
      <c r="M58" s="93">
        <v>10</v>
      </c>
      <c r="N58" s="93">
        <v>10</v>
      </c>
      <c r="O58" s="93">
        <v>10</v>
      </c>
      <c r="P58" s="58">
        <v>13209000000</v>
      </c>
      <c r="S58" s="90"/>
    </row>
    <row r="59" spans="1:19">
      <c r="A59" s="58" t="s">
        <v>208</v>
      </c>
      <c r="B59" s="58" t="s">
        <v>529</v>
      </c>
      <c r="C59" s="58" t="s">
        <v>529</v>
      </c>
      <c r="D59" s="58" t="s">
        <v>1377</v>
      </c>
      <c r="E59" s="58" t="s">
        <v>1378</v>
      </c>
      <c r="F59" s="58" t="s">
        <v>620</v>
      </c>
      <c r="G59" s="58"/>
      <c r="J59" s="58" t="s">
        <v>653</v>
      </c>
      <c r="K59" s="58">
        <v>649256</v>
      </c>
      <c r="L59" s="58">
        <v>773066</v>
      </c>
      <c r="M59" s="58">
        <v>0</v>
      </c>
      <c r="N59" s="58">
        <v>1422322</v>
      </c>
      <c r="O59" s="58">
        <v>23277532.905999999</v>
      </c>
      <c r="P59" s="58">
        <v>24970000000</v>
      </c>
      <c r="S59" s="90"/>
    </row>
    <row r="60" spans="1:19">
      <c r="A60" s="58" t="s">
        <v>211</v>
      </c>
      <c r="B60" s="58" t="s">
        <v>871</v>
      </c>
      <c r="C60" s="58" t="s">
        <v>871</v>
      </c>
      <c r="D60" s="58" t="s">
        <v>1377</v>
      </c>
      <c r="E60" s="58" t="s">
        <v>1378</v>
      </c>
      <c r="F60" s="58" t="s">
        <v>601</v>
      </c>
      <c r="G60" s="58"/>
      <c r="J60" s="58" t="s">
        <v>600</v>
      </c>
      <c r="K60" s="58">
        <v>305362</v>
      </c>
      <c r="L60" s="58">
        <v>662659</v>
      </c>
      <c r="M60" s="58">
        <v>466073</v>
      </c>
      <c r="N60" s="58">
        <v>771435</v>
      </c>
      <c r="O60" s="58">
        <v>30644500</v>
      </c>
      <c r="P60" s="58">
        <v>59810000000</v>
      </c>
      <c r="S60" s="90"/>
    </row>
    <row r="61" spans="1:19">
      <c r="A61" s="58" t="s">
        <v>217</v>
      </c>
      <c r="B61" s="58" t="s">
        <v>875</v>
      </c>
      <c r="C61" s="58" t="s">
        <v>875</v>
      </c>
      <c r="D61" s="58" t="s">
        <v>1377</v>
      </c>
      <c r="E61" s="58" t="s">
        <v>1378</v>
      </c>
      <c r="F61" s="58" t="s">
        <v>85</v>
      </c>
      <c r="G61" s="58"/>
      <c r="J61" s="58" t="s">
        <v>678</v>
      </c>
      <c r="K61" s="58">
        <v>484737</v>
      </c>
      <c r="L61" s="58">
        <v>1623768</v>
      </c>
      <c r="M61" s="58">
        <v>0</v>
      </c>
      <c r="N61" s="58">
        <v>2108505</v>
      </c>
      <c r="O61" s="58">
        <v>123645059.78</v>
      </c>
      <c r="P61" s="58">
        <v>71300000000</v>
      </c>
      <c r="S61" s="90"/>
    </row>
    <row r="62" spans="1:19">
      <c r="A62" s="58" t="s">
        <v>221</v>
      </c>
      <c r="B62" s="58" t="s">
        <v>528</v>
      </c>
      <c r="C62" s="58" t="s">
        <v>528</v>
      </c>
      <c r="D62" s="58" t="s">
        <v>1377</v>
      </c>
      <c r="E62" s="58" t="s">
        <v>1378</v>
      </c>
      <c r="F62" s="58" t="s">
        <v>593</v>
      </c>
      <c r="G62" s="58"/>
      <c r="J62" s="58" t="s">
        <v>664</v>
      </c>
      <c r="K62" s="58">
        <v>4758.3999999999996</v>
      </c>
      <c r="L62" s="58">
        <v>52140.56</v>
      </c>
      <c r="M62" s="58">
        <v>162</v>
      </c>
      <c r="N62" s="58">
        <v>4920.3999999999996</v>
      </c>
      <c r="O62" s="58">
        <v>503012.19</v>
      </c>
      <c r="P62" s="58">
        <v>16883000000</v>
      </c>
      <c r="S62" s="90"/>
    </row>
    <row r="63" spans="1:19">
      <c r="A63" s="58" t="s">
        <v>226</v>
      </c>
      <c r="B63" s="58" t="s">
        <v>526</v>
      </c>
      <c r="C63" s="58" t="s">
        <v>526</v>
      </c>
      <c r="D63" s="58" t="s">
        <v>1377</v>
      </c>
      <c r="E63" s="58" t="s">
        <v>1378</v>
      </c>
      <c r="F63" s="58" t="s">
        <v>114</v>
      </c>
      <c r="G63" s="58"/>
      <c r="J63" s="58" t="s">
        <v>831</v>
      </c>
      <c r="K63" s="58">
        <v>107034.65</v>
      </c>
      <c r="L63" s="58">
        <v>569598.23</v>
      </c>
      <c r="M63" s="58">
        <v>492114.18</v>
      </c>
      <c r="N63" s="58">
        <v>599148.82999999996</v>
      </c>
      <c r="O63" s="58">
        <v>52955642.099999994</v>
      </c>
      <c r="P63" s="58">
        <v>21076000000</v>
      </c>
      <c r="S63" s="90"/>
    </row>
    <row r="64" spans="1:19">
      <c r="A64" s="58" t="s">
        <v>231</v>
      </c>
      <c r="B64" s="58" t="s">
        <v>1044</v>
      </c>
      <c r="C64" s="58" t="s">
        <v>1044</v>
      </c>
      <c r="D64" s="58" t="s">
        <v>1377</v>
      </c>
      <c r="E64" s="58" t="s">
        <v>1378</v>
      </c>
      <c r="F64" s="58" t="s">
        <v>575</v>
      </c>
      <c r="G64" s="58"/>
      <c r="J64" s="58" t="s">
        <v>574</v>
      </c>
      <c r="K64" s="58">
        <v>61803</v>
      </c>
      <c r="L64" s="58">
        <v>0</v>
      </c>
      <c r="M64" s="58">
        <v>218742</v>
      </c>
      <c r="N64" s="58">
        <v>280545</v>
      </c>
      <c r="O64" s="58">
        <v>278482</v>
      </c>
      <c r="P64" s="58">
        <v>30557000000</v>
      </c>
      <c r="S64" s="90"/>
    </row>
    <row r="65" spans="1:19">
      <c r="A65" s="58" t="s">
        <v>235</v>
      </c>
      <c r="B65" s="58" t="s">
        <v>889</v>
      </c>
      <c r="C65" s="58" t="s">
        <v>889</v>
      </c>
      <c r="D65" s="58" t="s">
        <v>1377</v>
      </c>
      <c r="E65" s="58" t="s">
        <v>1378</v>
      </c>
      <c r="F65" s="58" t="s">
        <v>575</v>
      </c>
      <c r="G65" s="58"/>
      <c r="J65" s="58" t="s">
        <v>610</v>
      </c>
      <c r="K65" s="58">
        <v>755340</v>
      </c>
      <c r="L65" s="58">
        <v>413550</v>
      </c>
      <c r="M65" s="58">
        <v>316630</v>
      </c>
      <c r="N65" s="58">
        <v>1071970</v>
      </c>
      <c r="O65" s="58">
        <v>6965600</v>
      </c>
      <c r="P65" s="58">
        <v>42290000000</v>
      </c>
      <c r="S65" s="90"/>
    </row>
    <row r="66" spans="1:19">
      <c r="A66" s="58" t="s">
        <v>240</v>
      </c>
      <c r="B66" s="58" t="s">
        <v>518</v>
      </c>
      <c r="C66" s="58" t="s">
        <v>518</v>
      </c>
      <c r="D66" s="58" t="s">
        <v>1377</v>
      </c>
      <c r="E66" s="58" t="s">
        <v>1378</v>
      </c>
      <c r="F66" s="58" t="s">
        <v>593</v>
      </c>
      <c r="G66" s="58"/>
      <c r="J66" s="58" t="s">
        <v>604</v>
      </c>
      <c r="K66" s="58">
        <v>13613</v>
      </c>
      <c r="L66" s="58">
        <v>90280</v>
      </c>
      <c r="M66" s="58">
        <v>0</v>
      </c>
      <c r="N66" s="58">
        <v>103893</v>
      </c>
      <c r="O66" s="58">
        <v>5461963.1500000004</v>
      </c>
      <c r="P66" s="58">
        <v>67941000000</v>
      </c>
      <c r="S66" s="90"/>
    </row>
    <row r="67" spans="1:19">
      <c r="A67" s="58" t="s">
        <v>244</v>
      </c>
      <c r="B67" s="58" t="s">
        <v>534</v>
      </c>
      <c r="C67" s="58" t="s">
        <v>534</v>
      </c>
      <c r="D67" s="58" t="s">
        <v>1377</v>
      </c>
      <c r="E67" s="58" t="s">
        <v>1378</v>
      </c>
      <c r="F67" s="58" t="s">
        <v>593</v>
      </c>
      <c r="G67" s="58"/>
      <c r="J67" s="58" t="s">
        <v>592</v>
      </c>
      <c r="K67" s="58">
        <v>113412</v>
      </c>
      <c r="L67" s="58">
        <v>3556553</v>
      </c>
      <c r="M67" s="58">
        <v>275375</v>
      </c>
      <c r="N67" s="58">
        <v>388787</v>
      </c>
      <c r="O67" s="58">
        <v>11322527</v>
      </c>
      <c r="P67" s="58">
        <v>125800000000</v>
      </c>
      <c r="S67" s="90"/>
    </row>
    <row r="68" spans="1:19">
      <c r="A68" s="58" t="s">
        <v>247</v>
      </c>
      <c r="B68" s="58" t="s">
        <v>1022</v>
      </c>
      <c r="C68" s="58" t="s">
        <v>1022</v>
      </c>
      <c r="D68" s="58" t="s">
        <v>1377</v>
      </c>
      <c r="E68" s="58" t="s">
        <v>1378</v>
      </c>
      <c r="F68" s="58" t="s">
        <v>620</v>
      </c>
      <c r="G68" s="58"/>
      <c r="J68" s="58" t="s">
        <v>653</v>
      </c>
      <c r="K68" s="58">
        <v>856590</v>
      </c>
      <c r="L68" s="58">
        <v>938601</v>
      </c>
      <c r="M68" s="58">
        <v>906349</v>
      </c>
      <c r="N68" s="58">
        <v>1762939</v>
      </c>
      <c r="O68" s="58">
        <v>19852210</v>
      </c>
      <c r="P68" s="58">
        <v>25870000000</v>
      </c>
      <c r="S68" s="90"/>
    </row>
    <row r="69" spans="1:19">
      <c r="A69" s="58" t="s">
        <v>252</v>
      </c>
      <c r="B69" s="58" t="s">
        <v>899</v>
      </c>
      <c r="C69" s="58" t="s">
        <v>899</v>
      </c>
      <c r="D69" s="58" t="s">
        <v>1377</v>
      </c>
      <c r="E69" s="58" t="s">
        <v>1378</v>
      </c>
      <c r="F69" s="58" t="s">
        <v>593</v>
      </c>
      <c r="G69" s="58"/>
      <c r="J69" s="58" t="s">
        <v>604</v>
      </c>
      <c r="K69" s="58">
        <v>28300</v>
      </c>
      <c r="L69" s="58">
        <v>199800</v>
      </c>
      <c r="M69" s="58">
        <v>176200</v>
      </c>
      <c r="N69" s="58">
        <v>204500</v>
      </c>
      <c r="O69" s="58">
        <v>1374540</v>
      </c>
      <c r="P69" s="58">
        <v>41419000000</v>
      </c>
      <c r="S69" s="90"/>
    </row>
    <row r="70" spans="1:19">
      <c r="A70" s="58" t="s">
        <v>255</v>
      </c>
      <c r="B70" s="58" t="s">
        <v>1403</v>
      </c>
      <c r="C70" s="58" t="s">
        <v>1403</v>
      </c>
      <c r="D70" s="58" t="s">
        <v>1377</v>
      </c>
      <c r="E70" s="58" t="s">
        <v>1378</v>
      </c>
      <c r="F70" s="58"/>
      <c r="G70" s="58"/>
      <c r="J70" s="58"/>
      <c r="K70" s="93">
        <v>10</v>
      </c>
      <c r="L70" s="93">
        <v>10</v>
      </c>
      <c r="M70" s="93">
        <v>10</v>
      </c>
      <c r="N70" s="93">
        <v>10</v>
      </c>
      <c r="O70" s="93">
        <v>10</v>
      </c>
      <c r="P70" s="58">
        <v>20160000000</v>
      </c>
      <c r="S70" s="90"/>
    </row>
    <row r="71" spans="1:19">
      <c r="A71" s="58" t="s">
        <v>258</v>
      </c>
      <c r="B71" s="58" t="s">
        <v>1404</v>
      </c>
      <c r="C71" s="58" t="s">
        <v>1404</v>
      </c>
      <c r="D71" s="58" t="s">
        <v>1377</v>
      </c>
      <c r="E71" s="58" t="s">
        <v>1378</v>
      </c>
      <c r="F71" s="58"/>
      <c r="G71" s="58"/>
      <c r="J71" s="58"/>
      <c r="K71" s="93">
        <v>10</v>
      </c>
      <c r="L71" s="93">
        <v>10</v>
      </c>
      <c r="M71" s="93">
        <v>10</v>
      </c>
      <c r="N71" s="93">
        <v>10</v>
      </c>
      <c r="O71" s="93">
        <v>10</v>
      </c>
      <c r="P71" s="58">
        <v>19204000000</v>
      </c>
      <c r="S71" s="90"/>
    </row>
    <row r="72" spans="1:19">
      <c r="A72" s="58" t="s">
        <v>260</v>
      </c>
      <c r="B72" s="58" t="s">
        <v>524</v>
      </c>
      <c r="C72" s="58" t="s">
        <v>524</v>
      </c>
      <c r="D72" s="58" t="s">
        <v>1377</v>
      </c>
      <c r="E72" s="58" t="s">
        <v>1378</v>
      </c>
      <c r="F72" s="58" t="s">
        <v>906</v>
      </c>
      <c r="G72" s="58"/>
      <c r="J72" s="58" t="s">
        <v>905</v>
      </c>
      <c r="K72" s="58">
        <v>46714</v>
      </c>
      <c r="L72" s="58">
        <v>258171</v>
      </c>
      <c r="M72" s="58">
        <v>209065</v>
      </c>
      <c r="N72" s="58">
        <v>255779</v>
      </c>
      <c r="O72" s="58">
        <v>15777000</v>
      </c>
      <c r="P72" s="58">
        <v>39100000000</v>
      </c>
      <c r="S72" s="90"/>
    </row>
    <row r="73" spans="1:19">
      <c r="A73" s="58" t="s">
        <v>266</v>
      </c>
      <c r="B73" s="58" t="s">
        <v>911</v>
      </c>
      <c r="C73" s="58" t="s">
        <v>911</v>
      </c>
      <c r="D73" s="58" t="s">
        <v>1377</v>
      </c>
      <c r="E73" s="58" t="s">
        <v>1378</v>
      </c>
      <c r="F73" s="58" t="s">
        <v>601</v>
      </c>
      <c r="G73" s="58"/>
      <c r="J73" s="58" t="s">
        <v>600</v>
      </c>
      <c r="K73" s="58">
        <v>2817</v>
      </c>
      <c r="L73" s="58">
        <v>74692</v>
      </c>
      <c r="M73" s="58">
        <v>65936</v>
      </c>
      <c r="N73" s="58">
        <v>68753</v>
      </c>
      <c r="O73" s="58">
        <v>415193</v>
      </c>
      <c r="P73" s="58">
        <v>11720000000</v>
      </c>
      <c r="S73" s="90"/>
    </row>
    <row r="74" spans="1:19">
      <c r="A74" s="58" t="s">
        <v>271</v>
      </c>
      <c r="B74" s="58" t="s">
        <v>917</v>
      </c>
      <c r="C74" s="58" t="s">
        <v>917</v>
      </c>
      <c r="D74" s="58" t="s">
        <v>1377</v>
      </c>
      <c r="E74" s="58" t="s">
        <v>1378</v>
      </c>
      <c r="F74" s="58" t="s">
        <v>738</v>
      </c>
      <c r="G74" s="58"/>
      <c r="J74" s="58" t="s">
        <v>737</v>
      </c>
      <c r="K74" s="58">
        <v>22430197</v>
      </c>
      <c r="L74" s="58">
        <v>6420000</v>
      </c>
      <c r="M74" s="58">
        <v>0</v>
      </c>
      <c r="N74" s="58">
        <v>28850197</v>
      </c>
      <c r="O74" s="58">
        <v>206000000</v>
      </c>
      <c r="P74" s="58">
        <v>21230000000</v>
      </c>
      <c r="S74" s="90"/>
    </row>
    <row r="75" spans="1:19">
      <c r="A75" s="58" t="s">
        <v>276</v>
      </c>
      <c r="B75" s="58" t="s">
        <v>923</v>
      </c>
      <c r="C75" s="58" t="s">
        <v>923</v>
      </c>
      <c r="D75" s="58" t="s">
        <v>1377</v>
      </c>
      <c r="E75" s="58" t="s">
        <v>1378</v>
      </c>
      <c r="F75" s="58" t="s">
        <v>593</v>
      </c>
      <c r="G75" s="58"/>
      <c r="J75" s="58" t="s">
        <v>592</v>
      </c>
      <c r="K75" s="58">
        <v>16520</v>
      </c>
      <c r="L75" s="58">
        <v>560683</v>
      </c>
      <c r="M75" s="58">
        <v>349022</v>
      </c>
      <c r="N75" s="58">
        <v>365542</v>
      </c>
      <c r="O75" s="58">
        <v>1543540</v>
      </c>
      <c r="P75" s="58">
        <v>39500000000</v>
      </c>
      <c r="S75" s="90"/>
    </row>
    <row r="76" spans="1:19">
      <c r="A76" s="58" t="s">
        <v>280</v>
      </c>
      <c r="B76" s="58" t="s">
        <v>531</v>
      </c>
      <c r="C76" s="58" t="s">
        <v>531</v>
      </c>
      <c r="D76" s="58" t="s">
        <v>1377</v>
      </c>
      <c r="E76" s="58" t="s">
        <v>1378</v>
      </c>
      <c r="F76" s="58" t="s">
        <v>593</v>
      </c>
      <c r="G76" s="58"/>
      <c r="J76" s="58" t="s">
        <v>664</v>
      </c>
      <c r="K76" s="58">
        <v>9897</v>
      </c>
      <c r="L76" s="58">
        <v>0</v>
      </c>
      <c r="M76" s="58">
        <v>47911</v>
      </c>
      <c r="N76" s="58">
        <v>57808</v>
      </c>
      <c r="O76" s="58">
        <v>32130.06</v>
      </c>
      <c r="P76" s="58">
        <v>17770000000</v>
      </c>
      <c r="S76" s="90"/>
    </row>
    <row r="77" spans="1:19">
      <c r="A77" s="58" t="s">
        <v>285</v>
      </c>
      <c r="B77" s="58" t="s">
        <v>519</v>
      </c>
      <c r="C77" s="58" t="s">
        <v>519</v>
      </c>
      <c r="D77" s="58" t="s">
        <v>1377</v>
      </c>
      <c r="E77" s="58" t="s">
        <v>1378</v>
      </c>
      <c r="F77" s="58" t="s">
        <v>620</v>
      </c>
      <c r="G77" s="58"/>
      <c r="J77" s="58" t="s">
        <v>653</v>
      </c>
      <c r="K77" s="58">
        <v>3552415</v>
      </c>
      <c r="L77" s="58">
        <v>1556523</v>
      </c>
      <c r="M77" s="58">
        <v>1425255</v>
      </c>
      <c r="N77" s="58">
        <v>4977670</v>
      </c>
      <c r="O77" s="58">
        <v>50465066</v>
      </c>
      <c r="P77" s="58">
        <v>67160000000</v>
      </c>
      <c r="S77" s="90"/>
    </row>
    <row r="78" spans="1:19">
      <c r="A78" s="58" t="s">
        <v>289</v>
      </c>
      <c r="B78" s="58" t="s">
        <v>520</v>
      </c>
      <c r="C78" s="58" t="s">
        <v>520</v>
      </c>
      <c r="D78" s="58" t="s">
        <v>1377</v>
      </c>
      <c r="E78" s="58" t="s">
        <v>1378</v>
      </c>
      <c r="F78" s="58" t="s">
        <v>575</v>
      </c>
      <c r="G78" s="58"/>
      <c r="J78" s="58" t="s">
        <v>610</v>
      </c>
      <c r="K78" s="58">
        <v>734638</v>
      </c>
      <c r="L78" s="58">
        <v>762286</v>
      </c>
      <c r="M78" s="58">
        <v>634205</v>
      </c>
      <c r="N78" s="58">
        <v>1368843</v>
      </c>
      <c r="O78" s="58">
        <v>5708509</v>
      </c>
      <c r="P78" s="58">
        <v>51750000000</v>
      </c>
      <c r="S78" s="90"/>
    </row>
    <row r="79" spans="1:19">
      <c r="A79" s="58" t="s">
        <v>293</v>
      </c>
      <c r="B79" s="58" t="s">
        <v>521</v>
      </c>
      <c r="C79" s="58" t="s">
        <v>521</v>
      </c>
      <c r="D79" s="58" t="s">
        <v>1377</v>
      </c>
      <c r="E79" s="58" t="s">
        <v>1378</v>
      </c>
      <c r="F79" s="58" t="s">
        <v>620</v>
      </c>
      <c r="G79" s="58"/>
      <c r="J79" s="58" t="s">
        <v>82</v>
      </c>
      <c r="K79" s="58">
        <v>397210</v>
      </c>
      <c r="L79" s="58">
        <v>447322</v>
      </c>
      <c r="M79" s="58">
        <v>158672</v>
      </c>
      <c r="N79" s="58">
        <v>555882</v>
      </c>
      <c r="O79" s="58">
        <v>4126610</v>
      </c>
      <c r="P79" s="58">
        <v>79820000000</v>
      </c>
      <c r="S79" s="90"/>
    </row>
    <row r="80" spans="1:19">
      <c r="A80" s="58" t="s">
        <v>297</v>
      </c>
      <c r="B80" s="58" t="s">
        <v>522</v>
      </c>
      <c r="C80" s="58" t="s">
        <v>522</v>
      </c>
      <c r="D80" s="58" t="s">
        <v>1377</v>
      </c>
      <c r="E80" s="58" t="s">
        <v>1378</v>
      </c>
      <c r="F80" s="58" t="s">
        <v>9</v>
      </c>
      <c r="G80" s="58"/>
      <c r="J80" s="58" t="s">
        <v>148</v>
      </c>
      <c r="K80" s="58">
        <v>2210497</v>
      </c>
      <c r="L80" s="58">
        <v>2544389</v>
      </c>
      <c r="M80" s="58">
        <v>1839862</v>
      </c>
      <c r="N80" s="58">
        <v>4050359</v>
      </c>
      <c r="O80" s="58">
        <v>381313043</v>
      </c>
      <c r="P80" s="58">
        <v>67680000000</v>
      </c>
      <c r="S80" s="90"/>
    </row>
    <row r="81" spans="1:19">
      <c r="A81" s="58" t="s">
        <v>302</v>
      </c>
      <c r="B81" s="58" t="s">
        <v>946</v>
      </c>
      <c r="C81" s="58" t="s">
        <v>946</v>
      </c>
      <c r="D81" s="58" t="s">
        <v>1377</v>
      </c>
      <c r="E81" s="58" t="s">
        <v>1378</v>
      </c>
      <c r="F81" s="58" t="s">
        <v>601</v>
      </c>
      <c r="G81" s="58"/>
      <c r="J81" s="58" t="s">
        <v>600</v>
      </c>
      <c r="K81" s="58">
        <v>78290</v>
      </c>
      <c r="L81" s="58">
        <v>135967</v>
      </c>
      <c r="M81" s="58">
        <v>114060</v>
      </c>
      <c r="N81" s="58">
        <v>192350</v>
      </c>
      <c r="O81" s="58">
        <v>111252</v>
      </c>
      <c r="P81" s="58">
        <v>24270000000</v>
      </c>
      <c r="S81" s="90"/>
    </row>
    <row r="82" spans="1:19">
      <c r="A82" s="58" t="s">
        <v>306</v>
      </c>
      <c r="B82" s="58" t="s">
        <v>1405</v>
      </c>
      <c r="C82" s="58" t="s">
        <v>1405</v>
      </c>
      <c r="D82" s="58" t="s">
        <v>1377</v>
      </c>
      <c r="E82" s="58" t="s">
        <v>1378</v>
      </c>
      <c r="F82" s="58"/>
      <c r="G82" s="58"/>
      <c r="J82" s="58"/>
      <c r="K82" s="93">
        <v>10</v>
      </c>
      <c r="L82" s="93">
        <v>10</v>
      </c>
      <c r="M82" s="93">
        <v>10</v>
      </c>
      <c r="N82" s="93">
        <v>10</v>
      </c>
      <c r="O82" s="93">
        <v>10</v>
      </c>
      <c r="P82" s="58">
        <v>29176000000</v>
      </c>
      <c r="S82" s="90"/>
    </row>
    <row r="83" spans="1:19">
      <c r="A83" s="58" t="s">
        <v>311</v>
      </c>
      <c r="B83" s="58" t="s">
        <v>952</v>
      </c>
      <c r="C83" s="58" t="s">
        <v>952</v>
      </c>
      <c r="D83" s="58" t="s">
        <v>1377</v>
      </c>
      <c r="E83" s="58" t="s">
        <v>1378</v>
      </c>
      <c r="F83" s="58" t="s">
        <v>593</v>
      </c>
      <c r="G83" s="58"/>
      <c r="J83" s="58" t="s">
        <v>592</v>
      </c>
      <c r="K83" s="58">
        <v>5747</v>
      </c>
      <c r="L83" s="58">
        <v>290938</v>
      </c>
      <c r="M83" s="58">
        <v>134760</v>
      </c>
      <c r="N83" s="58">
        <v>140507</v>
      </c>
      <c r="O83" s="58">
        <v>1027551</v>
      </c>
      <c r="P83" s="58">
        <v>13280000000</v>
      </c>
      <c r="S83" s="90"/>
    </row>
    <row r="84" spans="1:19">
      <c r="A84" s="58" t="s">
        <v>314</v>
      </c>
      <c r="B84" s="58" t="s">
        <v>1406</v>
      </c>
      <c r="C84" s="58" t="s">
        <v>1406</v>
      </c>
      <c r="D84" s="58" t="s">
        <v>1377</v>
      </c>
      <c r="E84" s="58" t="s">
        <v>1378</v>
      </c>
      <c r="F84" s="58"/>
      <c r="G84" s="58"/>
      <c r="J84" s="58"/>
      <c r="K84" s="93">
        <v>10</v>
      </c>
      <c r="L84" s="93">
        <v>10</v>
      </c>
      <c r="M84" s="93">
        <v>10</v>
      </c>
      <c r="N84" s="93">
        <v>10</v>
      </c>
      <c r="O84" s="93">
        <v>10</v>
      </c>
      <c r="P84" s="58">
        <v>32900000000</v>
      </c>
      <c r="S84" s="90"/>
    </row>
    <row r="85" spans="1:19">
      <c r="A85" s="58" t="s">
        <v>317</v>
      </c>
      <c r="B85" s="58" t="s">
        <v>956</v>
      </c>
      <c r="C85" s="58" t="s">
        <v>956</v>
      </c>
      <c r="D85" s="58" t="s">
        <v>1377</v>
      </c>
      <c r="E85" s="58" t="s">
        <v>1378</v>
      </c>
      <c r="F85" s="58" t="s">
        <v>593</v>
      </c>
      <c r="G85" s="58"/>
      <c r="J85" s="58" t="s">
        <v>604</v>
      </c>
      <c r="K85" s="58">
        <v>16863.186000000002</v>
      </c>
      <c r="L85" s="58">
        <v>249714.82</v>
      </c>
      <c r="M85" s="58">
        <v>249714.82</v>
      </c>
      <c r="N85" s="58">
        <v>266578.00599999999</v>
      </c>
      <c r="O85" s="58">
        <v>579488</v>
      </c>
      <c r="P85" s="58">
        <v>5755000000</v>
      </c>
      <c r="S85" s="90"/>
    </row>
    <row r="86" spans="1:19">
      <c r="A86" s="58" t="s">
        <v>321</v>
      </c>
      <c r="B86" s="58" t="s">
        <v>974</v>
      </c>
      <c r="C86" s="58" t="s">
        <v>974</v>
      </c>
      <c r="D86" s="58" t="s">
        <v>1377</v>
      </c>
      <c r="E86" s="58" t="s">
        <v>1378</v>
      </c>
      <c r="F86" s="58" t="s">
        <v>616</v>
      </c>
      <c r="G86" s="58"/>
      <c r="J86" s="58" t="s">
        <v>615</v>
      </c>
      <c r="K86" s="58">
        <v>88213565</v>
      </c>
      <c r="L86" s="58">
        <v>36845</v>
      </c>
      <c r="M86" s="58">
        <v>35568</v>
      </c>
      <c r="N86" s="58">
        <v>88249133</v>
      </c>
      <c r="O86" s="58">
        <v>38773448</v>
      </c>
      <c r="P86" s="58">
        <v>21419000000</v>
      </c>
      <c r="S86" s="90"/>
    </row>
    <row r="87" spans="1:19">
      <c r="A87" s="58" t="s">
        <v>324</v>
      </c>
      <c r="B87" s="58" t="s">
        <v>536</v>
      </c>
      <c r="C87" s="58" t="s">
        <v>536</v>
      </c>
      <c r="D87" s="58" t="s">
        <v>1377</v>
      </c>
      <c r="E87" s="58" t="s">
        <v>1378</v>
      </c>
      <c r="F87" s="58" t="s">
        <v>114</v>
      </c>
      <c r="G87" s="58"/>
      <c r="J87" s="58" t="s">
        <v>831</v>
      </c>
      <c r="K87" s="58">
        <v>381198.61</v>
      </c>
      <c r="L87" s="58">
        <v>790373.35</v>
      </c>
      <c r="M87" s="58">
        <v>281700.89</v>
      </c>
      <c r="N87" s="58">
        <v>662899.5</v>
      </c>
      <c r="O87" s="58">
        <v>14963993.050000001</v>
      </c>
      <c r="P87" s="58">
        <v>26510000000</v>
      </c>
      <c r="S87" s="90"/>
    </row>
    <row r="88" spans="1:19">
      <c r="A88" s="58" t="s">
        <v>329</v>
      </c>
      <c r="B88" s="58" t="s">
        <v>525</v>
      </c>
      <c r="C88" s="58" t="s">
        <v>525</v>
      </c>
      <c r="D88" s="58" t="s">
        <v>1377</v>
      </c>
      <c r="E88" s="58" t="s">
        <v>1378</v>
      </c>
      <c r="F88" s="58" t="s">
        <v>85</v>
      </c>
      <c r="G88" s="58"/>
      <c r="J88" s="58" t="s">
        <v>747</v>
      </c>
      <c r="K88" s="58">
        <v>752552</v>
      </c>
      <c r="L88" s="58">
        <v>1680682</v>
      </c>
      <c r="M88" s="58">
        <v>1545898</v>
      </c>
      <c r="N88" s="58">
        <v>2298450</v>
      </c>
      <c r="O88" s="58">
        <v>52049000</v>
      </c>
      <c r="P88" s="58">
        <v>78100000000</v>
      </c>
      <c r="S88" s="90"/>
    </row>
    <row r="89" spans="1:19">
      <c r="A89" s="58" t="s">
        <v>334</v>
      </c>
      <c r="B89" s="58" t="s">
        <v>970</v>
      </c>
      <c r="C89" s="58" t="s">
        <v>970</v>
      </c>
      <c r="D89" s="58" t="s">
        <v>1377</v>
      </c>
      <c r="E89" s="58" t="s">
        <v>1378</v>
      </c>
      <c r="F89" s="58" t="s">
        <v>601</v>
      </c>
      <c r="G89" s="58"/>
      <c r="J89" s="58" t="s">
        <v>600</v>
      </c>
      <c r="K89" s="58">
        <v>966579</v>
      </c>
      <c r="L89" s="58">
        <v>1054751</v>
      </c>
      <c r="M89" s="58">
        <v>13430</v>
      </c>
      <c r="N89" s="58">
        <v>980009</v>
      </c>
      <c r="O89" s="58">
        <v>27544</v>
      </c>
      <c r="P89" s="58">
        <v>14318000000</v>
      </c>
      <c r="S89" s="90"/>
    </row>
    <row r="90" spans="1:19">
      <c r="A90" s="58" t="s">
        <v>338</v>
      </c>
      <c r="B90" s="58" t="s">
        <v>672</v>
      </c>
      <c r="C90" s="58" t="s">
        <v>672</v>
      </c>
      <c r="D90" s="58" t="s">
        <v>1377</v>
      </c>
      <c r="E90" s="58" t="s">
        <v>1378</v>
      </c>
      <c r="F90" s="58" t="s">
        <v>593</v>
      </c>
      <c r="G90" s="58"/>
      <c r="J90" s="58" t="s">
        <v>604</v>
      </c>
      <c r="K90" s="58">
        <v>8102</v>
      </c>
      <c r="L90" s="58">
        <v>130205</v>
      </c>
      <c r="M90" s="58">
        <v>3397</v>
      </c>
      <c r="N90" s="58">
        <v>11499</v>
      </c>
      <c r="O90" s="58">
        <v>434959</v>
      </c>
      <c r="P90" s="58">
        <v>20820000000</v>
      </c>
      <c r="S90" s="90"/>
    </row>
    <row r="91" spans="1:19">
      <c r="A91" s="58" t="s">
        <v>340</v>
      </c>
      <c r="B91" s="58" t="s">
        <v>999</v>
      </c>
      <c r="C91" s="58" t="s">
        <v>999</v>
      </c>
      <c r="D91" s="58" t="s">
        <v>1377</v>
      </c>
      <c r="E91" s="58" t="s">
        <v>1378</v>
      </c>
      <c r="F91" s="58" t="s">
        <v>593</v>
      </c>
      <c r="G91" s="58"/>
      <c r="J91" s="58" t="s">
        <v>659</v>
      </c>
      <c r="K91" s="58">
        <v>855073</v>
      </c>
      <c r="L91" s="58">
        <v>1010307</v>
      </c>
      <c r="M91" s="58">
        <v>931544</v>
      </c>
      <c r="N91" s="58">
        <v>1786617</v>
      </c>
      <c r="O91" s="58">
        <v>0</v>
      </c>
      <c r="P91" s="58">
        <v>69570000000</v>
      </c>
      <c r="S91" s="90"/>
    </row>
    <row r="92" spans="1:19">
      <c r="A92" s="58" t="s">
        <v>344</v>
      </c>
      <c r="B92" s="58" t="s">
        <v>1407</v>
      </c>
      <c r="C92" s="58" t="s">
        <v>1407</v>
      </c>
      <c r="D92" s="58" t="s">
        <v>1377</v>
      </c>
      <c r="E92" s="58" t="s">
        <v>1378</v>
      </c>
      <c r="F92" s="58"/>
      <c r="G92" s="58"/>
      <c r="J92" s="58"/>
      <c r="K92" s="93">
        <v>10</v>
      </c>
      <c r="L92" s="93">
        <v>10</v>
      </c>
      <c r="M92" s="93">
        <v>10</v>
      </c>
      <c r="N92" s="93">
        <v>10</v>
      </c>
      <c r="O92" s="93">
        <v>10</v>
      </c>
      <c r="P92" s="58">
        <v>25540000000</v>
      </c>
      <c r="S92" s="90"/>
    </row>
    <row r="93" spans="1:19">
      <c r="A93" s="58" t="s">
        <v>347</v>
      </c>
      <c r="B93" s="58" t="s">
        <v>982</v>
      </c>
      <c r="C93" s="58" t="s">
        <v>982</v>
      </c>
      <c r="D93" s="58" t="s">
        <v>1377</v>
      </c>
      <c r="E93" s="58" t="s">
        <v>1378</v>
      </c>
      <c r="F93" s="58" t="s">
        <v>624</v>
      </c>
      <c r="G93" s="58"/>
      <c r="J93" s="58" t="s">
        <v>755</v>
      </c>
      <c r="K93" s="58">
        <v>10066595</v>
      </c>
      <c r="L93" s="58">
        <v>344024</v>
      </c>
      <c r="M93" s="58">
        <v>314075</v>
      </c>
      <c r="N93" s="58">
        <v>10380670</v>
      </c>
      <c r="O93" s="58">
        <v>3175420</v>
      </c>
      <c r="P93" s="58">
        <v>21700000000</v>
      </c>
      <c r="S93" s="90"/>
    </row>
    <row r="94" spans="1:19">
      <c r="A94" s="58" t="s">
        <v>351</v>
      </c>
      <c r="B94" s="58" t="s">
        <v>986</v>
      </c>
      <c r="C94" s="58" t="s">
        <v>986</v>
      </c>
      <c r="D94" s="58" t="s">
        <v>1377</v>
      </c>
      <c r="E94" s="58" t="s">
        <v>1378</v>
      </c>
      <c r="F94" s="58" t="s">
        <v>593</v>
      </c>
      <c r="G94" s="58"/>
      <c r="J94" s="58" t="s">
        <v>704</v>
      </c>
      <c r="K94" s="58">
        <v>17709</v>
      </c>
      <c r="L94" s="58">
        <v>153004</v>
      </c>
      <c r="M94" s="58">
        <v>149418</v>
      </c>
      <c r="N94" s="58">
        <v>167127</v>
      </c>
      <c r="O94" s="58">
        <v>429811</v>
      </c>
      <c r="P94" s="58">
        <v>242200000000</v>
      </c>
      <c r="S94" s="90"/>
    </row>
    <row r="95" spans="1:19">
      <c r="A95" s="58" t="s">
        <v>356</v>
      </c>
      <c r="B95" s="58" t="s">
        <v>990</v>
      </c>
      <c r="C95" s="58" t="s">
        <v>990</v>
      </c>
      <c r="D95" s="58" t="s">
        <v>1377</v>
      </c>
      <c r="E95" s="58" t="s">
        <v>1378</v>
      </c>
      <c r="F95" s="58" t="s">
        <v>624</v>
      </c>
      <c r="G95" s="58"/>
      <c r="J95" s="58" t="s">
        <v>698</v>
      </c>
      <c r="K95" s="58">
        <v>14223000</v>
      </c>
      <c r="L95" s="58">
        <v>754000</v>
      </c>
      <c r="M95" s="58">
        <v>731000</v>
      </c>
      <c r="N95" s="58">
        <v>14954000</v>
      </c>
      <c r="O95" s="58">
        <v>21008000</v>
      </c>
      <c r="P95" s="58">
        <v>74094000000</v>
      </c>
      <c r="S95" s="90"/>
    </row>
    <row r="96" spans="1:19">
      <c r="A96" s="58" t="s">
        <v>361</v>
      </c>
      <c r="B96" s="58" t="s">
        <v>978</v>
      </c>
      <c r="C96" s="58" t="s">
        <v>978</v>
      </c>
      <c r="D96" s="58" t="s">
        <v>1377</v>
      </c>
      <c r="E96" s="58" t="s">
        <v>1378</v>
      </c>
      <c r="F96" s="58" t="s">
        <v>593</v>
      </c>
      <c r="G96" s="58"/>
      <c r="J96" s="58" t="s">
        <v>604</v>
      </c>
      <c r="K96" s="58">
        <v>56482</v>
      </c>
      <c r="L96" s="58">
        <v>255929</v>
      </c>
      <c r="M96" s="58">
        <v>176447</v>
      </c>
      <c r="N96" s="58">
        <v>232929</v>
      </c>
      <c r="O96" s="58">
        <v>170573</v>
      </c>
      <c r="P96" s="58">
        <v>25775000000</v>
      </c>
      <c r="S96" s="90"/>
    </row>
    <row r="97" spans="1:19">
      <c r="A97" s="58" t="s">
        <v>366</v>
      </c>
      <c r="B97" s="58" t="s">
        <v>533</v>
      </c>
      <c r="C97" s="58" t="s">
        <v>533</v>
      </c>
      <c r="D97" s="58" t="s">
        <v>1377</v>
      </c>
      <c r="E97" s="58" t="s">
        <v>1378</v>
      </c>
      <c r="F97" s="58" t="s">
        <v>593</v>
      </c>
      <c r="G97" s="58"/>
      <c r="J97" s="58" t="s">
        <v>659</v>
      </c>
      <c r="K97" s="58">
        <v>358753</v>
      </c>
      <c r="L97" s="58">
        <v>4006874</v>
      </c>
      <c r="M97" s="58">
        <v>3982613</v>
      </c>
      <c r="N97" s="58">
        <v>4341366</v>
      </c>
      <c r="O97" s="58">
        <v>17061647</v>
      </c>
      <c r="P97" s="58">
        <v>131860000000</v>
      </c>
      <c r="S97" s="90"/>
    </row>
    <row r="98" spans="1:19">
      <c r="A98" s="58" t="s">
        <v>371</v>
      </c>
      <c r="B98" s="58" t="s">
        <v>1016</v>
      </c>
      <c r="C98" s="58" t="s">
        <v>1016</v>
      </c>
      <c r="D98" s="58" t="s">
        <v>1377</v>
      </c>
      <c r="E98" s="58" t="s">
        <v>1378</v>
      </c>
      <c r="F98" s="58" t="s">
        <v>593</v>
      </c>
      <c r="G98" s="58"/>
      <c r="J98" s="58" t="s">
        <v>664</v>
      </c>
      <c r="K98" s="58">
        <v>8642</v>
      </c>
      <c r="L98" s="58">
        <v>66009</v>
      </c>
      <c r="M98" s="58">
        <v>51366</v>
      </c>
      <c r="N98" s="58">
        <v>60008</v>
      </c>
      <c r="O98" s="58">
        <v>523963</v>
      </c>
      <c r="P98" s="58">
        <v>23000000000</v>
      </c>
      <c r="S98" s="90"/>
    </row>
    <row r="99" spans="1:19">
      <c r="A99" s="58" t="s">
        <v>375</v>
      </c>
      <c r="B99" s="58" t="s">
        <v>1005</v>
      </c>
      <c r="C99" s="58" t="s">
        <v>1005</v>
      </c>
      <c r="D99" s="58" t="s">
        <v>1377</v>
      </c>
      <c r="E99" s="58" t="s">
        <v>1378</v>
      </c>
      <c r="F99" s="58" t="s">
        <v>85</v>
      </c>
      <c r="G99" s="58"/>
      <c r="J99" s="58" t="s">
        <v>747</v>
      </c>
      <c r="K99" s="58">
        <v>421000</v>
      </c>
      <c r="L99" s="58">
        <v>1645000</v>
      </c>
      <c r="M99" s="58">
        <v>1575000</v>
      </c>
      <c r="N99" s="58">
        <v>1996000</v>
      </c>
      <c r="O99" s="58">
        <v>37899000</v>
      </c>
      <c r="P99" s="58">
        <v>136900000000</v>
      </c>
      <c r="S99" s="90"/>
    </row>
    <row r="100" spans="1:19">
      <c r="A100" s="58" t="s">
        <v>379</v>
      </c>
      <c r="B100" s="58" t="s">
        <v>523</v>
      </c>
      <c r="C100" s="58" t="s">
        <v>523</v>
      </c>
      <c r="D100" s="58" t="s">
        <v>1377</v>
      </c>
      <c r="E100" s="58" t="s">
        <v>1378</v>
      </c>
      <c r="F100" s="58" t="s">
        <v>85</v>
      </c>
      <c r="G100" s="58"/>
      <c r="J100" s="58" t="s">
        <v>747</v>
      </c>
      <c r="K100" s="58">
        <v>6484616</v>
      </c>
      <c r="L100" s="58">
        <v>12190878</v>
      </c>
      <c r="M100" s="58">
        <v>11078980</v>
      </c>
      <c r="N100" s="58">
        <v>17563596</v>
      </c>
      <c r="O100" s="58">
        <v>184474411</v>
      </c>
      <c r="P100" s="58">
        <v>524000000000</v>
      </c>
      <c r="S100" s="90"/>
    </row>
    <row r="101" spans="1:19">
      <c r="A101" s="58" t="s">
        <v>385</v>
      </c>
      <c r="B101" s="58" t="s">
        <v>1012</v>
      </c>
      <c r="C101" s="58" t="s">
        <v>1012</v>
      </c>
      <c r="D101" s="58" t="s">
        <v>1377</v>
      </c>
      <c r="E101" s="58" t="s">
        <v>1378</v>
      </c>
      <c r="F101" s="58" t="s">
        <v>593</v>
      </c>
      <c r="G101" s="58"/>
      <c r="J101" s="58" t="s">
        <v>604</v>
      </c>
      <c r="K101" s="58">
        <v>91993</v>
      </c>
      <c r="L101" s="58">
        <v>771327</v>
      </c>
      <c r="M101" s="58">
        <v>4988</v>
      </c>
      <c r="N101" s="58">
        <v>96981</v>
      </c>
      <c r="O101" s="58">
        <v>3610451</v>
      </c>
      <c r="P101" s="58">
        <v>85060000000</v>
      </c>
      <c r="S101" s="90"/>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992EC-4882-4972-9F54-30E0A3786B1B}">
  <dimension ref="A1:BA191"/>
  <sheetViews>
    <sheetView showGridLines="0" workbookViewId="0">
      <selection activeCell="U6" sqref="U6"/>
    </sheetView>
  </sheetViews>
  <sheetFormatPr defaultRowHeight="12.75"/>
  <sheetData>
    <row r="1" spans="1:53">
      <c r="A1" s="70" t="s">
        <v>557</v>
      </c>
      <c r="B1" s="70" t="s">
        <v>1106</v>
      </c>
      <c r="C1" s="70" t="s">
        <v>1107</v>
      </c>
      <c r="D1" s="70" t="s">
        <v>1108</v>
      </c>
      <c r="E1" s="82" t="s">
        <v>1109</v>
      </c>
      <c r="F1" s="70" t="s">
        <v>1110</v>
      </c>
      <c r="G1" s="82" t="s">
        <v>1111</v>
      </c>
      <c r="H1" s="82" t="s">
        <v>1112</v>
      </c>
      <c r="I1" s="82" t="s">
        <v>1113</v>
      </c>
      <c r="J1" s="82" t="s">
        <v>1114</v>
      </c>
      <c r="K1" s="82" t="s">
        <v>1115</v>
      </c>
      <c r="L1" s="70" t="s">
        <v>1116</v>
      </c>
      <c r="M1" s="70" t="s">
        <v>1117</v>
      </c>
      <c r="N1" s="70" t="s">
        <v>1118</v>
      </c>
      <c r="O1" s="70" t="s">
        <v>1119</v>
      </c>
      <c r="P1" s="70" t="s">
        <v>1120</v>
      </c>
      <c r="Q1" s="70" t="s">
        <v>1121</v>
      </c>
      <c r="R1" s="70" t="s">
        <v>1122</v>
      </c>
      <c r="S1" s="70" t="s">
        <v>1123</v>
      </c>
      <c r="T1" s="70" t="s">
        <v>1124</v>
      </c>
      <c r="U1" s="70" t="s">
        <v>1125</v>
      </c>
      <c r="V1" s="83"/>
      <c r="W1" s="83"/>
      <c r="X1" s="83"/>
      <c r="Y1" s="83"/>
      <c r="Z1" s="83"/>
      <c r="AA1" s="83"/>
      <c r="AB1" s="83"/>
      <c r="AC1" s="83"/>
      <c r="AD1" s="83"/>
      <c r="AE1" s="83"/>
      <c r="AF1" s="83"/>
      <c r="AG1" s="83"/>
      <c r="AH1" s="83"/>
      <c r="AI1" s="83"/>
      <c r="AJ1" s="83"/>
      <c r="AK1" s="83"/>
      <c r="AL1" s="83"/>
      <c r="AM1" s="83"/>
      <c r="AN1" s="83"/>
      <c r="AO1" s="83"/>
      <c r="AP1" s="83"/>
      <c r="AQ1" s="83"/>
      <c r="AR1" s="83"/>
      <c r="AS1" s="34"/>
      <c r="AT1" s="34"/>
      <c r="AU1" s="34"/>
      <c r="AV1" s="34"/>
      <c r="AW1" s="34"/>
      <c r="AX1" s="34"/>
      <c r="AY1" s="34"/>
      <c r="AZ1" s="34"/>
      <c r="BA1" s="34"/>
    </row>
    <row r="2" spans="1:53">
      <c r="A2" s="61">
        <v>1</v>
      </c>
      <c r="B2" s="61" t="s">
        <v>1126</v>
      </c>
      <c r="C2" s="61" t="s">
        <v>1127</v>
      </c>
      <c r="D2" s="61" t="s">
        <v>1128</v>
      </c>
      <c r="E2" s="83" t="s">
        <v>1096</v>
      </c>
      <c r="F2" s="61">
        <v>2015</v>
      </c>
      <c r="G2" s="83" t="s">
        <v>1129</v>
      </c>
      <c r="H2" s="84">
        <v>2002</v>
      </c>
      <c r="I2" s="84" t="s">
        <v>1096</v>
      </c>
      <c r="J2" s="61">
        <v>18300000</v>
      </c>
      <c r="K2" s="61">
        <v>100</v>
      </c>
      <c r="L2" s="61">
        <v>2025</v>
      </c>
      <c r="M2" s="61">
        <v>50</v>
      </c>
      <c r="N2" s="84" t="s">
        <v>1096</v>
      </c>
      <c r="O2" s="61">
        <v>9150000</v>
      </c>
      <c r="P2" s="61">
        <v>5830000</v>
      </c>
      <c r="Q2" s="84" t="s">
        <v>1096</v>
      </c>
      <c r="R2" s="83">
        <v>136.28415300546447</v>
      </c>
      <c r="S2" s="83" t="s">
        <v>1130</v>
      </c>
      <c r="T2" s="83" t="s">
        <v>1131</v>
      </c>
      <c r="U2" s="83" t="s">
        <v>1132</v>
      </c>
      <c r="V2" s="83"/>
      <c r="W2" s="83"/>
      <c r="X2" s="83"/>
      <c r="Y2" s="83"/>
      <c r="Z2" s="83"/>
      <c r="AA2" s="83"/>
      <c r="AB2" s="83"/>
      <c r="AC2" s="83"/>
      <c r="AD2" s="83"/>
      <c r="AE2" s="83"/>
      <c r="AF2" s="83"/>
      <c r="AG2" s="83"/>
      <c r="AH2" s="83"/>
      <c r="AI2" s="83"/>
      <c r="AJ2" s="83"/>
      <c r="AK2" s="83"/>
      <c r="AL2" s="83"/>
      <c r="AM2" s="83"/>
      <c r="AN2" s="83"/>
      <c r="AO2" s="83"/>
      <c r="AP2" s="83"/>
      <c r="AQ2" s="83"/>
      <c r="AR2" s="83"/>
      <c r="AS2" s="34"/>
      <c r="AT2" s="34"/>
      <c r="AU2" s="34"/>
      <c r="AV2" s="34"/>
      <c r="AW2" s="34"/>
      <c r="AX2" s="34"/>
      <c r="AY2" s="34"/>
      <c r="AZ2" s="34"/>
      <c r="BA2" s="34"/>
    </row>
    <row r="3" spans="1:53">
      <c r="A3" s="61">
        <v>3</v>
      </c>
      <c r="B3" s="61" t="s">
        <v>1126</v>
      </c>
      <c r="C3" s="61" t="s">
        <v>1127</v>
      </c>
      <c r="D3" s="61" t="s">
        <v>1133</v>
      </c>
      <c r="E3" s="83" t="s">
        <v>1096</v>
      </c>
      <c r="F3" s="61">
        <v>2016</v>
      </c>
      <c r="G3" s="83" t="s">
        <v>1129</v>
      </c>
      <c r="H3" s="84">
        <v>2015</v>
      </c>
      <c r="I3" s="84" t="s">
        <v>1096</v>
      </c>
      <c r="J3" s="61">
        <v>665467</v>
      </c>
      <c r="K3" s="61">
        <v>100</v>
      </c>
      <c r="L3" s="61">
        <v>2025</v>
      </c>
      <c r="M3" s="61">
        <v>25</v>
      </c>
      <c r="N3" s="84" t="s">
        <v>1096</v>
      </c>
      <c r="O3" s="61">
        <v>499100.25</v>
      </c>
      <c r="P3" s="61">
        <v>558105</v>
      </c>
      <c r="Q3" s="84" t="s">
        <v>1096</v>
      </c>
      <c r="R3" s="83">
        <v>64.53332772323796</v>
      </c>
      <c r="S3" s="83" t="s">
        <v>1130</v>
      </c>
      <c r="T3" s="83" t="s">
        <v>1131</v>
      </c>
      <c r="U3" s="83" t="s">
        <v>1134</v>
      </c>
      <c r="V3" s="83"/>
      <c r="W3" s="83"/>
      <c r="X3" s="83"/>
      <c r="Y3" s="83"/>
      <c r="Z3" s="83"/>
      <c r="AA3" s="83"/>
      <c r="AB3" s="83"/>
      <c r="AC3" s="83"/>
      <c r="AD3" s="83"/>
      <c r="AE3" s="83"/>
      <c r="AF3" s="83"/>
      <c r="AG3" s="83"/>
      <c r="AH3" s="83"/>
      <c r="AI3" s="83"/>
      <c r="AJ3" s="83"/>
      <c r="AK3" s="83"/>
      <c r="AL3" s="83"/>
      <c r="AM3" s="83"/>
      <c r="AN3" s="83"/>
      <c r="AO3" s="83"/>
      <c r="AP3" s="83"/>
      <c r="AQ3" s="83"/>
      <c r="AR3" s="83"/>
      <c r="AS3" s="34"/>
      <c r="AT3" s="34"/>
      <c r="AU3" s="34"/>
      <c r="AV3" s="34"/>
      <c r="AW3" s="34"/>
      <c r="AX3" s="34"/>
      <c r="AY3" s="34"/>
      <c r="AZ3" s="34"/>
      <c r="BA3" s="34"/>
    </row>
    <row r="4" spans="1:53">
      <c r="A4" s="61">
        <v>3</v>
      </c>
      <c r="B4" s="61" t="s">
        <v>1126</v>
      </c>
      <c r="C4" s="61" t="s">
        <v>1127</v>
      </c>
      <c r="D4" s="61" t="s">
        <v>1133</v>
      </c>
      <c r="E4" s="83" t="s">
        <v>1096</v>
      </c>
      <c r="F4" s="61">
        <v>2016</v>
      </c>
      <c r="G4" s="83" t="s">
        <v>1129</v>
      </c>
      <c r="H4" s="84">
        <v>2015</v>
      </c>
      <c r="I4" s="84" t="s">
        <v>1096</v>
      </c>
      <c r="J4" s="61">
        <v>665467</v>
      </c>
      <c r="K4" s="61">
        <v>100</v>
      </c>
      <c r="L4" s="61">
        <v>2035</v>
      </c>
      <c r="M4" s="61">
        <v>50</v>
      </c>
      <c r="N4" s="84" t="s">
        <v>1096</v>
      </c>
      <c r="O4" s="61">
        <v>332733.5</v>
      </c>
      <c r="P4" s="61">
        <v>558105</v>
      </c>
      <c r="Q4" s="84" t="s">
        <v>1096</v>
      </c>
      <c r="R4" s="83">
        <v>32.26666386161898</v>
      </c>
      <c r="S4" s="83" t="s">
        <v>1130</v>
      </c>
      <c r="T4" s="83" t="s">
        <v>1131</v>
      </c>
      <c r="U4" s="83" t="s">
        <v>1135</v>
      </c>
      <c r="V4" s="83"/>
      <c r="W4" s="83"/>
      <c r="X4" s="83"/>
      <c r="Y4" s="83"/>
      <c r="Z4" s="83"/>
      <c r="AA4" s="83"/>
      <c r="AB4" s="83"/>
      <c r="AC4" s="83"/>
      <c r="AD4" s="83"/>
      <c r="AE4" s="83"/>
      <c r="AF4" s="83"/>
      <c r="AG4" s="83"/>
      <c r="AH4" s="83"/>
      <c r="AI4" s="83"/>
      <c r="AJ4" s="83"/>
      <c r="AK4" s="83"/>
      <c r="AL4" s="83"/>
      <c r="AM4" s="83"/>
      <c r="AN4" s="83"/>
      <c r="AO4" s="83"/>
      <c r="AP4" s="83"/>
      <c r="AQ4" s="83"/>
      <c r="AR4" s="83"/>
      <c r="AS4" s="34"/>
      <c r="AT4" s="34"/>
      <c r="AU4" s="34"/>
      <c r="AV4" s="34"/>
      <c r="AW4" s="34"/>
      <c r="AX4" s="34"/>
      <c r="AY4" s="34"/>
      <c r="AZ4" s="34"/>
      <c r="BA4" s="34"/>
    </row>
    <row r="5" spans="1:53">
      <c r="A5" s="61">
        <v>4</v>
      </c>
      <c r="B5" s="61" t="s">
        <v>1126</v>
      </c>
      <c r="C5" s="61" t="s">
        <v>1127</v>
      </c>
      <c r="D5" s="61" t="s">
        <v>1136</v>
      </c>
      <c r="E5" s="83" t="s">
        <v>1096</v>
      </c>
      <c r="F5" s="61">
        <v>2016</v>
      </c>
      <c r="G5" s="83" t="s">
        <v>1129</v>
      </c>
      <c r="H5" s="84">
        <v>2016</v>
      </c>
      <c r="I5" s="84" t="s">
        <v>1096</v>
      </c>
      <c r="J5" s="61">
        <v>1257636</v>
      </c>
      <c r="K5" s="61">
        <v>100</v>
      </c>
      <c r="L5" s="61">
        <v>2025</v>
      </c>
      <c r="M5" s="61">
        <v>11</v>
      </c>
      <c r="N5" s="84" t="s">
        <v>1096</v>
      </c>
      <c r="O5" s="61">
        <v>1119296.04</v>
      </c>
      <c r="P5" s="61">
        <v>1166256</v>
      </c>
      <c r="Q5" s="84" t="s">
        <v>1096</v>
      </c>
      <c r="R5" s="83">
        <v>66.05466706799686</v>
      </c>
      <c r="S5" s="83" t="s">
        <v>1130</v>
      </c>
      <c r="T5" s="83" t="s">
        <v>1137</v>
      </c>
      <c r="U5" s="83" t="s">
        <v>1138</v>
      </c>
      <c r="V5" s="83"/>
      <c r="W5" s="83"/>
      <c r="X5" s="83"/>
      <c r="Y5" s="83"/>
      <c r="Z5" s="83"/>
      <c r="AA5" s="83"/>
      <c r="AB5" s="83"/>
      <c r="AC5" s="83"/>
      <c r="AD5" s="83"/>
      <c r="AE5" s="83"/>
      <c r="AF5" s="83"/>
      <c r="AG5" s="83"/>
      <c r="AH5" s="83"/>
      <c r="AI5" s="83"/>
      <c r="AJ5" s="83"/>
      <c r="AK5" s="83"/>
      <c r="AL5" s="83"/>
      <c r="AM5" s="83"/>
      <c r="AN5" s="83"/>
      <c r="AO5" s="83"/>
      <c r="AP5" s="83"/>
      <c r="AQ5" s="83"/>
      <c r="AR5" s="83"/>
      <c r="AS5" s="34"/>
      <c r="AT5" s="34"/>
      <c r="AU5" s="34"/>
      <c r="AV5" s="34"/>
      <c r="AW5" s="34"/>
      <c r="AX5" s="34"/>
      <c r="AY5" s="34"/>
      <c r="AZ5" s="34"/>
      <c r="BA5" s="34"/>
    </row>
    <row r="6" spans="1:53">
      <c r="A6" s="61">
        <v>5</v>
      </c>
      <c r="B6" s="61" t="s">
        <v>1126</v>
      </c>
      <c r="C6" s="61" t="s">
        <v>1127</v>
      </c>
      <c r="D6" s="61" t="s">
        <v>1133</v>
      </c>
      <c r="E6" s="83" t="s">
        <v>1096</v>
      </c>
      <c r="F6" s="61">
        <v>2016</v>
      </c>
      <c r="G6" s="83" t="s">
        <v>1129</v>
      </c>
      <c r="H6" s="84">
        <v>2015</v>
      </c>
      <c r="I6" s="84" t="s">
        <v>1096</v>
      </c>
      <c r="J6" s="61">
        <v>64736</v>
      </c>
      <c r="K6" s="61">
        <v>100</v>
      </c>
      <c r="L6" s="61">
        <v>2025</v>
      </c>
      <c r="M6" s="61">
        <v>25</v>
      </c>
      <c r="N6" s="84" t="s">
        <v>1096</v>
      </c>
      <c r="O6" s="61">
        <v>48552</v>
      </c>
      <c r="P6" s="61">
        <v>55710</v>
      </c>
      <c r="Q6" s="84" t="s">
        <v>1096</v>
      </c>
      <c r="R6" s="83">
        <v>55.771131982204651</v>
      </c>
      <c r="S6" s="83" t="s">
        <v>1130</v>
      </c>
      <c r="T6" s="83" t="s">
        <v>1137</v>
      </c>
      <c r="U6" s="83" t="s">
        <v>1139</v>
      </c>
      <c r="V6" s="83"/>
      <c r="W6" s="83"/>
      <c r="X6" s="83"/>
      <c r="Y6" s="83"/>
      <c r="Z6" s="83"/>
      <c r="AA6" s="83"/>
      <c r="AB6" s="83"/>
      <c r="AC6" s="83"/>
      <c r="AD6" s="83"/>
      <c r="AE6" s="83"/>
      <c r="AF6" s="83"/>
      <c r="AG6" s="83"/>
      <c r="AH6" s="83"/>
      <c r="AI6" s="83"/>
      <c r="AJ6" s="83"/>
      <c r="AK6" s="83"/>
      <c r="AL6" s="83"/>
      <c r="AM6" s="83"/>
      <c r="AN6" s="83"/>
      <c r="AO6" s="83"/>
      <c r="AP6" s="83"/>
      <c r="AQ6" s="83"/>
      <c r="AR6" s="83"/>
      <c r="AS6" s="34"/>
      <c r="AT6" s="34"/>
      <c r="AU6" s="34"/>
      <c r="AV6" s="34"/>
      <c r="AW6" s="34"/>
      <c r="AX6" s="34"/>
      <c r="AY6" s="34"/>
      <c r="AZ6" s="34"/>
      <c r="BA6" s="34"/>
    </row>
    <row r="7" spans="1:53">
      <c r="A7" s="61">
        <v>5</v>
      </c>
      <c r="B7" s="61" t="s">
        <v>1126</v>
      </c>
      <c r="C7" s="61" t="s">
        <v>1127</v>
      </c>
      <c r="D7" s="61" t="s">
        <v>1133</v>
      </c>
      <c r="E7" s="83" t="s">
        <v>1096</v>
      </c>
      <c r="F7" s="61">
        <v>2016</v>
      </c>
      <c r="G7" s="83" t="s">
        <v>1129</v>
      </c>
      <c r="H7" s="84">
        <v>2015</v>
      </c>
      <c r="I7" s="84" t="s">
        <v>1096</v>
      </c>
      <c r="J7" s="61">
        <v>64736</v>
      </c>
      <c r="K7" s="61">
        <v>100</v>
      </c>
      <c r="L7" s="61">
        <v>2035</v>
      </c>
      <c r="M7" s="61">
        <v>80</v>
      </c>
      <c r="N7" s="84" t="s">
        <v>1096</v>
      </c>
      <c r="O7" s="61">
        <v>12947.2</v>
      </c>
      <c r="P7" s="61">
        <v>55710</v>
      </c>
      <c r="Q7" s="84" t="s">
        <v>1096</v>
      </c>
      <c r="R7" s="83">
        <v>17.428478744438952</v>
      </c>
      <c r="S7" s="83" t="s">
        <v>1130</v>
      </c>
      <c r="T7" s="83" t="s">
        <v>1137</v>
      </c>
      <c r="U7" s="83" t="s">
        <v>1140</v>
      </c>
      <c r="V7" s="83"/>
      <c r="W7" s="83"/>
      <c r="X7" s="83"/>
      <c r="Y7" s="83"/>
      <c r="Z7" s="83"/>
      <c r="AA7" s="83"/>
      <c r="AB7" s="83"/>
      <c r="AC7" s="83"/>
      <c r="AD7" s="83"/>
      <c r="AE7" s="83"/>
      <c r="AF7" s="83"/>
      <c r="AG7" s="83"/>
      <c r="AH7" s="83"/>
      <c r="AI7" s="83"/>
      <c r="AJ7" s="83"/>
      <c r="AK7" s="83"/>
      <c r="AL7" s="83"/>
      <c r="AM7" s="83"/>
      <c r="AN7" s="83"/>
      <c r="AO7" s="83"/>
      <c r="AP7" s="83"/>
      <c r="AQ7" s="83"/>
      <c r="AR7" s="83"/>
      <c r="AS7" s="34"/>
      <c r="AT7" s="34"/>
      <c r="AU7" s="34"/>
      <c r="AV7" s="34"/>
      <c r="AW7" s="34"/>
      <c r="AX7" s="34"/>
      <c r="AY7" s="34"/>
      <c r="AZ7" s="34"/>
      <c r="BA7" s="34"/>
    </row>
    <row r="8" spans="1:53">
      <c r="A8" s="61">
        <v>5</v>
      </c>
      <c r="B8" s="61" t="s">
        <v>1126</v>
      </c>
      <c r="C8" s="61" t="s">
        <v>1141</v>
      </c>
      <c r="D8" s="61" t="s">
        <v>1142</v>
      </c>
      <c r="E8" s="83" t="s">
        <v>1096</v>
      </c>
      <c r="F8" s="61">
        <v>2014</v>
      </c>
      <c r="G8" s="83" t="s">
        <v>1129</v>
      </c>
      <c r="H8" s="84">
        <v>2013</v>
      </c>
      <c r="I8" s="84" t="s">
        <v>1096</v>
      </c>
      <c r="J8" s="61">
        <v>10444</v>
      </c>
      <c r="K8" s="61">
        <v>100</v>
      </c>
      <c r="L8" s="61">
        <v>2020</v>
      </c>
      <c r="M8" s="61">
        <v>100</v>
      </c>
      <c r="N8" s="84" t="s">
        <v>1096</v>
      </c>
      <c r="O8" s="61">
        <v>0</v>
      </c>
      <c r="P8" s="61">
        <v>0</v>
      </c>
      <c r="Q8" s="84" t="s">
        <v>1096</v>
      </c>
      <c r="R8" s="83">
        <v>100</v>
      </c>
      <c r="S8" s="83" t="s">
        <v>1143</v>
      </c>
      <c r="T8" s="83" t="s">
        <v>1144</v>
      </c>
      <c r="U8" s="83" t="s">
        <v>1145</v>
      </c>
      <c r="V8" s="83"/>
      <c r="W8" s="83"/>
      <c r="X8" s="83"/>
      <c r="Y8" s="83"/>
      <c r="Z8" s="83"/>
      <c r="AA8" s="83"/>
      <c r="AB8" s="83"/>
      <c r="AC8" s="83"/>
      <c r="AD8" s="83"/>
      <c r="AE8" s="83"/>
      <c r="AF8" s="83"/>
      <c r="AG8" s="83"/>
      <c r="AH8" s="83"/>
      <c r="AI8" s="83"/>
      <c r="AJ8" s="83"/>
      <c r="AK8" s="83"/>
      <c r="AL8" s="83"/>
      <c r="AM8" s="83"/>
      <c r="AN8" s="83"/>
      <c r="AO8" s="83"/>
      <c r="AP8" s="83"/>
      <c r="AQ8" s="83"/>
      <c r="AR8" s="83"/>
      <c r="AS8" s="34"/>
      <c r="AT8" s="34"/>
      <c r="AU8" s="34"/>
      <c r="AV8" s="34"/>
      <c r="AW8" s="34"/>
      <c r="AX8" s="34"/>
      <c r="AY8" s="34"/>
      <c r="AZ8" s="34"/>
      <c r="BA8" s="34"/>
    </row>
    <row r="9" spans="1:53">
      <c r="A9" s="61">
        <v>7</v>
      </c>
      <c r="B9" s="61" t="s">
        <v>1126</v>
      </c>
      <c r="C9" s="61" t="s">
        <v>1127</v>
      </c>
      <c r="D9" s="61" t="s">
        <v>1136</v>
      </c>
      <c r="E9" s="83" t="s">
        <v>1096</v>
      </c>
      <c r="F9" s="61">
        <v>2019</v>
      </c>
      <c r="G9" s="83" t="s">
        <v>1129</v>
      </c>
      <c r="H9" s="84">
        <v>2019</v>
      </c>
      <c r="I9" s="84" t="s">
        <v>1096</v>
      </c>
      <c r="J9" s="61">
        <v>1402953</v>
      </c>
      <c r="K9" s="61">
        <v>100</v>
      </c>
      <c r="L9" s="61">
        <v>2019</v>
      </c>
      <c r="M9" s="61">
        <v>100</v>
      </c>
      <c r="N9" s="84" t="s">
        <v>1096</v>
      </c>
      <c r="O9" s="61">
        <v>0</v>
      </c>
      <c r="P9" s="61">
        <v>0</v>
      </c>
      <c r="Q9" s="84" t="s">
        <v>1096</v>
      </c>
      <c r="R9" s="83">
        <v>100</v>
      </c>
      <c r="S9" s="83" t="s">
        <v>1143</v>
      </c>
      <c r="T9" s="83" t="s">
        <v>1146</v>
      </c>
      <c r="U9" s="83" t="s">
        <v>1147</v>
      </c>
      <c r="V9" s="83"/>
      <c r="W9" s="83"/>
      <c r="X9" s="83"/>
      <c r="Y9" s="83"/>
      <c r="Z9" s="83"/>
      <c r="AA9" s="83"/>
      <c r="AB9" s="83"/>
      <c r="AC9" s="83"/>
      <c r="AD9" s="83"/>
      <c r="AE9" s="83"/>
      <c r="AF9" s="83"/>
      <c r="AG9" s="83"/>
      <c r="AH9" s="83"/>
      <c r="AI9" s="83"/>
      <c r="AJ9" s="83"/>
      <c r="AK9" s="83"/>
      <c r="AL9" s="83"/>
      <c r="AM9" s="83"/>
      <c r="AN9" s="83"/>
      <c r="AO9" s="83"/>
      <c r="AP9" s="83"/>
      <c r="AQ9" s="83"/>
      <c r="AR9" s="83"/>
      <c r="AS9" s="34"/>
      <c r="AT9" s="34"/>
      <c r="AU9" s="34"/>
      <c r="AV9" s="34"/>
      <c r="AW9" s="34"/>
      <c r="AX9" s="34"/>
      <c r="AY9" s="34"/>
      <c r="AZ9" s="34"/>
      <c r="BA9" s="34"/>
    </row>
    <row r="10" spans="1:53">
      <c r="A10" s="61">
        <v>7</v>
      </c>
      <c r="B10" s="61" t="s">
        <v>1126</v>
      </c>
      <c r="C10" s="61" t="s">
        <v>1127</v>
      </c>
      <c r="D10" s="61" t="s">
        <v>1133</v>
      </c>
      <c r="E10" s="83" t="s">
        <v>1096</v>
      </c>
      <c r="F10" s="61">
        <v>2015</v>
      </c>
      <c r="G10" s="83" t="s">
        <v>1129</v>
      </c>
      <c r="H10" s="84">
        <v>2015</v>
      </c>
      <c r="I10" s="84" t="s">
        <v>1096</v>
      </c>
      <c r="J10" s="61">
        <v>1451418</v>
      </c>
      <c r="K10" s="61">
        <v>100</v>
      </c>
      <c r="L10" s="61">
        <v>2025</v>
      </c>
      <c r="M10" s="61">
        <v>100</v>
      </c>
      <c r="N10" s="84" t="s">
        <v>1096</v>
      </c>
      <c r="O10" s="61">
        <v>0</v>
      </c>
      <c r="P10" s="61">
        <v>0</v>
      </c>
      <c r="Q10" s="84" t="s">
        <v>1096</v>
      </c>
      <c r="R10" s="83">
        <v>100</v>
      </c>
      <c r="S10" s="83" t="s">
        <v>1143</v>
      </c>
      <c r="T10" s="83" t="s">
        <v>1146</v>
      </c>
      <c r="U10" s="83" t="s">
        <v>1148</v>
      </c>
      <c r="V10" s="83"/>
      <c r="W10" s="83"/>
      <c r="X10" s="83"/>
      <c r="Y10" s="83"/>
      <c r="Z10" s="83"/>
      <c r="AA10" s="83"/>
      <c r="AB10" s="83"/>
      <c r="AC10" s="83"/>
      <c r="AD10" s="83"/>
      <c r="AE10" s="83"/>
      <c r="AF10" s="83"/>
      <c r="AG10" s="83"/>
      <c r="AH10" s="83"/>
      <c r="AI10" s="83"/>
      <c r="AJ10" s="83"/>
      <c r="AK10" s="83"/>
      <c r="AL10" s="83"/>
      <c r="AM10" s="83"/>
      <c r="AN10" s="83"/>
      <c r="AO10" s="83"/>
      <c r="AP10" s="83"/>
      <c r="AQ10" s="83"/>
      <c r="AR10" s="83"/>
      <c r="AS10" s="34"/>
      <c r="AT10" s="34"/>
      <c r="AU10" s="34"/>
      <c r="AV10" s="34"/>
      <c r="AW10" s="34"/>
      <c r="AX10" s="34"/>
      <c r="AY10" s="34"/>
      <c r="AZ10" s="34"/>
      <c r="BA10" s="34"/>
    </row>
    <row r="11" spans="1:53">
      <c r="A11" s="61">
        <v>7</v>
      </c>
      <c r="B11" s="61" t="s">
        <v>1126</v>
      </c>
      <c r="C11" s="61" t="s">
        <v>1127</v>
      </c>
      <c r="D11" s="61" t="s">
        <v>1133</v>
      </c>
      <c r="E11" s="83" t="s">
        <v>1096</v>
      </c>
      <c r="F11" s="61">
        <v>2015</v>
      </c>
      <c r="G11" s="83" t="s">
        <v>1129</v>
      </c>
      <c r="H11" s="84">
        <v>2015</v>
      </c>
      <c r="I11" s="84" t="s">
        <v>1096</v>
      </c>
      <c r="J11" s="61">
        <v>1451418</v>
      </c>
      <c r="K11" s="61">
        <v>100</v>
      </c>
      <c r="L11" s="61">
        <v>2040</v>
      </c>
      <c r="M11" s="61">
        <v>100</v>
      </c>
      <c r="N11" s="84" t="s">
        <v>1096</v>
      </c>
      <c r="O11" s="61">
        <v>0</v>
      </c>
      <c r="P11" s="61">
        <v>0</v>
      </c>
      <c r="Q11" s="84" t="s">
        <v>1096</v>
      </c>
      <c r="R11" s="83">
        <v>100</v>
      </c>
      <c r="S11" s="83" t="s">
        <v>1143</v>
      </c>
      <c r="T11" s="83" t="s">
        <v>1146</v>
      </c>
      <c r="U11" s="83" t="s">
        <v>1149</v>
      </c>
      <c r="V11" s="83"/>
      <c r="W11" s="83"/>
      <c r="X11" s="83"/>
      <c r="Y11" s="83"/>
      <c r="Z11" s="83"/>
      <c r="AA11" s="83"/>
      <c r="AB11" s="83"/>
      <c r="AC11" s="83"/>
      <c r="AD11" s="83"/>
      <c r="AE11" s="83"/>
      <c r="AF11" s="83"/>
      <c r="AG11" s="83"/>
      <c r="AH11" s="83"/>
      <c r="AI11" s="83"/>
      <c r="AJ11" s="83"/>
      <c r="AK11" s="83"/>
      <c r="AL11" s="83"/>
      <c r="AM11" s="83"/>
      <c r="AN11" s="83"/>
      <c r="AO11" s="83"/>
      <c r="AP11" s="83"/>
      <c r="AQ11" s="83"/>
      <c r="AR11" s="83"/>
      <c r="AS11" s="34"/>
      <c r="AT11" s="34"/>
      <c r="AU11" s="34"/>
      <c r="AV11" s="34"/>
      <c r="AW11" s="34"/>
      <c r="AX11" s="34"/>
      <c r="AY11" s="34"/>
      <c r="AZ11" s="34"/>
      <c r="BA11" s="34"/>
    </row>
    <row r="12" spans="1:53">
      <c r="A12" s="61">
        <v>8</v>
      </c>
      <c r="B12" s="61" t="s">
        <v>1126</v>
      </c>
      <c r="C12" s="61" t="s">
        <v>1127</v>
      </c>
      <c r="D12" s="61" t="s">
        <v>1128</v>
      </c>
      <c r="E12" s="83" t="s">
        <v>1096</v>
      </c>
      <c r="F12" s="61">
        <v>2016</v>
      </c>
      <c r="G12" s="83" t="s">
        <v>1129</v>
      </c>
      <c r="H12" s="84">
        <v>2015</v>
      </c>
      <c r="I12" s="84" t="s">
        <v>1096</v>
      </c>
      <c r="J12" s="61">
        <v>392172</v>
      </c>
      <c r="K12" s="61">
        <v>100</v>
      </c>
      <c r="L12" s="61">
        <v>2025</v>
      </c>
      <c r="M12" s="61">
        <v>20</v>
      </c>
      <c r="N12" s="84" t="s">
        <v>1096</v>
      </c>
      <c r="O12" s="61">
        <v>313737.59999999998</v>
      </c>
      <c r="P12" s="61">
        <v>305766</v>
      </c>
      <c r="Q12" s="84" t="s">
        <v>1096</v>
      </c>
      <c r="R12" s="83">
        <v>110.16339769284902</v>
      </c>
      <c r="S12" s="83" t="s">
        <v>1143</v>
      </c>
      <c r="T12" s="83" t="s">
        <v>1144</v>
      </c>
      <c r="U12" s="83" t="s">
        <v>1150</v>
      </c>
      <c r="V12" s="83"/>
      <c r="W12" s="83"/>
      <c r="X12" s="83"/>
      <c r="Y12" s="83"/>
      <c r="Z12" s="83"/>
      <c r="AA12" s="83"/>
      <c r="AB12" s="83"/>
      <c r="AC12" s="83"/>
      <c r="AD12" s="83"/>
      <c r="AE12" s="83"/>
      <c r="AF12" s="83"/>
      <c r="AG12" s="83"/>
      <c r="AH12" s="83"/>
      <c r="AI12" s="83"/>
      <c r="AJ12" s="83"/>
      <c r="AK12" s="83"/>
      <c r="AL12" s="83"/>
      <c r="AM12" s="83"/>
      <c r="AN12" s="83"/>
      <c r="AO12" s="83"/>
      <c r="AP12" s="83"/>
      <c r="AQ12" s="83"/>
      <c r="AR12" s="83"/>
      <c r="AS12" s="34"/>
      <c r="AT12" s="34"/>
      <c r="AU12" s="34"/>
      <c r="AV12" s="34"/>
      <c r="AW12" s="34"/>
      <c r="AX12" s="34"/>
      <c r="AY12" s="34"/>
      <c r="AZ12" s="34"/>
      <c r="BA12" s="34"/>
    </row>
    <row r="13" spans="1:53">
      <c r="A13" s="61">
        <v>8</v>
      </c>
      <c r="B13" s="61" t="s">
        <v>1126</v>
      </c>
      <c r="C13" s="61" t="s">
        <v>1141</v>
      </c>
      <c r="D13" s="61" t="s">
        <v>1151</v>
      </c>
      <c r="E13" s="83" t="s">
        <v>1096</v>
      </c>
      <c r="F13" s="61">
        <v>2018</v>
      </c>
      <c r="G13" s="83" t="s">
        <v>1129</v>
      </c>
      <c r="H13" s="84">
        <v>2017</v>
      </c>
      <c r="I13" s="84" t="s">
        <v>1096</v>
      </c>
      <c r="J13" s="61">
        <v>5264365</v>
      </c>
      <c r="K13" s="61">
        <v>100</v>
      </c>
      <c r="L13" s="61">
        <v>2030</v>
      </c>
      <c r="M13" s="61">
        <v>15</v>
      </c>
      <c r="N13" s="84" t="s">
        <v>1096</v>
      </c>
      <c r="O13" s="61">
        <v>4474710.25</v>
      </c>
      <c r="P13" s="61">
        <v>5227733</v>
      </c>
      <c r="Q13" s="84" t="s">
        <v>1096</v>
      </c>
      <c r="R13" s="83">
        <v>4.6389893811187735</v>
      </c>
      <c r="S13" s="83" t="s">
        <v>1152</v>
      </c>
      <c r="T13" s="83" t="s">
        <v>1144</v>
      </c>
      <c r="U13" s="83" t="s">
        <v>1153</v>
      </c>
      <c r="V13" s="83"/>
      <c r="W13" s="83"/>
      <c r="X13" s="83"/>
      <c r="Y13" s="83"/>
      <c r="Z13" s="83"/>
      <c r="AA13" s="83"/>
      <c r="AB13" s="83"/>
      <c r="AC13" s="83"/>
      <c r="AD13" s="83"/>
      <c r="AE13" s="83"/>
      <c r="AF13" s="83"/>
      <c r="AG13" s="83"/>
      <c r="AH13" s="83"/>
      <c r="AI13" s="83"/>
      <c r="AJ13" s="83"/>
      <c r="AK13" s="83"/>
      <c r="AL13" s="83"/>
      <c r="AM13" s="83"/>
      <c r="AN13" s="83"/>
      <c r="AO13" s="83"/>
      <c r="AP13" s="83"/>
      <c r="AQ13" s="83"/>
      <c r="AR13" s="83"/>
      <c r="AS13" s="34"/>
      <c r="AT13" s="34"/>
      <c r="AU13" s="34"/>
      <c r="AV13" s="34"/>
      <c r="AW13" s="34"/>
      <c r="AX13" s="34"/>
      <c r="AY13" s="34"/>
      <c r="AZ13" s="34"/>
      <c r="BA13" s="34"/>
    </row>
    <row r="14" spans="1:53">
      <c r="A14" s="61">
        <v>8</v>
      </c>
      <c r="B14" s="61" t="s">
        <v>1126</v>
      </c>
      <c r="C14" s="61" t="s">
        <v>1127</v>
      </c>
      <c r="D14" s="61" t="s">
        <v>1133</v>
      </c>
      <c r="E14" s="83" t="s">
        <v>1096</v>
      </c>
      <c r="F14" s="61">
        <v>2019</v>
      </c>
      <c r="G14" s="83" t="s">
        <v>1129</v>
      </c>
      <c r="H14" s="84">
        <v>2017</v>
      </c>
      <c r="I14" s="84" t="s">
        <v>1096</v>
      </c>
      <c r="J14" s="61">
        <v>337007</v>
      </c>
      <c r="K14" s="61">
        <v>100</v>
      </c>
      <c r="L14" s="61">
        <v>2030</v>
      </c>
      <c r="M14" s="61">
        <v>55</v>
      </c>
      <c r="N14" s="84" t="s">
        <v>1096</v>
      </c>
      <c r="O14" s="61">
        <v>151653.15</v>
      </c>
      <c r="P14" s="61">
        <v>302416</v>
      </c>
      <c r="Q14" s="84" t="s">
        <v>1096</v>
      </c>
      <c r="R14" s="83">
        <v>18.662142707043852</v>
      </c>
      <c r="S14" s="83" t="s">
        <v>1154</v>
      </c>
      <c r="T14" s="83" t="s">
        <v>1137</v>
      </c>
      <c r="U14" s="83" t="s">
        <v>1155</v>
      </c>
      <c r="V14" s="83"/>
      <c r="W14" s="83"/>
      <c r="X14" s="83"/>
      <c r="Y14" s="83"/>
      <c r="Z14" s="83"/>
      <c r="AA14" s="83"/>
      <c r="AB14" s="83"/>
      <c r="AC14" s="83"/>
      <c r="AD14" s="83"/>
      <c r="AE14" s="83"/>
      <c r="AF14" s="83"/>
      <c r="AG14" s="83"/>
      <c r="AH14" s="83"/>
      <c r="AI14" s="83"/>
      <c r="AJ14" s="83"/>
      <c r="AK14" s="83"/>
      <c r="AL14" s="83"/>
      <c r="AM14" s="83"/>
      <c r="AN14" s="83"/>
      <c r="AO14" s="83"/>
      <c r="AP14" s="83"/>
      <c r="AQ14" s="83"/>
      <c r="AR14" s="83"/>
      <c r="AS14" s="34"/>
      <c r="AT14" s="34"/>
      <c r="AU14" s="34"/>
      <c r="AV14" s="34"/>
      <c r="AW14" s="34"/>
      <c r="AX14" s="34"/>
      <c r="AY14" s="34"/>
      <c r="AZ14" s="34"/>
      <c r="BA14" s="34"/>
    </row>
    <row r="15" spans="1:53">
      <c r="A15" s="61">
        <v>8</v>
      </c>
      <c r="B15" s="61" t="s">
        <v>1126</v>
      </c>
      <c r="C15" s="61" t="s">
        <v>1141</v>
      </c>
      <c r="D15" s="61" t="s">
        <v>1151</v>
      </c>
      <c r="E15" s="83" t="s">
        <v>1096</v>
      </c>
      <c r="F15" s="61">
        <v>2019</v>
      </c>
      <c r="G15" s="83" t="s">
        <v>1129</v>
      </c>
      <c r="H15" s="84">
        <v>2017</v>
      </c>
      <c r="I15" s="84" t="s">
        <v>1096</v>
      </c>
      <c r="J15" s="61">
        <v>5264365</v>
      </c>
      <c r="K15" s="61">
        <v>100</v>
      </c>
      <c r="L15" s="61">
        <v>2030</v>
      </c>
      <c r="M15" s="61">
        <v>18</v>
      </c>
      <c r="N15" s="84" t="s">
        <v>1096</v>
      </c>
      <c r="O15" s="61">
        <v>4316779.3</v>
      </c>
      <c r="P15" s="61">
        <v>5227733</v>
      </c>
      <c r="Q15" s="84" t="s">
        <v>1096</v>
      </c>
      <c r="R15" s="83">
        <v>3.865824484265644</v>
      </c>
      <c r="S15" s="83" t="s">
        <v>1154</v>
      </c>
      <c r="T15" s="83" t="s">
        <v>1137</v>
      </c>
      <c r="U15" s="83" t="s">
        <v>1156</v>
      </c>
      <c r="V15" s="83"/>
      <c r="W15" s="83"/>
      <c r="X15" s="83"/>
      <c r="Y15" s="83"/>
      <c r="Z15" s="83"/>
      <c r="AA15" s="83"/>
      <c r="AB15" s="83"/>
      <c r="AC15" s="83"/>
      <c r="AD15" s="83"/>
      <c r="AE15" s="83"/>
      <c r="AF15" s="83"/>
      <c r="AG15" s="83"/>
      <c r="AH15" s="83"/>
      <c r="AI15" s="83"/>
      <c r="AJ15" s="83"/>
      <c r="AK15" s="83"/>
      <c r="AL15" s="83"/>
      <c r="AM15" s="83"/>
      <c r="AN15" s="83"/>
      <c r="AO15" s="83"/>
      <c r="AP15" s="83"/>
      <c r="AQ15" s="83"/>
      <c r="AR15" s="83"/>
      <c r="AS15" s="34"/>
      <c r="AT15" s="34"/>
      <c r="AU15" s="34"/>
      <c r="AV15" s="34"/>
      <c r="AW15" s="34"/>
      <c r="AX15" s="34"/>
      <c r="AY15" s="34"/>
      <c r="AZ15" s="34"/>
      <c r="BA15" s="34"/>
    </row>
    <row r="16" spans="1:53">
      <c r="A16" s="61">
        <v>10</v>
      </c>
      <c r="B16" s="61" t="s">
        <v>1126</v>
      </c>
      <c r="C16" s="61" t="s">
        <v>1157</v>
      </c>
      <c r="D16" s="61" t="s">
        <v>1158</v>
      </c>
      <c r="E16" s="83" t="s">
        <v>1096</v>
      </c>
      <c r="F16" s="61">
        <v>2018</v>
      </c>
      <c r="G16" s="83" t="s">
        <v>1129</v>
      </c>
      <c r="H16" s="84">
        <v>2011</v>
      </c>
      <c r="I16" s="84" t="s">
        <v>1096</v>
      </c>
      <c r="J16" s="61">
        <v>188349</v>
      </c>
      <c r="K16" s="61">
        <v>100</v>
      </c>
      <c r="L16" s="61">
        <v>2025</v>
      </c>
      <c r="M16" s="61">
        <v>100</v>
      </c>
      <c r="N16" s="84" t="s">
        <v>1096</v>
      </c>
      <c r="O16" s="61">
        <v>0</v>
      </c>
      <c r="P16" s="61">
        <v>0</v>
      </c>
      <c r="Q16" s="84" t="s">
        <v>1096</v>
      </c>
      <c r="R16" s="83">
        <v>100</v>
      </c>
      <c r="S16" s="83" t="s">
        <v>1130</v>
      </c>
      <c r="T16" s="83" t="s">
        <v>1159</v>
      </c>
      <c r="U16" s="83" t="s">
        <v>1160</v>
      </c>
      <c r="V16" s="83"/>
      <c r="W16" s="83"/>
      <c r="X16" s="83"/>
      <c r="Y16" s="83"/>
      <c r="Z16" s="83"/>
      <c r="AA16" s="83"/>
      <c r="AB16" s="83"/>
      <c r="AC16" s="83"/>
      <c r="AD16" s="83"/>
      <c r="AE16" s="83"/>
      <c r="AF16" s="83"/>
      <c r="AG16" s="83"/>
      <c r="AH16" s="83"/>
      <c r="AI16" s="83"/>
      <c r="AJ16" s="83"/>
      <c r="AK16" s="83"/>
      <c r="AL16" s="83"/>
      <c r="AM16" s="83"/>
      <c r="AN16" s="83"/>
      <c r="AO16" s="83"/>
      <c r="AP16" s="83"/>
      <c r="AQ16" s="83"/>
      <c r="AR16" s="83"/>
      <c r="AS16" s="34"/>
      <c r="AT16" s="34"/>
      <c r="AU16" s="34"/>
      <c r="AV16" s="34"/>
      <c r="AW16" s="34"/>
      <c r="AX16" s="34"/>
      <c r="AY16" s="34"/>
      <c r="AZ16" s="34"/>
      <c r="BA16" s="34"/>
    </row>
    <row r="17" spans="1:53">
      <c r="A17" s="61">
        <v>10</v>
      </c>
      <c r="B17" s="61" t="s">
        <v>1126</v>
      </c>
      <c r="C17" s="61" t="s">
        <v>1157</v>
      </c>
      <c r="D17" s="61" t="s">
        <v>1158</v>
      </c>
      <c r="E17" s="83" t="s">
        <v>1096</v>
      </c>
      <c r="F17" s="61">
        <v>2018</v>
      </c>
      <c r="G17" s="83" t="s">
        <v>1129</v>
      </c>
      <c r="H17" s="84">
        <v>2011</v>
      </c>
      <c r="I17" s="84" t="s">
        <v>1096</v>
      </c>
      <c r="J17" s="61">
        <v>188349</v>
      </c>
      <c r="K17" s="61">
        <v>100</v>
      </c>
      <c r="L17" s="61">
        <v>2040</v>
      </c>
      <c r="M17" s="61">
        <v>100</v>
      </c>
      <c r="N17" s="84" t="s">
        <v>1096</v>
      </c>
      <c r="O17" s="61">
        <v>0</v>
      </c>
      <c r="P17" s="61">
        <v>0</v>
      </c>
      <c r="Q17" s="84" t="s">
        <v>1096</v>
      </c>
      <c r="R17" s="83">
        <v>100</v>
      </c>
      <c r="S17" s="83" t="s">
        <v>1130</v>
      </c>
      <c r="T17" s="83" t="s">
        <v>1159</v>
      </c>
      <c r="U17" s="83" t="s">
        <v>1161</v>
      </c>
      <c r="V17" s="83"/>
      <c r="W17" s="83"/>
      <c r="X17" s="83"/>
      <c r="Y17" s="83"/>
      <c r="Z17" s="83"/>
      <c r="AA17" s="83"/>
      <c r="AB17" s="83"/>
      <c r="AC17" s="83"/>
      <c r="AD17" s="83"/>
      <c r="AE17" s="83"/>
      <c r="AF17" s="83"/>
      <c r="AG17" s="83"/>
      <c r="AH17" s="83"/>
      <c r="AI17" s="83"/>
      <c r="AJ17" s="83"/>
      <c r="AK17" s="83"/>
      <c r="AL17" s="83"/>
      <c r="AM17" s="83"/>
      <c r="AN17" s="83"/>
      <c r="AO17" s="83"/>
      <c r="AP17" s="83"/>
      <c r="AQ17" s="83"/>
      <c r="AR17" s="83"/>
      <c r="AS17" s="34"/>
      <c r="AT17" s="34"/>
      <c r="AU17" s="34"/>
      <c r="AV17" s="34"/>
      <c r="AW17" s="34"/>
      <c r="AX17" s="34"/>
      <c r="AY17" s="34"/>
      <c r="AZ17" s="34"/>
      <c r="BA17" s="34"/>
    </row>
    <row r="18" spans="1:53">
      <c r="A18" s="61">
        <v>11</v>
      </c>
      <c r="B18" s="61" t="s">
        <v>1126</v>
      </c>
      <c r="C18" s="61" t="s">
        <v>1127</v>
      </c>
      <c r="D18" s="61" t="s">
        <v>1128</v>
      </c>
      <c r="E18" s="83" t="s">
        <v>1096</v>
      </c>
      <c r="F18" s="61">
        <v>2010</v>
      </c>
      <c r="G18" s="83" t="s">
        <v>1162</v>
      </c>
      <c r="H18" s="84">
        <v>2010</v>
      </c>
      <c r="I18" s="84" t="s">
        <v>1096</v>
      </c>
      <c r="J18" s="61">
        <v>3964</v>
      </c>
      <c r="K18" s="61">
        <v>23</v>
      </c>
      <c r="L18" s="61">
        <v>2020</v>
      </c>
      <c r="M18" s="61">
        <v>20</v>
      </c>
      <c r="N18" s="84" t="s">
        <v>1096</v>
      </c>
      <c r="O18" s="61">
        <v>3171.2</v>
      </c>
      <c r="P18" s="61">
        <v>1232</v>
      </c>
      <c r="Q18" s="84" t="s">
        <v>1096</v>
      </c>
      <c r="R18" s="83">
        <v>344.60141271442978</v>
      </c>
      <c r="S18" s="83" t="s">
        <v>1143</v>
      </c>
      <c r="T18" s="83" t="s">
        <v>1131</v>
      </c>
      <c r="U18" s="83" t="s">
        <v>1163</v>
      </c>
      <c r="V18" s="83"/>
      <c r="W18" s="83"/>
      <c r="X18" s="83"/>
      <c r="Y18" s="83"/>
      <c r="Z18" s="83"/>
      <c r="AA18" s="83"/>
      <c r="AB18" s="83"/>
      <c r="AC18" s="83"/>
      <c r="AD18" s="83"/>
      <c r="AE18" s="83"/>
      <c r="AF18" s="83"/>
      <c r="AG18" s="83"/>
      <c r="AH18" s="83"/>
      <c r="AI18" s="83"/>
      <c r="AJ18" s="83"/>
      <c r="AK18" s="83"/>
      <c r="AL18" s="83"/>
      <c r="AM18" s="83"/>
      <c r="AN18" s="83"/>
      <c r="AO18" s="83"/>
      <c r="AP18" s="83"/>
      <c r="AQ18" s="83"/>
      <c r="AR18" s="83"/>
      <c r="AS18" s="34"/>
      <c r="AT18" s="34"/>
      <c r="AU18" s="34"/>
      <c r="AV18" s="34"/>
      <c r="AW18" s="34"/>
      <c r="AX18" s="34"/>
      <c r="AY18" s="34"/>
      <c r="AZ18" s="34"/>
      <c r="BA18" s="34"/>
    </row>
    <row r="19" spans="1:53">
      <c r="A19" s="61">
        <v>12</v>
      </c>
      <c r="B19" s="61" t="s">
        <v>1126</v>
      </c>
      <c r="C19" s="61" t="s">
        <v>1164</v>
      </c>
      <c r="D19" s="61" t="s">
        <v>1165</v>
      </c>
      <c r="E19" s="83" t="s">
        <v>1096</v>
      </c>
      <c r="F19" s="61">
        <v>2018</v>
      </c>
      <c r="G19" s="83"/>
      <c r="H19" s="84">
        <v>2017</v>
      </c>
      <c r="I19" s="84" t="s">
        <v>1096</v>
      </c>
      <c r="J19" s="61">
        <v>651065</v>
      </c>
      <c r="K19" s="61">
        <v>26</v>
      </c>
      <c r="L19" s="61">
        <v>2027</v>
      </c>
      <c r="M19" s="61">
        <v>60</v>
      </c>
      <c r="N19" s="84" t="s">
        <v>1096</v>
      </c>
      <c r="O19" s="61">
        <v>260426</v>
      </c>
      <c r="P19" s="61">
        <v>556281</v>
      </c>
      <c r="Q19" s="84" t="s">
        <v>1096</v>
      </c>
      <c r="R19" s="83">
        <v>24.26383438417567</v>
      </c>
      <c r="S19" s="83" t="s">
        <v>1130</v>
      </c>
      <c r="T19" s="83" t="s">
        <v>1131</v>
      </c>
      <c r="U19" s="83" t="s">
        <v>1166</v>
      </c>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34"/>
      <c r="AT19" s="34"/>
      <c r="AU19" s="34"/>
      <c r="AV19" s="34"/>
      <c r="AW19" s="34"/>
      <c r="AX19" s="34"/>
      <c r="AY19" s="34"/>
      <c r="AZ19" s="34"/>
      <c r="BA19" s="34"/>
    </row>
    <row r="20" spans="1:53">
      <c r="A20" s="61">
        <v>13</v>
      </c>
      <c r="B20" s="61" t="s">
        <v>1126</v>
      </c>
      <c r="C20" s="61" t="s">
        <v>1127</v>
      </c>
      <c r="D20" s="61" t="s">
        <v>1128</v>
      </c>
      <c r="E20" s="83" t="s">
        <v>1096</v>
      </c>
      <c r="F20" s="61">
        <v>2013</v>
      </c>
      <c r="G20" s="83" t="s">
        <v>1129</v>
      </c>
      <c r="H20" s="84">
        <v>2012</v>
      </c>
      <c r="I20" s="84" t="s">
        <v>1096</v>
      </c>
      <c r="J20" s="61">
        <v>385000</v>
      </c>
      <c r="K20" s="61">
        <v>94</v>
      </c>
      <c r="L20" s="61">
        <v>2020</v>
      </c>
      <c r="M20" s="61">
        <v>10</v>
      </c>
      <c r="N20" s="84" t="s">
        <v>1096</v>
      </c>
      <c r="O20" s="61">
        <v>346500</v>
      </c>
      <c r="P20" s="61">
        <v>265588</v>
      </c>
      <c r="Q20" s="84" t="s">
        <v>1096</v>
      </c>
      <c r="R20" s="83">
        <v>310.16103896103897</v>
      </c>
      <c r="S20" s="83" t="s">
        <v>1143</v>
      </c>
      <c r="T20" s="83" t="s">
        <v>1159</v>
      </c>
      <c r="U20" s="83" t="s">
        <v>1167</v>
      </c>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34"/>
      <c r="AT20" s="34"/>
      <c r="AU20" s="34"/>
      <c r="AV20" s="34"/>
      <c r="AW20" s="34"/>
      <c r="AX20" s="34"/>
      <c r="AY20" s="34"/>
      <c r="AZ20" s="34"/>
      <c r="BA20" s="34"/>
    </row>
    <row r="21" spans="1:53">
      <c r="A21" s="61">
        <v>14</v>
      </c>
      <c r="B21" s="61" t="s">
        <v>1126</v>
      </c>
      <c r="C21" s="61" t="s">
        <v>1127</v>
      </c>
      <c r="D21" s="61" t="s">
        <v>1133</v>
      </c>
      <c r="E21" s="83" t="s">
        <v>1096</v>
      </c>
      <c r="F21" s="61">
        <v>2012</v>
      </c>
      <c r="G21" s="83" t="s">
        <v>1129</v>
      </c>
      <c r="H21" s="84">
        <v>2012</v>
      </c>
      <c r="I21" s="84" t="s">
        <v>1096</v>
      </c>
      <c r="J21" s="61">
        <v>160400</v>
      </c>
      <c r="K21" s="61">
        <v>100</v>
      </c>
      <c r="L21" s="61">
        <v>2020</v>
      </c>
      <c r="M21" s="61">
        <v>7</v>
      </c>
      <c r="N21" s="84" t="s">
        <v>1096</v>
      </c>
      <c r="O21" s="61">
        <v>149172</v>
      </c>
      <c r="P21" s="61">
        <v>50550</v>
      </c>
      <c r="Q21" s="84" t="s">
        <v>1096</v>
      </c>
      <c r="R21" s="83">
        <v>978.3576772354827</v>
      </c>
      <c r="S21" s="83" t="s">
        <v>1130</v>
      </c>
      <c r="T21" s="83" t="s">
        <v>1159</v>
      </c>
      <c r="U21" s="83" t="s">
        <v>1168</v>
      </c>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34"/>
      <c r="AT21" s="34"/>
      <c r="AU21" s="34"/>
      <c r="AV21" s="34"/>
      <c r="AW21" s="34"/>
      <c r="AX21" s="34"/>
      <c r="AY21" s="34"/>
      <c r="AZ21" s="34"/>
      <c r="BA21" s="34"/>
    </row>
    <row r="22" spans="1:53">
      <c r="A22" s="61">
        <v>14</v>
      </c>
      <c r="B22" s="61" t="s">
        <v>1126</v>
      </c>
      <c r="C22" s="61" t="s">
        <v>1127</v>
      </c>
      <c r="D22" s="61" t="s">
        <v>1133</v>
      </c>
      <c r="E22" s="83" t="s">
        <v>1096</v>
      </c>
      <c r="F22" s="61">
        <v>2012</v>
      </c>
      <c r="G22" s="83" t="s">
        <v>1129</v>
      </c>
      <c r="H22" s="84">
        <v>2012</v>
      </c>
      <c r="I22" s="84" t="s">
        <v>1096</v>
      </c>
      <c r="J22" s="61">
        <v>160400</v>
      </c>
      <c r="K22" s="61">
        <v>100</v>
      </c>
      <c r="L22" s="61">
        <v>2036</v>
      </c>
      <c r="M22" s="61">
        <v>52</v>
      </c>
      <c r="N22" s="84" t="s">
        <v>1096</v>
      </c>
      <c r="O22" s="61">
        <v>76992</v>
      </c>
      <c r="P22" s="61">
        <v>50550</v>
      </c>
      <c r="Q22" s="84" t="s">
        <v>1096</v>
      </c>
      <c r="R22" s="83">
        <v>131.70199501246881</v>
      </c>
      <c r="S22" s="83" t="s">
        <v>1130</v>
      </c>
      <c r="T22" s="83" t="s">
        <v>1159</v>
      </c>
      <c r="U22" s="83" t="s">
        <v>1169</v>
      </c>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34"/>
      <c r="AT22" s="34"/>
      <c r="AU22" s="34"/>
      <c r="AV22" s="34"/>
      <c r="AW22" s="34"/>
      <c r="AX22" s="34"/>
      <c r="AY22" s="34"/>
      <c r="AZ22" s="34"/>
      <c r="BA22" s="34"/>
    </row>
    <row r="23" spans="1:53">
      <c r="A23" s="61">
        <v>14</v>
      </c>
      <c r="B23" s="61" t="s">
        <v>1126</v>
      </c>
      <c r="C23" s="61" t="s">
        <v>1170</v>
      </c>
      <c r="D23" s="61" t="s">
        <v>1171</v>
      </c>
      <c r="E23" s="83" t="s">
        <v>1096</v>
      </c>
      <c r="F23" s="61">
        <v>2011</v>
      </c>
      <c r="G23" s="83" t="s">
        <v>1129</v>
      </c>
      <c r="H23" s="84">
        <v>2011</v>
      </c>
      <c r="I23" s="84" t="s">
        <v>1096</v>
      </c>
      <c r="J23" s="61">
        <v>154270</v>
      </c>
      <c r="K23" s="61">
        <v>100</v>
      </c>
      <c r="L23" s="61">
        <v>2019</v>
      </c>
      <c r="M23" s="61">
        <v>100</v>
      </c>
      <c r="N23" s="84" t="s">
        <v>1096</v>
      </c>
      <c r="O23" s="61">
        <v>0</v>
      </c>
      <c r="P23" s="61">
        <v>0</v>
      </c>
      <c r="Q23" s="84" t="s">
        <v>1096</v>
      </c>
      <c r="R23" s="83">
        <v>100</v>
      </c>
      <c r="S23" s="83" t="s">
        <v>1143</v>
      </c>
      <c r="T23" s="83" t="s">
        <v>1144</v>
      </c>
      <c r="U23" s="83" t="s">
        <v>1172</v>
      </c>
      <c r="V23" s="83"/>
      <c r="W23" s="83"/>
      <c r="X23" s="83"/>
      <c r="Y23" s="83"/>
      <c r="Z23" s="83"/>
      <c r="AA23" s="83"/>
      <c r="AB23" s="83"/>
      <c r="AC23" s="83"/>
      <c r="AD23" s="83"/>
      <c r="AE23" s="83"/>
      <c r="AF23" s="83"/>
      <c r="AG23" s="83"/>
      <c r="AH23" s="83"/>
      <c r="AI23" s="83"/>
      <c r="AJ23" s="83"/>
      <c r="AK23" s="83"/>
      <c r="AL23" s="83"/>
      <c r="AM23" s="83"/>
      <c r="AN23" s="83"/>
      <c r="AO23" s="83"/>
      <c r="AP23" s="83"/>
      <c r="AQ23" s="83"/>
      <c r="AR23" s="83"/>
      <c r="AS23" s="34"/>
      <c r="AT23" s="34"/>
      <c r="AU23" s="34"/>
      <c r="AV23" s="34"/>
      <c r="AW23" s="34"/>
      <c r="AX23" s="34"/>
      <c r="AY23" s="34"/>
      <c r="AZ23" s="34"/>
      <c r="BA23" s="34"/>
    </row>
    <row r="24" spans="1:53">
      <c r="A24" s="61">
        <v>14</v>
      </c>
      <c r="B24" s="61" t="s">
        <v>1126</v>
      </c>
      <c r="C24" s="61" t="s">
        <v>1127</v>
      </c>
      <c r="D24" s="61" t="s">
        <v>1173</v>
      </c>
      <c r="E24" s="83" t="s">
        <v>1096</v>
      </c>
      <c r="F24" s="61">
        <v>2020</v>
      </c>
      <c r="G24" s="83" t="s">
        <v>1129</v>
      </c>
      <c r="H24" s="84">
        <v>2015</v>
      </c>
      <c r="I24" s="84" t="s">
        <v>1096</v>
      </c>
      <c r="J24" s="61">
        <v>38400000</v>
      </c>
      <c r="K24" s="61">
        <v>100</v>
      </c>
      <c r="L24" s="61">
        <v>2030</v>
      </c>
      <c r="M24" s="61">
        <v>75</v>
      </c>
      <c r="N24" s="84" t="s">
        <v>1096</v>
      </c>
      <c r="O24" s="61">
        <v>9600000</v>
      </c>
      <c r="P24" s="61">
        <v>25100000</v>
      </c>
      <c r="Q24" s="84" t="s">
        <v>1096</v>
      </c>
      <c r="R24" s="83">
        <v>46.180555555555557</v>
      </c>
      <c r="S24" s="83" t="s">
        <v>1154</v>
      </c>
      <c r="T24" s="83" t="s">
        <v>1159</v>
      </c>
      <c r="U24" s="83" t="s">
        <v>1174</v>
      </c>
      <c r="V24" s="83"/>
      <c r="W24" s="83"/>
      <c r="X24" s="83"/>
      <c r="Y24" s="83"/>
      <c r="Z24" s="83"/>
      <c r="AA24" s="83"/>
      <c r="AB24" s="83"/>
      <c r="AC24" s="83"/>
      <c r="AD24" s="83"/>
      <c r="AE24" s="83"/>
      <c r="AF24" s="83"/>
      <c r="AG24" s="83"/>
      <c r="AH24" s="83"/>
      <c r="AI24" s="83"/>
      <c r="AJ24" s="83"/>
      <c r="AK24" s="83"/>
      <c r="AL24" s="83"/>
      <c r="AM24" s="83"/>
      <c r="AN24" s="83"/>
      <c r="AO24" s="83"/>
      <c r="AP24" s="83"/>
      <c r="AQ24" s="83"/>
      <c r="AR24" s="83"/>
      <c r="AS24" s="34"/>
      <c r="AT24" s="34"/>
      <c r="AU24" s="34"/>
      <c r="AV24" s="34"/>
      <c r="AW24" s="34"/>
      <c r="AX24" s="34"/>
      <c r="AY24" s="34"/>
      <c r="AZ24" s="34"/>
      <c r="BA24" s="34"/>
    </row>
    <row r="25" spans="1:53">
      <c r="A25" s="61">
        <v>15</v>
      </c>
      <c r="B25" s="61" t="s">
        <v>1126</v>
      </c>
      <c r="C25" s="61" t="s">
        <v>1164</v>
      </c>
      <c r="D25" s="61" t="s">
        <v>1165</v>
      </c>
      <c r="E25" s="83" t="s">
        <v>1096</v>
      </c>
      <c r="F25" s="61">
        <v>2011</v>
      </c>
      <c r="G25" s="83" t="s">
        <v>1129</v>
      </c>
      <c r="H25" s="84">
        <v>2008</v>
      </c>
      <c r="I25" s="84" t="s">
        <v>1096</v>
      </c>
      <c r="J25" s="61">
        <v>1354054</v>
      </c>
      <c r="K25" s="61">
        <v>100</v>
      </c>
      <c r="L25" s="61">
        <v>2020</v>
      </c>
      <c r="M25" s="61">
        <v>20</v>
      </c>
      <c r="N25" s="84" t="s">
        <v>1096</v>
      </c>
      <c r="O25" s="61">
        <v>1083243.2</v>
      </c>
      <c r="P25" s="61">
        <v>990955</v>
      </c>
      <c r="Q25" s="84" t="s">
        <v>1096</v>
      </c>
      <c r="R25" s="83">
        <v>134.07847840632644</v>
      </c>
      <c r="S25" s="83" t="s">
        <v>1143</v>
      </c>
      <c r="T25" s="83" t="s">
        <v>1144</v>
      </c>
      <c r="U25" s="83" t="s">
        <v>1175</v>
      </c>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34"/>
      <c r="AT25" s="34"/>
      <c r="AU25" s="34"/>
      <c r="AV25" s="34"/>
      <c r="AW25" s="34"/>
      <c r="AX25" s="34"/>
      <c r="AY25" s="34"/>
      <c r="AZ25" s="34"/>
      <c r="BA25" s="34"/>
    </row>
    <row r="26" spans="1:53">
      <c r="A26" s="61">
        <v>15</v>
      </c>
      <c r="B26" s="61" t="s">
        <v>1126</v>
      </c>
      <c r="C26" s="61" t="s">
        <v>1164</v>
      </c>
      <c r="D26" s="61" t="s">
        <v>1165</v>
      </c>
      <c r="E26" s="83" t="s">
        <v>1096</v>
      </c>
      <c r="F26" s="61">
        <v>2009</v>
      </c>
      <c r="G26" s="83" t="s">
        <v>1162</v>
      </c>
      <c r="H26" s="84">
        <v>2008</v>
      </c>
      <c r="I26" s="84" t="s">
        <v>1096</v>
      </c>
      <c r="J26" s="61">
        <v>865777</v>
      </c>
      <c r="K26" s="61">
        <v>64</v>
      </c>
      <c r="L26" s="61">
        <v>2020</v>
      </c>
      <c r="M26" s="61">
        <v>30</v>
      </c>
      <c r="N26" s="84" t="s">
        <v>1096</v>
      </c>
      <c r="O26" s="61">
        <v>606043.9</v>
      </c>
      <c r="P26" s="61">
        <v>597179</v>
      </c>
      <c r="Q26" s="84" t="s">
        <v>1096</v>
      </c>
      <c r="R26" s="83">
        <v>103.41308058156625</v>
      </c>
      <c r="S26" s="83" t="s">
        <v>1143</v>
      </c>
      <c r="T26" s="83" t="s">
        <v>1144</v>
      </c>
      <c r="U26" s="83" t="s">
        <v>1176</v>
      </c>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34"/>
      <c r="AT26" s="34"/>
      <c r="AU26" s="34"/>
      <c r="AV26" s="34"/>
      <c r="AW26" s="34"/>
      <c r="AX26" s="34"/>
      <c r="AY26" s="34"/>
      <c r="AZ26" s="34"/>
      <c r="BA26" s="34"/>
    </row>
    <row r="27" spans="1:53">
      <c r="A27" s="61">
        <v>15</v>
      </c>
      <c r="B27" s="61" t="s">
        <v>1126</v>
      </c>
      <c r="C27" s="61" t="s">
        <v>1127</v>
      </c>
      <c r="D27" s="61" t="s">
        <v>1133</v>
      </c>
      <c r="E27" s="83" t="s">
        <v>1096</v>
      </c>
      <c r="F27" s="61">
        <v>2019</v>
      </c>
      <c r="G27" s="83" t="s">
        <v>1129</v>
      </c>
      <c r="H27" s="84">
        <v>2015</v>
      </c>
      <c r="I27" s="84" t="s">
        <v>1096</v>
      </c>
      <c r="J27" s="61">
        <v>8766803</v>
      </c>
      <c r="K27" s="61">
        <v>100</v>
      </c>
      <c r="L27" s="61">
        <v>2030</v>
      </c>
      <c r="M27" s="61">
        <v>26</v>
      </c>
      <c r="N27" s="84" t="s">
        <v>1096</v>
      </c>
      <c r="O27" s="61">
        <v>6487434.2199999997</v>
      </c>
      <c r="P27" s="61">
        <v>6525042</v>
      </c>
      <c r="Q27" s="84" t="s">
        <v>1096</v>
      </c>
      <c r="R27" s="83">
        <v>98.350079182886745</v>
      </c>
      <c r="S27" s="83" t="s">
        <v>1154</v>
      </c>
      <c r="T27" s="83" t="s">
        <v>1137</v>
      </c>
      <c r="U27" s="83" t="s">
        <v>1177</v>
      </c>
      <c r="V27" s="83"/>
      <c r="W27" s="83"/>
      <c r="X27" s="83"/>
      <c r="Y27" s="83"/>
      <c r="Z27" s="83"/>
      <c r="AA27" s="83"/>
      <c r="AB27" s="83"/>
      <c r="AC27" s="83"/>
      <c r="AD27" s="83"/>
      <c r="AE27" s="83"/>
      <c r="AF27" s="83"/>
      <c r="AG27" s="83"/>
      <c r="AH27" s="83"/>
      <c r="AI27" s="83"/>
      <c r="AJ27" s="83"/>
      <c r="AK27" s="83"/>
      <c r="AL27" s="83"/>
      <c r="AM27" s="83"/>
      <c r="AN27" s="83"/>
      <c r="AO27" s="83"/>
      <c r="AP27" s="83"/>
      <c r="AQ27" s="83"/>
      <c r="AR27" s="83"/>
      <c r="AS27" s="34"/>
      <c r="AT27" s="34"/>
      <c r="AU27" s="34"/>
      <c r="AV27" s="34"/>
      <c r="AW27" s="34"/>
      <c r="AX27" s="34"/>
      <c r="AY27" s="34"/>
      <c r="AZ27" s="34"/>
      <c r="BA27" s="34"/>
    </row>
    <row r="28" spans="1:53">
      <c r="A28" s="61">
        <v>16</v>
      </c>
      <c r="B28" s="61" t="s">
        <v>1126</v>
      </c>
      <c r="C28" s="61" t="s">
        <v>1127</v>
      </c>
      <c r="D28" s="61" t="s">
        <v>1133</v>
      </c>
      <c r="E28" s="83" t="s">
        <v>1096</v>
      </c>
      <c r="F28" s="61">
        <v>2015</v>
      </c>
      <c r="G28" s="83" t="s">
        <v>1129</v>
      </c>
      <c r="H28" s="84">
        <v>2010</v>
      </c>
      <c r="I28" s="84" t="s">
        <v>1096</v>
      </c>
      <c r="J28" s="61">
        <v>1750939</v>
      </c>
      <c r="K28" s="61">
        <v>100</v>
      </c>
      <c r="L28" s="61">
        <v>2020</v>
      </c>
      <c r="M28" s="61">
        <v>100</v>
      </c>
      <c r="N28" s="84" t="s">
        <v>1096</v>
      </c>
      <c r="O28" s="61">
        <v>0</v>
      </c>
      <c r="P28" s="61">
        <v>0</v>
      </c>
      <c r="Q28" s="84" t="s">
        <v>1096</v>
      </c>
      <c r="R28" s="83">
        <v>100</v>
      </c>
      <c r="S28" s="83" t="s">
        <v>1130</v>
      </c>
      <c r="T28" s="83" t="s">
        <v>1159</v>
      </c>
      <c r="U28" s="83" t="s">
        <v>1178</v>
      </c>
      <c r="V28" s="83"/>
      <c r="W28" s="83"/>
      <c r="X28" s="83"/>
      <c r="Y28" s="83"/>
      <c r="Z28" s="83"/>
      <c r="AA28" s="83"/>
      <c r="AB28" s="83"/>
      <c r="AC28" s="83"/>
      <c r="AD28" s="83"/>
      <c r="AE28" s="83"/>
      <c r="AF28" s="83"/>
      <c r="AG28" s="83"/>
      <c r="AH28" s="83"/>
      <c r="AI28" s="83"/>
      <c r="AJ28" s="83"/>
      <c r="AK28" s="83"/>
      <c r="AL28" s="83"/>
      <c r="AM28" s="83"/>
      <c r="AN28" s="83"/>
      <c r="AO28" s="83"/>
      <c r="AP28" s="83"/>
      <c r="AQ28" s="83"/>
      <c r="AR28" s="83"/>
      <c r="AS28" s="34"/>
      <c r="AT28" s="34"/>
      <c r="AU28" s="34"/>
      <c r="AV28" s="34"/>
      <c r="AW28" s="34"/>
      <c r="AX28" s="34"/>
      <c r="AY28" s="34"/>
      <c r="AZ28" s="34"/>
      <c r="BA28" s="34"/>
    </row>
    <row r="29" spans="1:53">
      <c r="A29" s="61">
        <v>16</v>
      </c>
      <c r="B29" s="61" t="s">
        <v>1126</v>
      </c>
      <c r="C29" s="61" t="s">
        <v>1127</v>
      </c>
      <c r="D29" s="61" t="s">
        <v>1133</v>
      </c>
      <c r="E29" s="83" t="s">
        <v>1096</v>
      </c>
      <c r="F29" s="61">
        <v>2015</v>
      </c>
      <c r="G29" s="83" t="s">
        <v>1129</v>
      </c>
      <c r="H29" s="61">
        <v>2010</v>
      </c>
      <c r="I29" s="84" t="s">
        <v>1096</v>
      </c>
      <c r="J29" s="61">
        <v>1750939</v>
      </c>
      <c r="K29" s="61">
        <v>100</v>
      </c>
      <c r="L29" s="61">
        <v>2040</v>
      </c>
      <c r="M29" s="61">
        <v>100</v>
      </c>
      <c r="N29" s="84" t="s">
        <v>1096</v>
      </c>
      <c r="O29" s="61">
        <v>0</v>
      </c>
      <c r="P29" s="61">
        <v>0</v>
      </c>
      <c r="Q29" s="84" t="s">
        <v>1096</v>
      </c>
      <c r="R29" s="83">
        <v>100</v>
      </c>
      <c r="S29" s="83" t="s">
        <v>1130</v>
      </c>
      <c r="T29" s="83" t="s">
        <v>1159</v>
      </c>
      <c r="U29" s="83" t="s">
        <v>1179</v>
      </c>
      <c r="V29" s="83"/>
      <c r="W29" s="83"/>
      <c r="X29" s="83"/>
      <c r="Y29" s="83"/>
      <c r="Z29" s="83"/>
      <c r="AA29" s="83"/>
      <c r="AB29" s="83"/>
      <c r="AC29" s="83"/>
      <c r="AD29" s="83"/>
      <c r="AE29" s="83"/>
      <c r="AF29" s="83"/>
      <c r="AG29" s="83"/>
      <c r="AH29" s="83"/>
      <c r="AI29" s="83"/>
      <c r="AJ29" s="83"/>
      <c r="AK29" s="83"/>
      <c r="AL29" s="83"/>
      <c r="AM29" s="83"/>
      <c r="AN29" s="83"/>
      <c r="AO29" s="83"/>
      <c r="AP29" s="83"/>
      <c r="AQ29" s="83"/>
      <c r="AR29" s="83"/>
      <c r="AS29" s="34"/>
      <c r="AT29" s="34"/>
      <c r="AU29" s="34"/>
      <c r="AV29" s="34"/>
      <c r="AW29" s="34"/>
      <c r="AX29" s="34"/>
      <c r="AY29" s="34"/>
      <c r="AZ29" s="34"/>
      <c r="BA29" s="34"/>
    </row>
    <row r="30" spans="1:53">
      <c r="A30" s="61">
        <v>16</v>
      </c>
      <c r="B30" s="61" t="s">
        <v>1126</v>
      </c>
      <c r="C30" s="61" t="s">
        <v>1127</v>
      </c>
      <c r="D30" s="61" t="s">
        <v>1128</v>
      </c>
      <c r="E30" s="83" t="s">
        <v>1096</v>
      </c>
      <c r="F30" s="61">
        <v>2015</v>
      </c>
      <c r="G30" s="83" t="s">
        <v>1129</v>
      </c>
      <c r="H30" s="61">
        <v>2010</v>
      </c>
      <c r="I30" s="84" t="s">
        <v>1096</v>
      </c>
      <c r="J30" s="61">
        <v>1785417</v>
      </c>
      <c r="K30" s="61">
        <v>100</v>
      </c>
      <c r="L30" s="61">
        <v>2020</v>
      </c>
      <c r="M30" s="61">
        <v>50</v>
      </c>
      <c r="N30" s="84" t="s">
        <v>1096</v>
      </c>
      <c r="O30" s="61">
        <v>892708.5</v>
      </c>
      <c r="P30" s="61">
        <v>791409</v>
      </c>
      <c r="Q30" s="84" t="s">
        <v>1096</v>
      </c>
      <c r="R30" s="83">
        <v>111.34743312066593</v>
      </c>
      <c r="S30" s="83" t="s">
        <v>1130</v>
      </c>
      <c r="T30" s="83" t="s">
        <v>1159</v>
      </c>
      <c r="U30" s="83" t="s">
        <v>1180</v>
      </c>
      <c r="V30" s="83"/>
      <c r="W30" s="83"/>
      <c r="X30" s="83"/>
      <c r="Y30" s="83"/>
      <c r="Z30" s="83"/>
      <c r="AA30" s="83"/>
      <c r="AB30" s="83"/>
      <c r="AC30" s="83"/>
      <c r="AD30" s="83"/>
      <c r="AE30" s="83"/>
      <c r="AF30" s="83"/>
      <c r="AG30" s="83"/>
      <c r="AH30" s="83"/>
      <c r="AI30" s="83"/>
      <c r="AJ30" s="83"/>
      <c r="AK30" s="83"/>
      <c r="AL30" s="83"/>
      <c r="AM30" s="83"/>
      <c r="AN30" s="83"/>
      <c r="AO30" s="83"/>
      <c r="AP30" s="83"/>
      <c r="AQ30" s="83"/>
      <c r="AR30" s="83"/>
      <c r="AS30" s="34"/>
      <c r="AT30" s="34"/>
      <c r="AU30" s="34"/>
      <c r="AV30" s="34"/>
      <c r="AW30" s="34"/>
      <c r="AX30" s="34"/>
      <c r="AY30" s="34"/>
      <c r="AZ30" s="34"/>
      <c r="BA30" s="34"/>
    </row>
    <row r="31" spans="1:53">
      <c r="A31" s="61">
        <v>18</v>
      </c>
      <c r="B31" s="61" t="s">
        <v>1126</v>
      </c>
      <c r="C31" s="61" t="s">
        <v>1127</v>
      </c>
      <c r="D31" s="61" t="s">
        <v>1173</v>
      </c>
      <c r="E31" s="83" t="s">
        <v>1096</v>
      </c>
      <c r="F31" s="61">
        <v>2016</v>
      </c>
      <c r="G31" s="83" t="s">
        <v>1129</v>
      </c>
      <c r="H31" s="84">
        <v>2013</v>
      </c>
      <c r="I31" s="84" t="s">
        <v>1096</v>
      </c>
      <c r="J31" s="61">
        <v>379288</v>
      </c>
      <c r="K31" s="61">
        <v>100</v>
      </c>
      <c r="L31" s="61">
        <v>2030</v>
      </c>
      <c r="M31" s="61">
        <v>35</v>
      </c>
      <c r="N31" s="84" t="s">
        <v>1096</v>
      </c>
      <c r="O31" s="61">
        <v>246537.2</v>
      </c>
      <c r="P31" s="61">
        <v>491674</v>
      </c>
      <c r="Q31" s="84" t="s">
        <v>1096</v>
      </c>
      <c r="R31" s="83">
        <v>-84.659376817314865</v>
      </c>
      <c r="S31" s="83" t="s">
        <v>1130</v>
      </c>
      <c r="T31" s="83" t="s">
        <v>1137</v>
      </c>
      <c r="U31" s="83" t="s">
        <v>1181</v>
      </c>
      <c r="V31" s="83"/>
      <c r="W31" s="83"/>
      <c r="X31" s="83"/>
      <c r="Y31" s="83"/>
      <c r="Z31" s="83"/>
      <c r="AA31" s="83"/>
      <c r="AB31" s="83"/>
      <c r="AC31" s="83"/>
      <c r="AD31" s="83"/>
      <c r="AE31" s="83"/>
      <c r="AF31" s="83"/>
      <c r="AG31" s="83"/>
      <c r="AH31" s="83"/>
      <c r="AI31" s="83"/>
      <c r="AJ31" s="83"/>
      <c r="AK31" s="83"/>
      <c r="AL31" s="83"/>
      <c r="AM31" s="83"/>
      <c r="AN31" s="83"/>
      <c r="AO31" s="83"/>
      <c r="AP31" s="83"/>
      <c r="AQ31" s="83"/>
      <c r="AR31" s="83"/>
      <c r="AS31" s="34"/>
      <c r="AT31" s="34"/>
      <c r="AU31" s="34"/>
      <c r="AV31" s="34"/>
      <c r="AW31" s="34"/>
      <c r="AX31" s="34"/>
      <c r="AY31" s="34"/>
      <c r="AZ31" s="34"/>
      <c r="BA31" s="34"/>
    </row>
    <row r="32" spans="1:53">
      <c r="A32" s="61">
        <v>19</v>
      </c>
      <c r="B32" s="61" t="s">
        <v>1126</v>
      </c>
      <c r="C32" s="61" t="s">
        <v>1127</v>
      </c>
      <c r="D32" s="61" t="s">
        <v>1128</v>
      </c>
      <c r="E32" s="83" t="s">
        <v>1096</v>
      </c>
      <c r="F32" s="61">
        <v>2016</v>
      </c>
      <c r="G32" s="83" t="s">
        <v>1129</v>
      </c>
      <c r="H32" s="84">
        <v>2014</v>
      </c>
      <c r="I32" s="84" t="s">
        <v>1096</v>
      </c>
      <c r="J32" s="61">
        <v>33189.21</v>
      </c>
      <c r="K32" s="61">
        <v>100</v>
      </c>
      <c r="L32" s="61">
        <v>2020</v>
      </c>
      <c r="M32" s="61">
        <v>30</v>
      </c>
      <c r="N32" s="84" t="s">
        <v>1096</v>
      </c>
      <c r="O32" s="61">
        <v>23232.446999999996</v>
      </c>
      <c r="P32" s="61">
        <v>25958</v>
      </c>
      <c r="Q32" s="84" t="s">
        <v>1096</v>
      </c>
      <c r="R32" s="83">
        <v>72.626113527056916</v>
      </c>
      <c r="S32" s="83" t="s">
        <v>1130</v>
      </c>
      <c r="T32" s="83" t="s">
        <v>1159</v>
      </c>
      <c r="U32" s="83" t="s">
        <v>1182</v>
      </c>
      <c r="V32" s="83"/>
      <c r="W32" s="83"/>
      <c r="X32" s="83"/>
      <c r="Y32" s="83"/>
      <c r="Z32" s="83"/>
      <c r="AA32" s="83"/>
      <c r="AB32" s="83"/>
      <c r="AC32" s="83"/>
      <c r="AD32" s="83"/>
      <c r="AE32" s="83"/>
      <c r="AF32" s="83"/>
      <c r="AG32" s="83"/>
      <c r="AH32" s="83"/>
      <c r="AI32" s="83"/>
      <c r="AJ32" s="83"/>
      <c r="AK32" s="83"/>
      <c r="AL32" s="83"/>
      <c r="AM32" s="83"/>
      <c r="AN32" s="83"/>
      <c r="AO32" s="83"/>
      <c r="AP32" s="83"/>
      <c r="AQ32" s="83"/>
      <c r="AR32" s="83"/>
      <c r="AS32" s="34"/>
      <c r="AT32" s="34"/>
      <c r="AU32" s="34"/>
      <c r="AV32" s="34"/>
      <c r="AW32" s="34"/>
      <c r="AX32" s="34"/>
      <c r="AY32" s="34"/>
      <c r="AZ32" s="34"/>
      <c r="BA32" s="34"/>
    </row>
    <row r="33" spans="1:53">
      <c r="A33" s="61">
        <v>89</v>
      </c>
      <c r="B33" s="61" t="s">
        <v>1126</v>
      </c>
      <c r="C33" s="61" t="s">
        <v>1127</v>
      </c>
      <c r="D33" s="61" t="s">
        <v>1128</v>
      </c>
      <c r="E33" s="83" t="s">
        <v>1096</v>
      </c>
      <c r="F33" s="61">
        <v>2019</v>
      </c>
      <c r="G33" s="83" t="s">
        <v>1129</v>
      </c>
      <c r="H33" s="84">
        <v>2018</v>
      </c>
      <c r="I33" s="84" t="s">
        <v>1096</v>
      </c>
      <c r="J33" s="61">
        <v>150157</v>
      </c>
      <c r="K33" s="61">
        <v>100</v>
      </c>
      <c r="L33" s="61">
        <v>2025</v>
      </c>
      <c r="M33" s="61">
        <v>20</v>
      </c>
      <c r="N33" s="84" t="s">
        <v>1096</v>
      </c>
      <c r="O33" s="61">
        <v>120125.6</v>
      </c>
      <c r="P33" s="61">
        <v>138307</v>
      </c>
      <c r="Q33" s="84" t="s">
        <v>1096</v>
      </c>
      <c r="R33" s="83">
        <v>39.458699894110836</v>
      </c>
      <c r="S33" s="83" t="s">
        <v>1130</v>
      </c>
      <c r="T33" s="83" t="s">
        <v>1137</v>
      </c>
      <c r="U33" s="83" t="s">
        <v>1183</v>
      </c>
      <c r="V33" s="83"/>
      <c r="W33" s="83"/>
      <c r="X33" s="83"/>
      <c r="Y33" s="83"/>
      <c r="Z33" s="83"/>
      <c r="AA33" s="83"/>
      <c r="AB33" s="83"/>
      <c r="AC33" s="83"/>
      <c r="AD33" s="83"/>
      <c r="AE33" s="83"/>
      <c r="AF33" s="83"/>
      <c r="AG33" s="83"/>
      <c r="AH33" s="83"/>
      <c r="AI33" s="83"/>
      <c r="AJ33" s="83"/>
      <c r="AK33" s="83"/>
      <c r="AL33" s="83"/>
      <c r="AM33" s="83"/>
      <c r="AN33" s="83"/>
      <c r="AO33" s="83"/>
      <c r="AP33" s="83"/>
      <c r="AQ33" s="83"/>
      <c r="AR33" s="83"/>
      <c r="AS33" s="34"/>
      <c r="AT33" s="34"/>
      <c r="AU33" s="34"/>
      <c r="AV33" s="34"/>
      <c r="AW33" s="34"/>
      <c r="AX33" s="34"/>
      <c r="AY33" s="34"/>
      <c r="AZ33" s="34"/>
      <c r="BA33" s="34"/>
    </row>
    <row r="34" spans="1:53">
      <c r="A34" s="61">
        <v>89</v>
      </c>
      <c r="B34" s="61" t="s">
        <v>1126</v>
      </c>
      <c r="C34" s="61" t="s">
        <v>1170</v>
      </c>
      <c r="D34" s="61" t="s">
        <v>1171</v>
      </c>
      <c r="E34" s="83" t="s">
        <v>1096</v>
      </c>
      <c r="F34" s="61">
        <v>2015</v>
      </c>
      <c r="G34" s="83" t="s">
        <v>1129</v>
      </c>
      <c r="H34" s="84">
        <v>2014</v>
      </c>
      <c r="I34" s="84" t="s">
        <v>1096</v>
      </c>
      <c r="J34" s="61">
        <v>205197</v>
      </c>
      <c r="K34" s="61">
        <v>100</v>
      </c>
      <c r="L34" s="61">
        <v>2020</v>
      </c>
      <c r="M34" s="61">
        <v>96</v>
      </c>
      <c r="N34" s="84" t="s">
        <v>1096</v>
      </c>
      <c r="O34" s="61">
        <v>8207.8799999999992</v>
      </c>
      <c r="P34" s="61"/>
      <c r="Q34" s="84" t="s">
        <v>1096</v>
      </c>
      <c r="R34" s="83">
        <v>104.16666666666667</v>
      </c>
      <c r="S34" s="83" t="s">
        <v>1130</v>
      </c>
      <c r="T34" s="83" t="s">
        <v>1144</v>
      </c>
      <c r="U34" s="83" t="s">
        <v>1184</v>
      </c>
      <c r="V34" s="83"/>
      <c r="W34" s="83"/>
      <c r="X34" s="83"/>
      <c r="Y34" s="83"/>
      <c r="Z34" s="83"/>
      <c r="AA34" s="83"/>
      <c r="AB34" s="83"/>
      <c r="AC34" s="83"/>
      <c r="AD34" s="83"/>
      <c r="AE34" s="83"/>
      <c r="AF34" s="83"/>
      <c r="AG34" s="83"/>
      <c r="AH34" s="83"/>
      <c r="AI34" s="83"/>
      <c r="AJ34" s="83"/>
      <c r="AK34" s="83"/>
      <c r="AL34" s="83"/>
      <c r="AM34" s="83"/>
      <c r="AN34" s="83"/>
      <c r="AO34" s="83"/>
      <c r="AP34" s="83"/>
      <c r="AQ34" s="83"/>
      <c r="AR34" s="83"/>
      <c r="AS34" s="34"/>
      <c r="AT34" s="34"/>
      <c r="AU34" s="34"/>
      <c r="AV34" s="34"/>
      <c r="AW34" s="34"/>
      <c r="AX34" s="34"/>
      <c r="AY34" s="34"/>
      <c r="AZ34" s="34"/>
      <c r="BA34" s="34"/>
    </row>
    <row r="35" spans="1:53">
      <c r="A35" s="61">
        <v>89</v>
      </c>
      <c r="B35" s="61" t="s">
        <v>1126</v>
      </c>
      <c r="C35" s="61" t="s">
        <v>1127</v>
      </c>
      <c r="D35" s="61" t="s">
        <v>1133</v>
      </c>
      <c r="E35" s="83" t="s">
        <v>1096</v>
      </c>
      <c r="F35" s="61">
        <v>2015</v>
      </c>
      <c r="G35" s="83" t="s">
        <v>1129</v>
      </c>
      <c r="H35" s="84">
        <v>2014</v>
      </c>
      <c r="I35" s="84" t="s">
        <v>1096</v>
      </c>
      <c r="J35" s="61">
        <v>214161</v>
      </c>
      <c r="K35" s="61">
        <v>100</v>
      </c>
      <c r="L35" s="61">
        <v>2040</v>
      </c>
      <c r="M35" s="61">
        <v>92</v>
      </c>
      <c r="N35" s="84" t="s">
        <v>1096</v>
      </c>
      <c r="O35" s="61">
        <v>17132.88</v>
      </c>
      <c r="P35" s="61"/>
      <c r="Q35" s="84" t="s">
        <v>1096</v>
      </c>
      <c r="R35" s="83">
        <v>108.69565217391303</v>
      </c>
      <c r="S35" s="83" t="s">
        <v>1130</v>
      </c>
      <c r="T35" s="83" t="s">
        <v>1144</v>
      </c>
      <c r="U35" s="83" t="s">
        <v>1185</v>
      </c>
      <c r="V35" s="83"/>
      <c r="W35" s="83"/>
      <c r="X35" s="83"/>
      <c r="Y35" s="83"/>
      <c r="Z35" s="83"/>
      <c r="AA35" s="83"/>
      <c r="AB35" s="83"/>
      <c r="AC35" s="83"/>
      <c r="AD35" s="83"/>
      <c r="AE35" s="83"/>
      <c r="AF35" s="83"/>
      <c r="AG35" s="83"/>
      <c r="AH35" s="83"/>
      <c r="AI35" s="83"/>
      <c r="AJ35" s="83"/>
      <c r="AK35" s="83"/>
      <c r="AL35" s="83"/>
      <c r="AM35" s="83"/>
      <c r="AN35" s="83"/>
      <c r="AO35" s="83"/>
      <c r="AP35" s="83"/>
      <c r="AQ35" s="83"/>
      <c r="AR35" s="83"/>
      <c r="AS35" s="34"/>
      <c r="AT35" s="34"/>
      <c r="AU35" s="34"/>
      <c r="AV35" s="34"/>
      <c r="AW35" s="34"/>
      <c r="AX35" s="34"/>
      <c r="AY35" s="34"/>
      <c r="AZ35" s="34"/>
      <c r="BA35" s="34"/>
    </row>
    <row r="36" spans="1:53">
      <c r="A36" s="61">
        <v>20</v>
      </c>
      <c r="B36" s="61" t="s">
        <v>1126</v>
      </c>
      <c r="C36" s="61" t="s">
        <v>1127</v>
      </c>
      <c r="D36" s="61" t="s">
        <v>1133</v>
      </c>
      <c r="E36" s="83" t="s">
        <v>1096</v>
      </c>
      <c r="F36" s="61">
        <v>2018</v>
      </c>
      <c r="G36" s="83" t="s">
        <v>1129</v>
      </c>
      <c r="H36" s="84">
        <v>2017</v>
      </c>
      <c r="I36" s="84" t="s">
        <v>1096</v>
      </c>
      <c r="J36" s="61">
        <v>1004000</v>
      </c>
      <c r="K36" s="61">
        <v>70</v>
      </c>
      <c r="L36" s="61">
        <v>2025</v>
      </c>
      <c r="M36" s="61">
        <v>25</v>
      </c>
      <c r="N36" s="84" t="s">
        <v>1096</v>
      </c>
      <c r="O36" s="61">
        <v>753000</v>
      </c>
      <c r="P36" s="61">
        <v>976000</v>
      </c>
      <c r="Q36" s="84" t="s">
        <v>1096</v>
      </c>
      <c r="R36" s="83">
        <v>11.155378486055776</v>
      </c>
      <c r="S36" s="83" t="s">
        <v>1130</v>
      </c>
      <c r="T36" s="83" t="s">
        <v>1159</v>
      </c>
      <c r="U36" s="83" t="s">
        <v>1186</v>
      </c>
      <c r="V36" s="83"/>
      <c r="W36" s="83"/>
      <c r="X36" s="83"/>
      <c r="Y36" s="83"/>
      <c r="Z36" s="83"/>
      <c r="AA36" s="83"/>
      <c r="AB36" s="83"/>
      <c r="AC36" s="83"/>
      <c r="AD36" s="83"/>
      <c r="AE36" s="83"/>
      <c r="AF36" s="83"/>
      <c r="AG36" s="83"/>
      <c r="AH36" s="83"/>
      <c r="AI36" s="83"/>
      <c r="AJ36" s="83"/>
      <c r="AK36" s="83"/>
      <c r="AL36" s="83"/>
      <c r="AM36" s="83"/>
      <c r="AN36" s="83"/>
      <c r="AO36" s="83"/>
      <c r="AP36" s="83"/>
      <c r="AQ36" s="83"/>
      <c r="AR36" s="83"/>
      <c r="AS36" s="34"/>
      <c r="AT36" s="34"/>
      <c r="AU36" s="34"/>
      <c r="AV36" s="34"/>
      <c r="AW36" s="34"/>
      <c r="AX36" s="34"/>
      <c r="AY36" s="34"/>
      <c r="AZ36" s="34"/>
      <c r="BA36" s="34"/>
    </row>
    <row r="37" spans="1:53">
      <c r="A37" s="61">
        <v>22</v>
      </c>
      <c r="B37" s="61" t="s">
        <v>1126</v>
      </c>
      <c r="C37" s="61" t="s">
        <v>1127</v>
      </c>
      <c r="D37" s="61" t="s">
        <v>1133</v>
      </c>
      <c r="E37" s="83" t="s">
        <v>1096</v>
      </c>
      <c r="F37" s="61">
        <v>2015</v>
      </c>
      <c r="G37" s="83" t="s">
        <v>1129</v>
      </c>
      <c r="H37" s="84">
        <v>2015</v>
      </c>
      <c r="I37" s="84" t="s">
        <v>1096</v>
      </c>
      <c r="J37" s="61">
        <v>379183.76</v>
      </c>
      <c r="K37" s="61">
        <v>100</v>
      </c>
      <c r="L37" s="61">
        <v>2020</v>
      </c>
      <c r="M37" s="61">
        <v>5</v>
      </c>
      <c r="N37" s="84" t="s">
        <v>1096</v>
      </c>
      <c r="O37" s="61">
        <v>360224.57200000004</v>
      </c>
      <c r="P37" s="61">
        <v>300349</v>
      </c>
      <c r="Q37" s="84" t="s">
        <v>1096</v>
      </c>
      <c r="R37" s="83">
        <v>415.81295570253405</v>
      </c>
      <c r="S37" s="83" t="s">
        <v>1130</v>
      </c>
      <c r="T37" s="83" t="s">
        <v>1131</v>
      </c>
      <c r="U37" s="83" t="s">
        <v>1187</v>
      </c>
      <c r="V37" s="83"/>
      <c r="W37" s="83"/>
      <c r="X37" s="83"/>
      <c r="Y37" s="83"/>
      <c r="Z37" s="83"/>
      <c r="AA37" s="83"/>
      <c r="AB37" s="83"/>
      <c r="AC37" s="83"/>
      <c r="AD37" s="83"/>
      <c r="AE37" s="83"/>
      <c r="AF37" s="83"/>
      <c r="AG37" s="83"/>
      <c r="AH37" s="83"/>
      <c r="AI37" s="83"/>
      <c r="AJ37" s="83"/>
      <c r="AK37" s="83"/>
      <c r="AL37" s="83"/>
      <c r="AM37" s="83"/>
      <c r="AN37" s="83"/>
      <c r="AO37" s="83"/>
      <c r="AP37" s="83"/>
      <c r="AQ37" s="83"/>
      <c r="AR37" s="83"/>
      <c r="AS37" s="34"/>
      <c r="AT37" s="34"/>
      <c r="AU37" s="34"/>
      <c r="AV37" s="34"/>
      <c r="AW37" s="34"/>
      <c r="AX37" s="34"/>
      <c r="AY37" s="34"/>
      <c r="AZ37" s="34"/>
      <c r="BA37" s="34"/>
    </row>
    <row r="38" spans="1:53">
      <c r="A38" s="61">
        <v>23</v>
      </c>
      <c r="B38" s="61" t="s">
        <v>1126</v>
      </c>
      <c r="C38" s="61" t="s">
        <v>1127</v>
      </c>
      <c r="D38" s="61" t="s">
        <v>1133</v>
      </c>
      <c r="E38" s="83" t="s">
        <v>1096</v>
      </c>
      <c r="F38" s="61">
        <v>2018</v>
      </c>
      <c r="G38" s="83" t="s">
        <v>1129</v>
      </c>
      <c r="H38" s="84">
        <v>2017</v>
      </c>
      <c r="I38" s="84" t="s">
        <v>1096</v>
      </c>
      <c r="J38" s="61">
        <v>11719</v>
      </c>
      <c r="K38" s="61">
        <v>100</v>
      </c>
      <c r="L38" s="61">
        <v>2019</v>
      </c>
      <c r="M38" s="61">
        <v>100</v>
      </c>
      <c r="N38" s="84" t="s">
        <v>1096</v>
      </c>
      <c r="O38" s="61">
        <v>0</v>
      </c>
      <c r="P38" s="61">
        <v>0</v>
      </c>
      <c r="Q38" s="84" t="s">
        <v>1096</v>
      </c>
      <c r="R38" s="83">
        <v>100</v>
      </c>
      <c r="S38" s="83" t="s">
        <v>1143</v>
      </c>
      <c r="T38" s="83" t="s">
        <v>1131</v>
      </c>
      <c r="U38" s="83" t="s">
        <v>1188</v>
      </c>
      <c r="V38" s="83"/>
      <c r="W38" s="83"/>
      <c r="X38" s="83"/>
      <c r="Y38" s="83"/>
      <c r="Z38" s="83"/>
      <c r="AA38" s="83"/>
      <c r="AB38" s="83"/>
      <c r="AC38" s="83"/>
      <c r="AD38" s="83"/>
      <c r="AE38" s="83"/>
      <c r="AF38" s="83"/>
      <c r="AG38" s="83"/>
      <c r="AH38" s="83"/>
      <c r="AI38" s="83"/>
      <c r="AJ38" s="83"/>
      <c r="AK38" s="83"/>
      <c r="AL38" s="83"/>
      <c r="AM38" s="83"/>
      <c r="AN38" s="83"/>
      <c r="AO38" s="83"/>
      <c r="AP38" s="83"/>
      <c r="AQ38" s="83"/>
      <c r="AR38" s="83"/>
      <c r="AS38" s="34"/>
      <c r="AT38" s="34"/>
      <c r="AU38" s="34"/>
      <c r="AV38" s="34"/>
      <c r="AW38" s="34"/>
      <c r="AX38" s="34"/>
      <c r="AY38" s="34"/>
      <c r="AZ38" s="34"/>
      <c r="BA38" s="34"/>
    </row>
    <row r="39" spans="1:53">
      <c r="A39" s="61">
        <v>23</v>
      </c>
      <c r="B39" s="61" t="s">
        <v>1126</v>
      </c>
      <c r="C39" s="61" t="s">
        <v>1141</v>
      </c>
      <c r="D39" s="61" t="s">
        <v>1189</v>
      </c>
      <c r="E39" s="83" t="s">
        <v>1096</v>
      </c>
      <c r="F39" s="61">
        <v>2018</v>
      </c>
      <c r="G39" s="83" t="s">
        <v>1129</v>
      </c>
      <c r="H39" s="84">
        <v>2017</v>
      </c>
      <c r="I39" s="84" t="s">
        <v>1096</v>
      </c>
      <c r="J39" s="61">
        <v>62340</v>
      </c>
      <c r="K39" s="61">
        <v>100</v>
      </c>
      <c r="L39" s="61">
        <v>2019</v>
      </c>
      <c r="M39" s="61">
        <v>100</v>
      </c>
      <c r="N39" s="84" t="s">
        <v>1096</v>
      </c>
      <c r="O39" s="61">
        <v>0</v>
      </c>
      <c r="P39" s="61">
        <v>0</v>
      </c>
      <c r="Q39" s="84" t="s">
        <v>1096</v>
      </c>
      <c r="R39" s="83">
        <v>100</v>
      </c>
      <c r="S39" s="83" t="s">
        <v>1143</v>
      </c>
      <c r="T39" s="83" t="s">
        <v>1131</v>
      </c>
      <c r="U39" s="83" t="s">
        <v>1190</v>
      </c>
      <c r="V39" s="83"/>
      <c r="W39" s="83"/>
      <c r="X39" s="83"/>
      <c r="Y39" s="83"/>
      <c r="Z39" s="83"/>
      <c r="AA39" s="83"/>
      <c r="AB39" s="83"/>
      <c r="AC39" s="83"/>
      <c r="AD39" s="83"/>
      <c r="AE39" s="83"/>
      <c r="AF39" s="83"/>
      <c r="AG39" s="83"/>
      <c r="AH39" s="83"/>
      <c r="AI39" s="83"/>
      <c r="AJ39" s="83"/>
      <c r="AK39" s="83"/>
      <c r="AL39" s="83"/>
      <c r="AM39" s="83"/>
      <c r="AN39" s="83"/>
      <c r="AO39" s="83"/>
      <c r="AP39" s="83"/>
      <c r="AQ39" s="83"/>
      <c r="AR39" s="83"/>
      <c r="AS39" s="34"/>
      <c r="AT39" s="34"/>
      <c r="AU39" s="34"/>
      <c r="AV39" s="34"/>
      <c r="AW39" s="34"/>
      <c r="AX39" s="34"/>
      <c r="AY39" s="34"/>
      <c r="AZ39" s="34"/>
      <c r="BA39" s="34"/>
    </row>
    <row r="40" spans="1:53">
      <c r="A40" s="61">
        <v>27</v>
      </c>
      <c r="B40" s="61" t="s">
        <v>1126</v>
      </c>
      <c r="C40" s="61" t="s">
        <v>1127</v>
      </c>
      <c r="D40" s="61" t="s">
        <v>1133</v>
      </c>
      <c r="E40" s="83" t="s">
        <v>1096</v>
      </c>
      <c r="F40" s="61">
        <v>2017</v>
      </c>
      <c r="G40" s="83" t="s">
        <v>1129</v>
      </c>
      <c r="H40" s="84">
        <v>2007</v>
      </c>
      <c r="I40" s="84" t="s">
        <v>1096</v>
      </c>
      <c r="J40" s="61">
        <v>450733</v>
      </c>
      <c r="K40" s="61">
        <v>100</v>
      </c>
      <c r="L40" s="61">
        <v>2022</v>
      </c>
      <c r="M40" s="61">
        <v>60</v>
      </c>
      <c r="N40" s="84" t="s">
        <v>1096</v>
      </c>
      <c r="O40" s="61">
        <v>180293.2</v>
      </c>
      <c r="P40" s="61">
        <v>228610</v>
      </c>
      <c r="Q40" s="84" t="s">
        <v>1096</v>
      </c>
      <c r="R40" s="83">
        <v>82.133990633035523</v>
      </c>
      <c r="S40" s="83" t="s">
        <v>1130</v>
      </c>
      <c r="T40" s="83" t="s">
        <v>1137</v>
      </c>
      <c r="U40" s="83" t="s">
        <v>1191</v>
      </c>
      <c r="V40" s="83"/>
      <c r="W40" s="83"/>
      <c r="X40" s="83"/>
      <c r="Y40" s="83"/>
      <c r="Z40" s="83"/>
      <c r="AA40" s="83"/>
      <c r="AB40" s="83"/>
      <c r="AC40" s="83"/>
      <c r="AD40" s="83"/>
      <c r="AE40" s="83"/>
      <c r="AF40" s="83"/>
      <c r="AG40" s="83"/>
      <c r="AH40" s="83"/>
      <c r="AI40" s="83"/>
      <c r="AJ40" s="83"/>
      <c r="AK40" s="83"/>
      <c r="AL40" s="83"/>
      <c r="AM40" s="83"/>
      <c r="AN40" s="83"/>
      <c r="AO40" s="83"/>
      <c r="AP40" s="83"/>
      <c r="AQ40" s="83"/>
      <c r="AR40" s="83"/>
      <c r="AS40" s="34"/>
      <c r="AT40" s="34"/>
      <c r="AU40" s="34"/>
      <c r="AV40" s="34"/>
      <c r="AW40" s="34"/>
      <c r="AX40" s="34"/>
      <c r="AY40" s="34"/>
      <c r="AZ40" s="34"/>
      <c r="BA40" s="34"/>
    </row>
    <row r="41" spans="1:53">
      <c r="A41" s="61">
        <v>27</v>
      </c>
      <c r="B41" s="61" t="s">
        <v>1126</v>
      </c>
      <c r="C41" s="61" t="s">
        <v>1141</v>
      </c>
      <c r="D41" s="61" t="s">
        <v>1192</v>
      </c>
      <c r="E41" s="83" t="s">
        <v>1096</v>
      </c>
      <c r="F41" s="61">
        <v>2017</v>
      </c>
      <c r="G41" s="83" t="s">
        <v>1193</v>
      </c>
      <c r="H41" s="84">
        <v>2016</v>
      </c>
      <c r="I41" s="84" t="s">
        <v>1096</v>
      </c>
      <c r="J41" s="61">
        <v>26233018</v>
      </c>
      <c r="K41" s="61">
        <v>100</v>
      </c>
      <c r="L41" s="61">
        <v>2022</v>
      </c>
      <c r="M41" s="61">
        <v>13</v>
      </c>
      <c r="N41" s="84" t="s">
        <v>1096</v>
      </c>
      <c r="O41" s="61">
        <v>22822725.66</v>
      </c>
      <c r="P41" s="61">
        <v>24929174</v>
      </c>
      <c r="Q41" s="84" t="s">
        <v>1096</v>
      </c>
      <c r="R41" s="83">
        <v>38.232616738071201</v>
      </c>
      <c r="S41" s="83" t="s">
        <v>1130</v>
      </c>
      <c r="T41" s="83" t="s">
        <v>1137</v>
      </c>
      <c r="U41" s="83" t="s">
        <v>1194</v>
      </c>
      <c r="V41" s="83"/>
      <c r="W41" s="83"/>
      <c r="X41" s="83"/>
      <c r="Y41" s="83"/>
      <c r="Z41" s="83"/>
      <c r="AA41" s="83"/>
      <c r="AB41" s="83"/>
      <c r="AC41" s="83"/>
      <c r="AD41" s="83"/>
      <c r="AE41" s="83"/>
      <c r="AF41" s="83"/>
      <c r="AG41" s="83"/>
      <c r="AH41" s="83"/>
      <c r="AI41" s="83"/>
      <c r="AJ41" s="83"/>
      <c r="AK41" s="83"/>
      <c r="AL41" s="83"/>
      <c r="AM41" s="83"/>
      <c r="AN41" s="83"/>
      <c r="AO41" s="83"/>
      <c r="AP41" s="83"/>
      <c r="AQ41" s="83"/>
      <c r="AR41" s="83"/>
      <c r="AS41" s="34"/>
      <c r="AT41" s="34"/>
      <c r="AU41" s="34"/>
      <c r="AV41" s="34"/>
      <c r="AW41" s="34"/>
      <c r="AX41" s="34"/>
      <c r="AY41" s="34"/>
      <c r="AZ41" s="34"/>
      <c r="BA41" s="34"/>
    </row>
    <row r="42" spans="1:53">
      <c r="A42" s="61">
        <v>28</v>
      </c>
      <c r="B42" s="61" t="s">
        <v>1126</v>
      </c>
      <c r="C42" s="61" t="s">
        <v>1127</v>
      </c>
      <c r="D42" s="61" t="s">
        <v>1128</v>
      </c>
      <c r="E42" s="83" t="s">
        <v>1096</v>
      </c>
      <c r="F42" s="61">
        <v>2006</v>
      </c>
      <c r="G42" s="83" t="s">
        <v>1129</v>
      </c>
      <c r="H42" s="84">
        <v>2005</v>
      </c>
      <c r="I42" s="84" t="s">
        <v>1096</v>
      </c>
      <c r="J42" s="61">
        <v>1091759</v>
      </c>
      <c r="K42" s="61">
        <v>100</v>
      </c>
      <c r="L42" s="61">
        <v>2020</v>
      </c>
      <c r="M42" s="61">
        <v>35</v>
      </c>
      <c r="N42" s="84" t="s">
        <v>1096</v>
      </c>
      <c r="O42" s="61">
        <v>709643.35</v>
      </c>
      <c r="P42" s="61">
        <v>616900</v>
      </c>
      <c r="Q42" s="84" t="s">
        <v>1096</v>
      </c>
      <c r="R42" s="83">
        <v>124.27101585606346</v>
      </c>
      <c r="S42" s="83" t="s">
        <v>1143</v>
      </c>
      <c r="T42" s="83" t="s">
        <v>1159</v>
      </c>
      <c r="U42" s="83" t="s">
        <v>1195</v>
      </c>
      <c r="V42" s="83"/>
      <c r="W42" s="83"/>
      <c r="X42" s="83"/>
      <c r="Y42" s="83"/>
      <c r="Z42" s="83"/>
      <c r="AA42" s="83"/>
      <c r="AB42" s="83"/>
      <c r="AC42" s="83"/>
      <c r="AD42" s="83"/>
      <c r="AE42" s="83"/>
      <c r="AF42" s="83"/>
      <c r="AG42" s="83"/>
      <c r="AH42" s="83"/>
      <c r="AI42" s="83"/>
      <c r="AJ42" s="83"/>
      <c r="AK42" s="83"/>
      <c r="AL42" s="83"/>
      <c r="AM42" s="83"/>
      <c r="AN42" s="83"/>
      <c r="AO42" s="83"/>
      <c r="AP42" s="83"/>
      <c r="AQ42" s="83"/>
      <c r="AR42" s="83"/>
      <c r="AS42" s="34"/>
      <c r="AT42" s="34"/>
      <c r="AU42" s="34"/>
      <c r="AV42" s="34"/>
      <c r="AW42" s="34"/>
      <c r="AX42" s="34"/>
      <c r="AY42" s="34"/>
      <c r="AZ42" s="34"/>
      <c r="BA42" s="34"/>
    </row>
    <row r="43" spans="1:53">
      <c r="A43" s="61">
        <v>28</v>
      </c>
      <c r="B43" s="61" t="s">
        <v>1126</v>
      </c>
      <c r="C43" s="61" t="s">
        <v>1127</v>
      </c>
      <c r="D43" s="61" t="s">
        <v>1128</v>
      </c>
      <c r="E43" s="83" t="s">
        <v>1096</v>
      </c>
      <c r="F43" s="61">
        <v>2006</v>
      </c>
      <c r="G43" s="83" t="s">
        <v>1129</v>
      </c>
      <c r="H43" s="84">
        <v>2005</v>
      </c>
      <c r="I43" s="84" t="s">
        <v>1096</v>
      </c>
      <c r="J43" s="61">
        <v>1091759</v>
      </c>
      <c r="K43" s="61">
        <v>100</v>
      </c>
      <c r="L43" s="61">
        <v>2050</v>
      </c>
      <c r="M43" s="61">
        <v>80</v>
      </c>
      <c r="N43" s="84" t="s">
        <v>1096</v>
      </c>
      <c r="O43" s="61">
        <v>218351.8</v>
      </c>
      <c r="P43" s="61">
        <v>616900</v>
      </c>
      <c r="Q43" s="84" t="s">
        <v>1096</v>
      </c>
      <c r="R43" s="83">
        <v>54.368569437027773</v>
      </c>
      <c r="S43" s="83" t="s">
        <v>1130</v>
      </c>
      <c r="T43" s="83" t="s">
        <v>1159</v>
      </c>
      <c r="U43" s="83" t="s">
        <v>1196</v>
      </c>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34"/>
      <c r="AT43" s="34"/>
      <c r="AU43" s="34"/>
      <c r="AV43" s="34"/>
      <c r="AW43" s="34"/>
      <c r="AX43" s="34"/>
      <c r="AY43" s="34"/>
      <c r="AZ43" s="34"/>
      <c r="BA43" s="34"/>
    </row>
    <row r="44" spans="1:53">
      <c r="A44" s="61">
        <v>30</v>
      </c>
      <c r="B44" s="61" t="s">
        <v>1126</v>
      </c>
      <c r="C44" s="61" t="s">
        <v>1127</v>
      </c>
      <c r="D44" s="61" t="s">
        <v>1133</v>
      </c>
      <c r="E44" s="83" t="s">
        <v>1096</v>
      </c>
      <c r="F44" s="61">
        <v>2016</v>
      </c>
      <c r="G44" s="83" t="s">
        <v>1129</v>
      </c>
      <c r="H44" s="84">
        <v>2002</v>
      </c>
      <c r="I44" s="84" t="s">
        <v>1096</v>
      </c>
      <c r="J44" s="61">
        <v>699761</v>
      </c>
      <c r="K44" s="61">
        <v>95</v>
      </c>
      <c r="L44" s="61">
        <v>2020</v>
      </c>
      <c r="M44" s="61">
        <v>25</v>
      </c>
      <c r="N44" s="84" t="s">
        <v>1096</v>
      </c>
      <c r="O44" s="61">
        <v>524820.75</v>
      </c>
      <c r="P44" s="61">
        <v>474312</v>
      </c>
      <c r="Q44" s="84" t="s">
        <v>1096</v>
      </c>
      <c r="R44" s="83">
        <v>128.87200058305621</v>
      </c>
      <c r="S44" s="83" t="s">
        <v>1143</v>
      </c>
      <c r="T44" s="83" t="s">
        <v>1137</v>
      </c>
      <c r="U44" s="83" t="s">
        <v>1197</v>
      </c>
      <c r="V44" s="83"/>
      <c r="W44" s="83"/>
      <c r="X44" s="83"/>
      <c r="Y44" s="83"/>
      <c r="Z44" s="83"/>
      <c r="AA44" s="83"/>
      <c r="AB44" s="83"/>
      <c r="AC44" s="83"/>
      <c r="AD44" s="83"/>
      <c r="AE44" s="83"/>
      <c r="AF44" s="83"/>
      <c r="AG44" s="83"/>
      <c r="AH44" s="83"/>
      <c r="AI44" s="83"/>
      <c r="AJ44" s="83"/>
      <c r="AK44" s="83"/>
      <c r="AL44" s="83"/>
      <c r="AM44" s="83"/>
      <c r="AN44" s="83"/>
      <c r="AO44" s="83"/>
      <c r="AP44" s="83"/>
      <c r="AQ44" s="83"/>
      <c r="AR44" s="83"/>
      <c r="AS44" s="34"/>
      <c r="AT44" s="34"/>
      <c r="AU44" s="34"/>
      <c r="AV44" s="34"/>
      <c r="AW44" s="34"/>
      <c r="AX44" s="34"/>
      <c r="AY44" s="34"/>
      <c r="AZ44" s="34"/>
      <c r="BA44" s="34"/>
    </row>
    <row r="45" spans="1:53">
      <c r="A45" s="61">
        <v>30</v>
      </c>
      <c r="B45" s="61" t="s">
        <v>1126</v>
      </c>
      <c r="C45" s="61" t="s">
        <v>1127</v>
      </c>
      <c r="D45" s="61" t="s">
        <v>1133</v>
      </c>
      <c r="E45" s="83" t="s">
        <v>1096</v>
      </c>
      <c r="F45" s="61">
        <v>2016</v>
      </c>
      <c r="G45" s="83" t="s">
        <v>1129</v>
      </c>
      <c r="H45" s="84">
        <v>2002</v>
      </c>
      <c r="I45" s="84" t="s">
        <v>1096</v>
      </c>
      <c r="J45" s="61">
        <v>699761</v>
      </c>
      <c r="K45" s="61">
        <v>95</v>
      </c>
      <c r="L45" s="61">
        <v>2050</v>
      </c>
      <c r="M45" s="61">
        <v>50</v>
      </c>
      <c r="N45" s="84" t="s">
        <v>1096</v>
      </c>
      <c r="O45" s="61">
        <v>349880.5</v>
      </c>
      <c r="P45" s="61">
        <v>474312</v>
      </c>
      <c r="Q45" s="84" t="s">
        <v>1096</v>
      </c>
      <c r="R45" s="83">
        <v>64.436000291528103</v>
      </c>
      <c r="S45" s="83" t="s">
        <v>1130</v>
      </c>
      <c r="T45" s="83" t="s">
        <v>1137</v>
      </c>
      <c r="U45" s="83" t="s">
        <v>1198</v>
      </c>
      <c r="V45" s="83"/>
      <c r="W45" s="83"/>
      <c r="X45" s="83"/>
      <c r="Y45" s="83"/>
      <c r="Z45" s="83"/>
      <c r="AA45" s="83"/>
      <c r="AB45" s="83"/>
      <c r="AC45" s="83"/>
      <c r="AD45" s="83"/>
      <c r="AE45" s="83"/>
      <c r="AF45" s="83"/>
      <c r="AG45" s="83"/>
      <c r="AH45" s="83"/>
      <c r="AI45" s="83"/>
      <c r="AJ45" s="83"/>
      <c r="AK45" s="83"/>
      <c r="AL45" s="83"/>
      <c r="AM45" s="83"/>
      <c r="AN45" s="83"/>
      <c r="AO45" s="83"/>
      <c r="AP45" s="83"/>
      <c r="AQ45" s="83"/>
      <c r="AR45" s="83"/>
      <c r="AS45" s="34"/>
      <c r="AT45" s="34"/>
      <c r="AU45" s="34"/>
      <c r="AV45" s="34"/>
      <c r="AW45" s="34"/>
      <c r="AX45" s="34"/>
      <c r="AY45" s="34"/>
      <c r="AZ45" s="34"/>
      <c r="BA45" s="34"/>
    </row>
    <row r="46" spans="1:53">
      <c r="A46" s="61">
        <v>30</v>
      </c>
      <c r="B46" s="61" t="s">
        <v>1126</v>
      </c>
      <c r="C46" s="61" t="s">
        <v>1141</v>
      </c>
      <c r="D46" s="61" t="s">
        <v>1192</v>
      </c>
      <c r="E46" s="83" t="s">
        <v>1096</v>
      </c>
      <c r="F46" s="61">
        <v>2016</v>
      </c>
      <c r="G46" s="83" t="s">
        <v>1129</v>
      </c>
      <c r="H46" s="84">
        <v>2016</v>
      </c>
      <c r="I46" s="84" t="s">
        <v>1096</v>
      </c>
      <c r="J46" s="61">
        <v>47200000</v>
      </c>
      <c r="K46" s="61">
        <v>90</v>
      </c>
      <c r="L46" s="61">
        <v>2022</v>
      </c>
      <c r="M46" s="61">
        <v>5</v>
      </c>
      <c r="N46" s="84" t="s">
        <v>1096</v>
      </c>
      <c r="O46" s="61">
        <v>44840000</v>
      </c>
      <c r="P46" s="61">
        <v>42014727</v>
      </c>
      <c r="Q46" s="84" t="s">
        <v>1096</v>
      </c>
      <c r="R46" s="83">
        <v>219.71495762711862</v>
      </c>
      <c r="S46" s="83" t="s">
        <v>1143</v>
      </c>
      <c r="T46" s="83" t="s">
        <v>1137</v>
      </c>
      <c r="U46" s="83" t="s">
        <v>1199</v>
      </c>
      <c r="V46" s="83"/>
      <c r="W46" s="83"/>
      <c r="X46" s="83"/>
      <c r="Y46" s="83"/>
      <c r="Z46" s="83"/>
      <c r="AA46" s="83"/>
      <c r="AB46" s="83"/>
      <c r="AC46" s="83"/>
      <c r="AD46" s="83"/>
      <c r="AE46" s="83"/>
      <c r="AF46" s="83"/>
      <c r="AG46" s="83"/>
      <c r="AH46" s="83"/>
      <c r="AI46" s="83"/>
      <c r="AJ46" s="83"/>
      <c r="AK46" s="83"/>
      <c r="AL46" s="83"/>
      <c r="AM46" s="83"/>
      <c r="AN46" s="83"/>
      <c r="AO46" s="83"/>
      <c r="AP46" s="83"/>
      <c r="AQ46" s="83"/>
      <c r="AR46" s="83"/>
      <c r="AS46" s="34"/>
      <c r="AT46" s="34"/>
      <c r="AU46" s="34"/>
      <c r="AV46" s="34"/>
      <c r="AW46" s="34"/>
      <c r="AX46" s="34"/>
      <c r="AY46" s="34"/>
      <c r="AZ46" s="34"/>
      <c r="BA46" s="34"/>
    </row>
    <row r="47" spans="1:53">
      <c r="A47" s="61">
        <v>31</v>
      </c>
      <c r="B47" s="61" t="s">
        <v>1126</v>
      </c>
      <c r="C47" s="61" t="s">
        <v>1127</v>
      </c>
      <c r="D47" s="61" t="s">
        <v>1200</v>
      </c>
      <c r="E47" s="83" t="s">
        <v>1096</v>
      </c>
      <c r="F47" s="61">
        <v>2019</v>
      </c>
      <c r="G47" s="83" t="s">
        <v>1201</v>
      </c>
      <c r="H47" s="84">
        <v>2018</v>
      </c>
      <c r="I47" s="84" t="s">
        <v>1096</v>
      </c>
      <c r="J47" s="61">
        <v>2001609</v>
      </c>
      <c r="K47" s="61">
        <v>5</v>
      </c>
      <c r="L47" s="61">
        <v>2030</v>
      </c>
      <c r="M47" s="61">
        <v>50</v>
      </c>
      <c r="N47" s="84" t="s">
        <v>1096</v>
      </c>
      <c r="O47" s="61">
        <v>1000804.5</v>
      </c>
      <c r="P47" s="61">
        <v>1974441</v>
      </c>
      <c r="Q47" s="84" t="s">
        <v>1096</v>
      </c>
      <c r="R47" s="83">
        <v>2.7146160913545057</v>
      </c>
      <c r="S47" s="83" t="s">
        <v>1154</v>
      </c>
      <c r="T47" s="83" t="s">
        <v>1159</v>
      </c>
      <c r="U47" s="83" t="s">
        <v>1202</v>
      </c>
      <c r="V47" s="83"/>
      <c r="W47" s="83"/>
      <c r="X47" s="83"/>
      <c r="Y47" s="83"/>
      <c r="Z47" s="83"/>
      <c r="AA47" s="83"/>
      <c r="AB47" s="83"/>
      <c r="AC47" s="83"/>
      <c r="AD47" s="83"/>
      <c r="AE47" s="83"/>
      <c r="AF47" s="83"/>
      <c r="AG47" s="83"/>
      <c r="AH47" s="83"/>
      <c r="AI47" s="83"/>
      <c r="AJ47" s="83"/>
      <c r="AK47" s="83"/>
      <c r="AL47" s="83"/>
      <c r="AM47" s="83"/>
      <c r="AN47" s="83"/>
      <c r="AO47" s="83"/>
      <c r="AP47" s="83"/>
      <c r="AQ47" s="83"/>
      <c r="AR47" s="83"/>
      <c r="AS47" s="34"/>
      <c r="AT47" s="34"/>
      <c r="AU47" s="34"/>
      <c r="AV47" s="34"/>
      <c r="AW47" s="34"/>
      <c r="AX47" s="34"/>
      <c r="AY47" s="34"/>
      <c r="AZ47" s="34"/>
      <c r="BA47" s="34"/>
    </row>
    <row r="48" spans="1:53">
      <c r="A48" s="61">
        <v>31</v>
      </c>
      <c r="B48" s="61" t="s">
        <v>1126</v>
      </c>
      <c r="C48" s="61" t="s">
        <v>1164</v>
      </c>
      <c r="D48" s="61" t="s">
        <v>1165</v>
      </c>
      <c r="E48" s="83" t="s">
        <v>1096</v>
      </c>
      <c r="F48" s="61">
        <v>2018</v>
      </c>
      <c r="G48" s="83" t="s">
        <v>1201</v>
      </c>
      <c r="H48" s="84">
        <v>2017</v>
      </c>
      <c r="I48" s="84" t="s">
        <v>1096</v>
      </c>
      <c r="J48" s="61">
        <v>388377</v>
      </c>
      <c r="K48" s="61">
        <v>20</v>
      </c>
      <c r="L48" s="61">
        <v>2019</v>
      </c>
      <c r="M48" s="61">
        <v>100</v>
      </c>
      <c r="N48" s="84" t="s">
        <v>1096</v>
      </c>
      <c r="O48" s="61">
        <v>0</v>
      </c>
      <c r="P48" s="61">
        <v>367572</v>
      </c>
      <c r="Q48" s="84" t="s">
        <v>1096</v>
      </c>
      <c r="R48" s="83">
        <v>5.3569083648104803</v>
      </c>
      <c r="S48" s="83" t="s">
        <v>1130</v>
      </c>
      <c r="T48" s="83" t="s">
        <v>1131</v>
      </c>
      <c r="U48" s="83" t="s">
        <v>1203</v>
      </c>
      <c r="V48" s="83"/>
      <c r="W48" s="83"/>
      <c r="X48" s="83"/>
      <c r="Y48" s="83"/>
      <c r="Z48" s="83"/>
      <c r="AA48" s="83"/>
      <c r="AB48" s="83"/>
      <c r="AC48" s="83"/>
      <c r="AD48" s="83"/>
      <c r="AE48" s="83"/>
      <c r="AF48" s="83"/>
      <c r="AG48" s="83"/>
      <c r="AH48" s="83"/>
      <c r="AI48" s="83"/>
      <c r="AJ48" s="83"/>
      <c r="AK48" s="83"/>
      <c r="AL48" s="83"/>
      <c r="AM48" s="83"/>
      <c r="AN48" s="83"/>
      <c r="AO48" s="83"/>
      <c r="AP48" s="83"/>
      <c r="AQ48" s="83"/>
      <c r="AR48" s="83"/>
      <c r="AS48" s="34"/>
      <c r="AT48" s="34"/>
      <c r="AU48" s="34"/>
      <c r="AV48" s="34"/>
      <c r="AW48" s="34"/>
      <c r="AX48" s="34"/>
      <c r="AY48" s="34"/>
      <c r="AZ48" s="34"/>
      <c r="BA48" s="34"/>
    </row>
    <row r="49" spans="1:53">
      <c r="A49" s="61">
        <v>31</v>
      </c>
      <c r="B49" s="61" t="s">
        <v>1126</v>
      </c>
      <c r="C49" s="61" t="s">
        <v>1127</v>
      </c>
      <c r="D49" s="61" t="s">
        <v>1128</v>
      </c>
      <c r="E49" s="83" t="s">
        <v>1096</v>
      </c>
      <c r="F49" s="61">
        <v>2017</v>
      </c>
      <c r="G49" s="83" t="s">
        <v>1201</v>
      </c>
      <c r="H49" s="84">
        <v>2017</v>
      </c>
      <c r="I49" s="84" t="s">
        <v>1096</v>
      </c>
      <c r="J49" s="61">
        <v>1925233</v>
      </c>
      <c r="K49" s="61">
        <v>95</v>
      </c>
      <c r="L49" s="61">
        <v>2019</v>
      </c>
      <c r="M49" s="61">
        <v>100</v>
      </c>
      <c r="N49" s="84" t="s">
        <v>1096</v>
      </c>
      <c r="O49" s="61">
        <v>0</v>
      </c>
      <c r="P49" s="61">
        <v>1968858</v>
      </c>
      <c r="Q49" s="84" t="s">
        <v>1096</v>
      </c>
      <c r="R49" s="83">
        <v>-2.265959496850511</v>
      </c>
      <c r="S49" s="83" t="s">
        <v>1130</v>
      </c>
      <c r="T49" s="83" t="s">
        <v>1131</v>
      </c>
      <c r="U49" s="83" t="s">
        <v>1204</v>
      </c>
      <c r="V49" s="83"/>
      <c r="W49" s="83"/>
      <c r="X49" s="83"/>
      <c r="Y49" s="83"/>
      <c r="Z49" s="83"/>
      <c r="AA49" s="83"/>
      <c r="AB49" s="83"/>
      <c r="AC49" s="83"/>
      <c r="AD49" s="83"/>
      <c r="AE49" s="83"/>
      <c r="AF49" s="83"/>
      <c r="AG49" s="83"/>
      <c r="AH49" s="83"/>
      <c r="AI49" s="83"/>
      <c r="AJ49" s="83"/>
      <c r="AK49" s="83"/>
      <c r="AL49" s="83"/>
      <c r="AM49" s="83"/>
      <c r="AN49" s="83"/>
      <c r="AO49" s="83"/>
      <c r="AP49" s="83"/>
      <c r="AQ49" s="83"/>
      <c r="AR49" s="83"/>
      <c r="AS49" s="34"/>
      <c r="AT49" s="34"/>
      <c r="AU49" s="34"/>
      <c r="AV49" s="34"/>
      <c r="AW49" s="34"/>
      <c r="AX49" s="34"/>
      <c r="AY49" s="34"/>
      <c r="AZ49" s="34"/>
      <c r="BA49" s="34"/>
    </row>
    <row r="50" spans="1:53">
      <c r="A50" s="61">
        <v>34</v>
      </c>
      <c r="B50" s="61" t="s">
        <v>1126</v>
      </c>
      <c r="C50" s="61" t="s">
        <v>1127</v>
      </c>
      <c r="D50" s="61" t="s">
        <v>1133</v>
      </c>
      <c r="E50" s="83" t="s">
        <v>1096</v>
      </c>
      <c r="F50" s="61">
        <v>2017</v>
      </c>
      <c r="G50" s="83" t="s">
        <v>1129</v>
      </c>
      <c r="H50" s="61">
        <v>2010</v>
      </c>
      <c r="I50" s="84" t="s">
        <v>1096</v>
      </c>
      <c r="J50" s="61">
        <v>1766531</v>
      </c>
      <c r="K50" s="61">
        <v>100</v>
      </c>
      <c r="L50" s="61">
        <v>2030</v>
      </c>
      <c r="M50" s="61">
        <v>36</v>
      </c>
      <c r="N50" s="84" t="s">
        <v>1096</v>
      </c>
      <c r="O50" s="61">
        <v>1130579.8400000001</v>
      </c>
      <c r="P50" s="61">
        <v>1121031.46</v>
      </c>
      <c r="Q50" s="84" t="s">
        <v>1096</v>
      </c>
      <c r="R50" s="83">
        <v>101.50143290877874</v>
      </c>
      <c r="S50" s="83" t="s">
        <v>1143</v>
      </c>
      <c r="T50" s="83" t="s">
        <v>1137</v>
      </c>
      <c r="U50" s="83" t="s">
        <v>1205</v>
      </c>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34"/>
      <c r="AT50" s="34"/>
      <c r="AU50" s="34"/>
      <c r="AV50" s="34"/>
      <c r="AW50" s="34"/>
      <c r="AX50" s="34"/>
      <c r="AY50" s="34"/>
      <c r="AZ50" s="34"/>
      <c r="BA50" s="34"/>
    </row>
    <row r="51" spans="1:53">
      <c r="A51" s="61">
        <v>34</v>
      </c>
      <c r="B51" s="61" t="s">
        <v>1126</v>
      </c>
      <c r="C51" s="61" t="s">
        <v>1127</v>
      </c>
      <c r="D51" s="61" t="s">
        <v>1133</v>
      </c>
      <c r="E51" s="83" t="s">
        <v>1096</v>
      </c>
      <c r="F51" s="61">
        <v>2017</v>
      </c>
      <c r="G51" s="83" t="s">
        <v>1129</v>
      </c>
      <c r="H51" s="61">
        <v>2010</v>
      </c>
      <c r="I51" s="84" t="s">
        <v>1096</v>
      </c>
      <c r="J51" s="61">
        <v>1766531</v>
      </c>
      <c r="K51" s="61">
        <v>100</v>
      </c>
      <c r="L51" s="61">
        <v>2050</v>
      </c>
      <c r="M51" s="61">
        <v>56</v>
      </c>
      <c r="N51" s="84" t="s">
        <v>1096</v>
      </c>
      <c r="O51" s="61">
        <v>777273.64</v>
      </c>
      <c r="P51" s="61">
        <v>1121031.46</v>
      </c>
      <c r="Q51" s="84" t="s">
        <v>1096</v>
      </c>
      <c r="R51" s="83">
        <v>65.250921155643468</v>
      </c>
      <c r="S51" s="83" t="s">
        <v>1130</v>
      </c>
      <c r="T51" s="83" t="s">
        <v>1137</v>
      </c>
      <c r="U51" s="83" t="s">
        <v>1206</v>
      </c>
      <c r="V51" s="83"/>
      <c r="W51" s="83"/>
      <c r="X51" s="83"/>
      <c r="Y51" s="83"/>
      <c r="Z51" s="83"/>
      <c r="AA51" s="83"/>
      <c r="AB51" s="83"/>
      <c r="AC51" s="83"/>
      <c r="AD51" s="83"/>
      <c r="AE51" s="83"/>
      <c r="AF51" s="83"/>
      <c r="AG51" s="83"/>
      <c r="AH51" s="83"/>
      <c r="AI51" s="83"/>
      <c r="AJ51" s="83"/>
      <c r="AK51" s="83"/>
      <c r="AL51" s="83"/>
      <c r="AM51" s="83"/>
      <c r="AN51" s="83"/>
      <c r="AO51" s="83"/>
      <c r="AP51" s="83"/>
      <c r="AQ51" s="83"/>
      <c r="AR51" s="83"/>
      <c r="AS51" s="34"/>
      <c r="AT51" s="34"/>
      <c r="AU51" s="34"/>
      <c r="AV51" s="34"/>
      <c r="AW51" s="34"/>
      <c r="AX51" s="34"/>
      <c r="AY51" s="34"/>
      <c r="AZ51" s="34"/>
      <c r="BA51" s="34"/>
    </row>
    <row r="52" spans="1:53">
      <c r="A52" s="61">
        <v>37</v>
      </c>
      <c r="B52" s="61" t="s">
        <v>1126</v>
      </c>
      <c r="C52" s="61" t="s">
        <v>1164</v>
      </c>
      <c r="D52" s="61" t="s">
        <v>1165</v>
      </c>
      <c r="E52" s="83" t="s">
        <v>1096</v>
      </c>
      <c r="F52" s="61">
        <v>2019</v>
      </c>
      <c r="G52" s="83" t="s">
        <v>1129</v>
      </c>
      <c r="H52" s="84">
        <v>2005</v>
      </c>
      <c r="I52" s="84" t="s">
        <v>1096</v>
      </c>
      <c r="J52" s="61">
        <v>138800000</v>
      </c>
      <c r="K52" s="61">
        <v>100</v>
      </c>
      <c r="L52" s="61">
        <v>2030</v>
      </c>
      <c r="M52" s="61">
        <v>50</v>
      </c>
      <c r="N52" s="84" t="s">
        <v>1096</v>
      </c>
      <c r="O52" s="61">
        <v>69400000</v>
      </c>
      <c r="P52" s="61">
        <v>84370000</v>
      </c>
      <c r="Q52" s="84" t="s">
        <v>1096</v>
      </c>
      <c r="R52" s="83">
        <v>78.429394812680115</v>
      </c>
      <c r="S52" s="83" t="s">
        <v>1130</v>
      </c>
      <c r="T52" s="83" t="s">
        <v>1159</v>
      </c>
      <c r="U52" s="83" t="s">
        <v>1207</v>
      </c>
      <c r="V52" s="83"/>
      <c r="W52" s="83"/>
      <c r="X52" s="83"/>
      <c r="Y52" s="83"/>
      <c r="Z52" s="83"/>
      <c r="AA52" s="83"/>
      <c r="AB52" s="83"/>
      <c r="AC52" s="83"/>
      <c r="AD52" s="83"/>
      <c r="AE52" s="83"/>
      <c r="AF52" s="83"/>
      <c r="AG52" s="83"/>
      <c r="AH52" s="83"/>
      <c r="AI52" s="83"/>
      <c r="AJ52" s="83"/>
      <c r="AK52" s="83"/>
      <c r="AL52" s="83"/>
      <c r="AM52" s="83"/>
      <c r="AN52" s="83"/>
      <c r="AO52" s="83"/>
      <c r="AP52" s="83"/>
      <c r="AQ52" s="83"/>
      <c r="AR52" s="83"/>
      <c r="AS52" s="34"/>
      <c r="AT52" s="34"/>
      <c r="AU52" s="34"/>
      <c r="AV52" s="34"/>
      <c r="AW52" s="34"/>
      <c r="AX52" s="34"/>
      <c r="AY52" s="34"/>
      <c r="AZ52" s="34"/>
      <c r="BA52" s="34"/>
    </row>
    <row r="53" spans="1:53">
      <c r="A53" s="61">
        <v>37</v>
      </c>
      <c r="B53" s="61" t="s">
        <v>1126</v>
      </c>
      <c r="C53" s="61" t="s">
        <v>1164</v>
      </c>
      <c r="D53" s="61" t="s">
        <v>1165</v>
      </c>
      <c r="E53" s="83" t="s">
        <v>1096</v>
      </c>
      <c r="F53" s="61">
        <v>2019</v>
      </c>
      <c r="G53" s="83" t="s">
        <v>1129</v>
      </c>
      <c r="H53" s="84">
        <v>2005</v>
      </c>
      <c r="I53" s="84" t="s">
        <v>1096</v>
      </c>
      <c r="J53" s="61">
        <v>138800000</v>
      </c>
      <c r="K53" s="61">
        <v>100</v>
      </c>
      <c r="L53" s="61">
        <v>2050</v>
      </c>
      <c r="M53" s="61">
        <v>100</v>
      </c>
      <c r="N53" s="84" t="s">
        <v>1096</v>
      </c>
      <c r="O53" s="61">
        <v>0</v>
      </c>
      <c r="P53" s="61">
        <v>84370000</v>
      </c>
      <c r="Q53" s="84" t="s">
        <v>1096</v>
      </c>
      <c r="R53" s="83">
        <v>39.214697406340058</v>
      </c>
      <c r="S53" s="83" t="s">
        <v>1130</v>
      </c>
      <c r="T53" s="83" t="s">
        <v>1159</v>
      </c>
      <c r="U53" s="83" t="s">
        <v>1208</v>
      </c>
      <c r="V53" s="83"/>
      <c r="W53" s="83"/>
      <c r="X53" s="83"/>
      <c r="Y53" s="83"/>
      <c r="Z53" s="83"/>
      <c r="AA53" s="83"/>
      <c r="AB53" s="83"/>
      <c r="AC53" s="83"/>
      <c r="AD53" s="83"/>
      <c r="AE53" s="83"/>
      <c r="AF53" s="83"/>
      <c r="AG53" s="83"/>
      <c r="AH53" s="83"/>
      <c r="AI53" s="83"/>
      <c r="AJ53" s="83"/>
      <c r="AK53" s="83"/>
      <c r="AL53" s="83"/>
      <c r="AM53" s="83"/>
      <c r="AN53" s="83"/>
      <c r="AO53" s="83"/>
      <c r="AP53" s="83"/>
      <c r="AQ53" s="83"/>
      <c r="AR53" s="83"/>
      <c r="AS53" s="34"/>
      <c r="AT53" s="34"/>
      <c r="AU53" s="34"/>
      <c r="AV53" s="34"/>
      <c r="AW53" s="34"/>
      <c r="AX53" s="34"/>
      <c r="AY53" s="34"/>
      <c r="AZ53" s="34"/>
      <c r="BA53" s="34"/>
    </row>
    <row r="54" spans="1:53">
      <c r="A54" s="61">
        <v>38</v>
      </c>
      <c r="B54" s="61" t="s">
        <v>1126</v>
      </c>
      <c r="C54" s="61" t="s">
        <v>1127</v>
      </c>
      <c r="D54" s="61" t="s">
        <v>1209</v>
      </c>
      <c r="E54" s="83" t="s">
        <v>1096</v>
      </c>
      <c r="F54" s="61">
        <v>2019</v>
      </c>
      <c r="G54" s="83" t="s">
        <v>1129</v>
      </c>
      <c r="H54" s="84">
        <v>2019</v>
      </c>
      <c r="I54" s="84" t="s">
        <v>1096</v>
      </c>
      <c r="J54" s="61">
        <v>5380359</v>
      </c>
      <c r="K54" s="61">
        <v>100</v>
      </c>
      <c r="L54" s="61">
        <v>2030</v>
      </c>
      <c r="M54" s="61">
        <v>30</v>
      </c>
      <c r="N54" s="84" t="s">
        <v>1096</v>
      </c>
      <c r="O54" s="61">
        <v>3766251.3</v>
      </c>
      <c r="P54" s="61">
        <v>5380359</v>
      </c>
      <c r="Q54" s="84" t="s">
        <v>1096</v>
      </c>
      <c r="R54" s="83">
        <v>0</v>
      </c>
      <c r="S54" s="83" t="s">
        <v>1154</v>
      </c>
      <c r="T54" s="83" t="s">
        <v>1159</v>
      </c>
      <c r="U54" s="83" t="s">
        <v>1210</v>
      </c>
      <c r="V54" s="83"/>
      <c r="W54" s="83"/>
      <c r="X54" s="83"/>
      <c r="Y54" s="83"/>
      <c r="Z54" s="83"/>
      <c r="AA54" s="83"/>
      <c r="AB54" s="83"/>
      <c r="AC54" s="83"/>
      <c r="AD54" s="83"/>
      <c r="AE54" s="83"/>
      <c r="AF54" s="83"/>
      <c r="AG54" s="83"/>
      <c r="AH54" s="83"/>
      <c r="AI54" s="83"/>
      <c r="AJ54" s="83"/>
      <c r="AK54" s="83"/>
      <c r="AL54" s="83"/>
      <c r="AM54" s="83"/>
      <c r="AN54" s="83"/>
      <c r="AO54" s="83"/>
      <c r="AP54" s="83"/>
      <c r="AQ54" s="83"/>
      <c r="AR54" s="83"/>
      <c r="AS54" s="34"/>
      <c r="AT54" s="34"/>
      <c r="AU54" s="34"/>
      <c r="AV54" s="34"/>
      <c r="AW54" s="34"/>
      <c r="AX54" s="34"/>
      <c r="AY54" s="34"/>
      <c r="AZ54" s="34"/>
      <c r="BA54" s="34"/>
    </row>
    <row r="55" spans="1:53">
      <c r="A55" s="61">
        <v>38</v>
      </c>
      <c r="B55" s="61" t="s">
        <v>1126</v>
      </c>
      <c r="C55" s="61" t="s">
        <v>1127</v>
      </c>
      <c r="D55" s="61" t="s">
        <v>1209</v>
      </c>
      <c r="E55" s="83" t="s">
        <v>1096</v>
      </c>
      <c r="F55" s="61">
        <v>2019</v>
      </c>
      <c r="G55" s="83" t="s">
        <v>1129</v>
      </c>
      <c r="H55" s="84">
        <v>2019</v>
      </c>
      <c r="I55" s="84" t="s">
        <v>1096</v>
      </c>
      <c r="J55" s="61">
        <v>5380359</v>
      </c>
      <c r="K55" s="61">
        <v>100</v>
      </c>
      <c r="L55" s="61">
        <v>2050</v>
      </c>
      <c r="M55" s="61">
        <v>100</v>
      </c>
      <c r="N55" s="84" t="s">
        <v>1096</v>
      </c>
      <c r="O55" s="61">
        <v>0</v>
      </c>
      <c r="P55" s="61">
        <v>5380359</v>
      </c>
      <c r="Q55" s="84" t="s">
        <v>1096</v>
      </c>
      <c r="R55" s="83">
        <v>0</v>
      </c>
      <c r="S55" s="83" t="s">
        <v>1154</v>
      </c>
      <c r="T55" s="83" t="s">
        <v>1159</v>
      </c>
      <c r="U55" s="83" t="s">
        <v>1211</v>
      </c>
      <c r="V55" s="83"/>
      <c r="W55" s="83"/>
      <c r="X55" s="83"/>
      <c r="Y55" s="83"/>
      <c r="Z55" s="83"/>
      <c r="AA55" s="83"/>
      <c r="AB55" s="83"/>
      <c r="AC55" s="83"/>
      <c r="AD55" s="83"/>
      <c r="AE55" s="83"/>
      <c r="AF55" s="83"/>
      <c r="AG55" s="83"/>
      <c r="AH55" s="83"/>
      <c r="AI55" s="83"/>
      <c r="AJ55" s="83"/>
      <c r="AK55" s="83"/>
      <c r="AL55" s="83"/>
      <c r="AM55" s="83"/>
      <c r="AN55" s="83"/>
      <c r="AO55" s="83"/>
      <c r="AP55" s="83"/>
      <c r="AQ55" s="83"/>
      <c r="AR55" s="83"/>
      <c r="AS55" s="34"/>
      <c r="AT55" s="34"/>
      <c r="AU55" s="34"/>
      <c r="AV55" s="34"/>
      <c r="AW55" s="34"/>
      <c r="AX55" s="34"/>
      <c r="AY55" s="34"/>
      <c r="AZ55" s="34"/>
      <c r="BA55" s="34"/>
    </row>
    <row r="56" spans="1:53">
      <c r="A56" s="61">
        <v>41</v>
      </c>
      <c r="B56" s="61" t="s">
        <v>1126</v>
      </c>
      <c r="C56" s="61" t="s">
        <v>1127</v>
      </c>
      <c r="D56" s="61" t="s">
        <v>1212</v>
      </c>
      <c r="E56" s="83" t="s">
        <v>1096</v>
      </c>
      <c r="F56" s="61">
        <v>2017</v>
      </c>
      <c r="G56" s="83" t="s">
        <v>1129</v>
      </c>
      <c r="H56" s="84">
        <v>2015</v>
      </c>
      <c r="I56" s="84" t="s">
        <v>1096</v>
      </c>
      <c r="J56" s="61">
        <v>1133000</v>
      </c>
      <c r="K56" s="61">
        <v>100</v>
      </c>
      <c r="L56" s="61">
        <v>2022</v>
      </c>
      <c r="M56" s="61">
        <v>15</v>
      </c>
      <c r="N56" s="84" t="s">
        <v>1096</v>
      </c>
      <c r="O56" s="61">
        <v>963050</v>
      </c>
      <c r="P56" s="61">
        <v>994191</v>
      </c>
      <c r="Q56" s="84" t="s">
        <v>1096</v>
      </c>
      <c r="R56" s="83">
        <v>81.676375404530745</v>
      </c>
      <c r="S56" s="83" t="s">
        <v>1130</v>
      </c>
      <c r="T56" s="83" t="s">
        <v>1159</v>
      </c>
      <c r="U56" s="83" t="s">
        <v>1213</v>
      </c>
      <c r="V56" s="83"/>
      <c r="W56" s="83"/>
      <c r="X56" s="83"/>
      <c r="Y56" s="83"/>
      <c r="Z56" s="83"/>
      <c r="AA56" s="83"/>
      <c r="AB56" s="83"/>
      <c r="AC56" s="83"/>
      <c r="AD56" s="83"/>
      <c r="AE56" s="83"/>
      <c r="AF56" s="83"/>
      <c r="AG56" s="83"/>
      <c r="AH56" s="83"/>
      <c r="AI56" s="83"/>
      <c r="AJ56" s="83"/>
      <c r="AK56" s="83"/>
      <c r="AL56" s="83"/>
      <c r="AM56" s="83"/>
      <c r="AN56" s="83"/>
      <c r="AO56" s="83"/>
      <c r="AP56" s="83"/>
      <c r="AQ56" s="83"/>
      <c r="AR56" s="83"/>
      <c r="AS56" s="34"/>
      <c r="AT56" s="34"/>
      <c r="AU56" s="34"/>
      <c r="AV56" s="34"/>
      <c r="AW56" s="34"/>
      <c r="AX56" s="34"/>
      <c r="AY56" s="34"/>
      <c r="AZ56" s="34"/>
      <c r="BA56" s="34"/>
    </row>
    <row r="57" spans="1:53">
      <c r="A57" s="61">
        <v>45</v>
      </c>
      <c r="B57" s="61" t="s">
        <v>1126</v>
      </c>
      <c r="C57" s="61" t="s">
        <v>1127</v>
      </c>
      <c r="D57" s="61" t="s">
        <v>1128</v>
      </c>
      <c r="E57" s="83" t="s">
        <v>1096</v>
      </c>
      <c r="F57" s="61">
        <v>2018</v>
      </c>
      <c r="G57" s="83" t="s">
        <v>1129</v>
      </c>
      <c r="H57" s="84">
        <v>2017</v>
      </c>
      <c r="I57" s="84" t="s">
        <v>1096</v>
      </c>
      <c r="J57" s="61">
        <v>4168442</v>
      </c>
      <c r="K57" s="61">
        <v>100</v>
      </c>
      <c r="L57" s="61">
        <v>2023</v>
      </c>
      <c r="M57" s="61">
        <v>16.2</v>
      </c>
      <c r="N57" s="84" t="s">
        <v>1096</v>
      </c>
      <c r="O57" s="61">
        <v>3493154.3959999997</v>
      </c>
      <c r="P57" s="61">
        <v>3636301</v>
      </c>
      <c r="Q57" s="84" t="s">
        <v>1096</v>
      </c>
      <c r="R57" s="83">
        <v>78.802127693136185</v>
      </c>
      <c r="S57" s="83" t="s">
        <v>1130</v>
      </c>
      <c r="T57" s="83" t="s">
        <v>1131</v>
      </c>
      <c r="U57" s="83" t="s">
        <v>1214</v>
      </c>
      <c r="V57" s="83"/>
      <c r="W57" s="83"/>
      <c r="X57" s="83"/>
      <c r="Y57" s="83"/>
      <c r="Z57" s="83"/>
      <c r="AA57" s="83"/>
      <c r="AB57" s="83"/>
      <c r="AC57" s="83"/>
      <c r="AD57" s="83"/>
      <c r="AE57" s="83"/>
      <c r="AF57" s="83"/>
      <c r="AG57" s="83"/>
      <c r="AH57" s="83"/>
      <c r="AI57" s="83"/>
      <c r="AJ57" s="83"/>
      <c r="AK57" s="83"/>
      <c r="AL57" s="83"/>
      <c r="AM57" s="83"/>
      <c r="AN57" s="83"/>
      <c r="AO57" s="83"/>
      <c r="AP57" s="83"/>
      <c r="AQ57" s="83"/>
      <c r="AR57" s="83"/>
      <c r="AS57" s="34"/>
      <c r="AT57" s="34"/>
      <c r="AU57" s="34"/>
      <c r="AV57" s="34"/>
      <c r="AW57" s="34"/>
      <c r="AX57" s="34"/>
      <c r="AY57" s="34"/>
      <c r="AZ57" s="34"/>
      <c r="BA57" s="34"/>
    </row>
    <row r="58" spans="1:53">
      <c r="A58" s="61">
        <v>45</v>
      </c>
      <c r="B58" s="61" t="s">
        <v>1126</v>
      </c>
      <c r="C58" s="61" t="s">
        <v>1127</v>
      </c>
      <c r="D58" s="61" t="s">
        <v>1128</v>
      </c>
      <c r="E58" s="83" t="s">
        <v>1096</v>
      </c>
      <c r="F58" s="61">
        <v>2018</v>
      </c>
      <c r="G58" s="83" t="s">
        <v>1129</v>
      </c>
      <c r="H58" s="84">
        <v>2017</v>
      </c>
      <c r="I58" s="84" t="s">
        <v>1096</v>
      </c>
      <c r="J58" s="61">
        <v>4168442</v>
      </c>
      <c r="K58" s="61">
        <v>100</v>
      </c>
      <c r="L58" s="61">
        <v>2035</v>
      </c>
      <c r="M58" s="61">
        <v>75</v>
      </c>
      <c r="N58" s="84" t="s">
        <v>1096</v>
      </c>
      <c r="O58" s="61">
        <v>1042110.5</v>
      </c>
      <c r="P58" s="61">
        <v>3636301</v>
      </c>
      <c r="Q58" s="84" t="s">
        <v>1096</v>
      </c>
      <c r="R58" s="83">
        <v>17.02125958171742</v>
      </c>
      <c r="S58" s="83" t="s">
        <v>1130</v>
      </c>
      <c r="T58" s="83" t="s">
        <v>1131</v>
      </c>
      <c r="U58" s="83" t="s">
        <v>1215</v>
      </c>
      <c r="V58" s="83"/>
      <c r="W58" s="83"/>
      <c r="X58" s="83"/>
      <c r="Y58" s="83"/>
      <c r="Z58" s="83"/>
      <c r="AA58" s="83"/>
      <c r="AB58" s="83"/>
      <c r="AC58" s="83"/>
      <c r="AD58" s="83"/>
      <c r="AE58" s="83"/>
      <c r="AF58" s="83"/>
      <c r="AG58" s="83"/>
      <c r="AH58" s="83"/>
      <c r="AI58" s="83"/>
      <c r="AJ58" s="83"/>
      <c r="AK58" s="83"/>
      <c r="AL58" s="83"/>
      <c r="AM58" s="83"/>
      <c r="AN58" s="83"/>
      <c r="AO58" s="83"/>
      <c r="AP58" s="83"/>
      <c r="AQ58" s="83"/>
      <c r="AR58" s="83"/>
      <c r="AS58" s="34"/>
      <c r="AT58" s="34"/>
      <c r="AU58" s="34"/>
      <c r="AV58" s="34"/>
      <c r="AW58" s="34"/>
      <c r="AX58" s="34"/>
      <c r="AY58" s="34"/>
      <c r="AZ58" s="34"/>
      <c r="BA58" s="34"/>
    </row>
    <row r="59" spans="1:53">
      <c r="A59" s="61">
        <v>47</v>
      </c>
      <c r="B59" s="61" t="s">
        <v>1126</v>
      </c>
      <c r="C59" s="61" t="s">
        <v>1127</v>
      </c>
      <c r="D59" s="61" t="s">
        <v>1133</v>
      </c>
      <c r="E59" s="83" t="s">
        <v>1096</v>
      </c>
      <c r="F59" s="61">
        <v>2015</v>
      </c>
      <c r="G59" s="83" t="s">
        <v>1129</v>
      </c>
      <c r="H59" s="84">
        <v>2011</v>
      </c>
      <c r="I59" s="84" t="s">
        <v>1096</v>
      </c>
      <c r="J59" s="61">
        <v>3005160.75</v>
      </c>
      <c r="K59" s="61">
        <v>100</v>
      </c>
      <c r="L59" s="61">
        <v>2020</v>
      </c>
      <c r="M59" s="61">
        <v>20</v>
      </c>
      <c r="N59" s="84" t="s">
        <v>1096</v>
      </c>
      <c r="O59" s="61">
        <v>2404128.6</v>
      </c>
      <c r="P59" s="61">
        <v>2385024.54</v>
      </c>
      <c r="Q59" s="84" t="s">
        <v>1096</v>
      </c>
      <c r="R59" s="83">
        <v>103.17854211293024</v>
      </c>
      <c r="S59" s="83" t="s">
        <v>1143</v>
      </c>
      <c r="T59" s="83" t="s">
        <v>1159</v>
      </c>
      <c r="U59" s="83" t="s">
        <v>1216</v>
      </c>
      <c r="V59" s="83"/>
      <c r="W59" s="83"/>
      <c r="X59" s="83"/>
      <c r="Y59" s="83"/>
      <c r="Z59" s="83"/>
      <c r="AA59" s="83"/>
      <c r="AB59" s="83"/>
      <c r="AC59" s="83"/>
      <c r="AD59" s="83"/>
      <c r="AE59" s="83"/>
      <c r="AF59" s="83"/>
      <c r="AG59" s="83"/>
      <c r="AH59" s="83"/>
      <c r="AI59" s="83"/>
      <c r="AJ59" s="83"/>
      <c r="AK59" s="83"/>
      <c r="AL59" s="83"/>
      <c r="AM59" s="83"/>
      <c r="AN59" s="83"/>
      <c r="AO59" s="83"/>
      <c r="AP59" s="83"/>
      <c r="AQ59" s="83"/>
      <c r="AR59" s="83"/>
      <c r="AS59" s="34"/>
      <c r="AT59" s="34"/>
      <c r="AU59" s="34"/>
      <c r="AV59" s="34"/>
      <c r="AW59" s="34"/>
      <c r="AX59" s="34"/>
      <c r="AY59" s="34"/>
      <c r="AZ59" s="34"/>
      <c r="BA59" s="34"/>
    </row>
    <row r="60" spans="1:53">
      <c r="A60" s="61">
        <v>48</v>
      </c>
      <c r="B60" s="61" t="s">
        <v>1126</v>
      </c>
      <c r="C60" s="61" t="s">
        <v>1127</v>
      </c>
      <c r="D60" s="61" t="s">
        <v>1133</v>
      </c>
      <c r="E60" s="83" t="s">
        <v>1096</v>
      </c>
      <c r="F60" s="61">
        <v>2018</v>
      </c>
      <c r="G60" s="83" t="s">
        <v>1129</v>
      </c>
      <c r="H60" s="61">
        <v>2010</v>
      </c>
      <c r="I60" s="84" t="s">
        <v>1096</v>
      </c>
      <c r="J60" s="61">
        <v>6173746</v>
      </c>
      <c r="K60" s="61">
        <v>100</v>
      </c>
      <c r="L60" s="61">
        <v>2030</v>
      </c>
      <c r="M60" s="61">
        <v>31</v>
      </c>
      <c r="N60" s="84" t="s">
        <v>1096</v>
      </c>
      <c r="O60" s="61">
        <v>4259884.74</v>
      </c>
      <c r="P60" s="61">
        <v>5311575</v>
      </c>
      <c r="Q60" s="84" t="s">
        <v>1096</v>
      </c>
      <c r="R60" s="83">
        <v>45.048772239634552</v>
      </c>
      <c r="S60" s="83" t="s">
        <v>1130</v>
      </c>
      <c r="T60" s="83" t="s">
        <v>1159</v>
      </c>
      <c r="U60" s="83" t="s">
        <v>1217</v>
      </c>
      <c r="V60" s="83"/>
      <c r="W60" s="83"/>
      <c r="X60" s="83"/>
      <c r="Y60" s="83"/>
      <c r="Z60" s="83"/>
      <c r="AA60" s="83"/>
      <c r="AB60" s="83"/>
      <c r="AC60" s="83"/>
      <c r="AD60" s="83"/>
      <c r="AE60" s="83"/>
      <c r="AF60" s="83"/>
      <c r="AG60" s="83"/>
      <c r="AH60" s="83"/>
      <c r="AI60" s="83"/>
      <c r="AJ60" s="83"/>
      <c r="AK60" s="83"/>
      <c r="AL60" s="83"/>
      <c r="AM60" s="83"/>
      <c r="AN60" s="83"/>
      <c r="AO60" s="83"/>
      <c r="AP60" s="83"/>
      <c r="AQ60" s="83"/>
      <c r="AR60" s="83"/>
      <c r="AS60" s="34"/>
      <c r="AT60" s="34"/>
      <c r="AU60" s="34"/>
      <c r="AV60" s="34"/>
      <c r="AW60" s="34"/>
      <c r="AX60" s="34"/>
      <c r="AY60" s="34"/>
      <c r="AZ60" s="34"/>
      <c r="BA60" s="34"/>
    </row>
    <row r="61" spans="1:53">
      <c r="A61" s="61">
        <v>48</v>
      </c>
      <c r="B61" s="61" t="s">
        <v>1126</v>
      </c>
      <c r="C61" s="61" t="s">
        <v>1141</v>
      </c>
      <c r="D61" s="61" t="s">
        <v>1192</v>
      </c>
      <c r="E61" s="83" t="s">
        <v>1096</v>
      </c>
      <c r="F61" s="61">
        <v>2017</v>
      </c>
      <c r="G61" s="83" t="s">
        <v>1162</v>
      </c>
      <c r="H61" s="84">
        <v>2016</v>
      </c>
      <c r="I61" s="84" t="s">
        <v>1096</v>
      </c>
      <c r="J61" s="61">
        <v>8023097</v>
      </c>
      <c r="K61" s="61">
        <v>100</v>
      </c>
      <c r="L61" s="61">
        <v>2021</v>
      </c>
      <c r="M61" s="61">
        <v>4</v>
      </c>
      <c r="N61" s="84" t="s">
        <v>1096</v>
      </c>
      <c r="O61" s="61">
        <v>7702173.1200000001</v>
      </c>
      <c r="P61" s="61">
        <v>7763604</v>
      </c>
      <c r="Q61" s="84" t="s">
        <v>1096</v>
      </c>
      <c r="R61" s="83">
        <v>80.858115014688252</v>
      </c>
      <c r="S61" s="83" t="s">
        <v>1130</v>
      </c>
      <c r="T61" s="83" t="s">
        <v>1131</v>
      </c>
      <c r="U61" s="83" t="s">
        <v>1218</v>
      </c>
      <c r="V61" s="83"/>
      <c r="W61" s="83"/>
      <c r="X61" s="83"/>
      <c r="Y61" s="83"/>
      <c r="Z61" s="83"/>
      <c r="AA61" s="83"/>
      <c r="AB61" s="83"/>
      <c r="AC61" s="83"/>
      <c r="AD61" s="83"/>
      <c r="AE61" s="83"/>
      <c r="AF61" s="83"/>
      <c r="AG61" s="83"/>
      <c r="AH61" s="83"/>
      <c r="AI61" s="83"/>
      <c r="AJ61" s="83"/>
      <c r="AK61" s="83"/>
      <c r="AL61" s="83"/>
      <c r="AM61" s="83"/>
      <c r="AN61" s="83"/>
      <c r="AO61" s="83"/>
      <c r="AP61" s="83"/>
      <c r="AQ61" s="83"/>
      <c r="AR61" s="83"/>
      <c r="AS61" s="34"/>
      <c r="AT61" s="34"/>
      <c r="AU61" s="34"/>
      <c r="AV61" s="34"/>
      <c r="AW61" s="34"/>
      <c r="AX61" s="34"/>
      <c r="AY61" s="34"/>
      <c r="AZ61" s="34"/>
      <c r="BA61" s="34"/>
    </row>
    <row r="62" spans="1:53">
      <c r="A62" s="61">
        <v>49</v>
      </c>
      <c r="B62" s="61" t="s">
        <v>1126</v>
      </c>
      <c r="C62" s="61" t="s">
        <v>1127</v>
      </c>
      <c r="D62" s="61" t="s">
        <v>1133</v>
      </c>
      <c r="E62" s="83" t="s">
        <v>1096</v>
      </c>
      <c r="F62" s="61">
        <v>2017</v>
      </c>
      <c r="G62" s="83" t="s">
        <v>1129</v>
      </c>
      <c r="H62" s="84">
        <v>2016</v>
      </c>
      <c r="I62" s="84" t="s">
        <v>1096</v>
      </c>
      <c r="J62" s="61">
        <v>82840</v>
      </c>
      <c r="K62" s="61">
        <v>100</v>
      </c>
      <c r="L62" s="61">
        <v>2025</v>
      </c>
      <c r="M62" s="61">
        <v>25</v>
      </c>
      <c r="N62" s="84" t="s">
        <v>1096</v>
      </c>
      <c r="O62" s="61">
        <v>62130</v>
      </c>
      <c r="P62" s="61">
        <v>73735</v>
      </c>
      <c r="Q62" s="84" t="s">
        <v>1096</v>
      </c>
      <c r="R62" s="83">
        <v>43.964268469338485</v>
      </c>
      <c r="S62" s="83" t="s">
        <v>1130</v>
      </c>
      <c r="T62" s="83" t="s">
        <v>1159</v>
      </c>
      <c r="U62" s="83" t="s">
        <v>1219</v>
      </c>
      <c r="V62" s="83"/>
      <c r="W62" s="83"/>
      <c r="X62" s="83"/>
      <c r="Y62" s="83"/>
      <c r="Z62" s="83"/>
      <c r="AA62" s="83"/>
      <c r="AB62" s="83"/>
      <c r="AC62" s="83"/>
      <c r="AD62" s="83"/>
      <c r="AE62" s="83"/>
      <c r="AF62" s="83"/>
      <c r="AG62" s="83"/>
      <c r="AH62" s="83"/>
      <c r="AI62" s="83"/>
      <c r="AJ62" s="83"/>
      <c r="AK62" s="83"/>
      <c r="AL62" s="83"/>
      <c r="AM62" s="83"/>
      <c r="AN62" s="83"/>
      <c r="AO62" s="83"/>
      <c r="AP62" s="83"/>
      <c r="AQ62" s="83"/>
      <c r="AR62" s="83"/>
      <c r="AS62" s="34"/>
      <c r="AT62" s="34"/>
      <c r="AU62" s="34"/>
      <c r="AV62" s="34"/>
      <c r="AW62" s="34"/>
      <c r="AX62" s="34"/>
      <c r="AY62" s="34"/>
      <c r="AZ62" s="34"/>
      <c r="BA62" s="34"/>
    </row>
    <row r="63" spans="1:53">
      <c r="A63" s="61">
        <v>50</v>
      </c>
      <c r="B63" s="61" t="s">
        <v>1126</v>
      </c>
      <c r="C63" s="61" t="s">
        <v>1157</v>
      </c>
      <c r="D63" s="61" t="s">
        <v>1158</v>
      </c>
      <c r="E63" s="83" t="s">
        <v>1096</v>
      </c>
      <c r="F63" s="61">
        <v>2015</v>
      </c>
      <c r="G63" s="83" t="s">
        <v>1129</v>
      </c>
      <c r="H63" s="84">
        <v>2019</v>
      </c>
      <c r="I63" s="84" t="s">
        <v>1096</v>
      </c>
      <c r="J63" s="61">
        <v>157255</v>
      </c>
      <c r="K63" s="61">
        <v>100</v>
      </c>
      <c r="L63" s="61">
        <v>2019</v>
      </c>
      <c r="M63" s="61">
        <v>100</v>
      </c>
      <c r="N63" s="84" t="s">
        <v>1096</v>
      </c>
      <c r="O63" s="61">
        <v>0</v>
      </c>
      <c r="P63" s="61">
        <v>0</v>
      </c>
      <c r="Q63" s="84" t="s">
        <v>1096</v>
      </c>
      <c r="R63" s="83">
        <v>100</v>
      </c>
      <c r="S63" s="83" t="s">
        <v>1130</v>
      </c>
      <c r="T63" s="83" t="s">
        <v>1144</v>
      </c>
      <c r="U63" s="83" t="s">
        <v>1220</v>
      </c>
      <c r="V63" s="83"/>
      <c r="W63" s="83"/>
      <c r="X63" s="83"/>
      <c r="Y63" s="83"/>
      <c r="Z63" s="83"/>
      <c r="AA63" s="83"/>
      <c r="AB63" s="83"/>
      <c r="AC63" s="83"/>
      <c r="AD63" s="83"/>
      <c r="AE63" s="83"/>
      <c r="AF63" s="83"/>
      <c r="AG63" s="83"/>
      <c r="AH63" s="83"/>
      <c r="AI63" s="83"/>
      <c r="AJ63" s="83"/>
      <c r="AK63" s="83"/>
      <c r="AL63" s="83"/>
      <c r="AM63" s="83"/>
      <c r="AN63" s="83"/>
      <c r="AO63" s="83"/>
      <c r="AP63" s="83"/>
      <c r="AQ63" s="83"/>
      <c r="AR63" s="83"/>
      <c r="AS63" s="34"/>
      <c r="AT63" s="34"/>
      <c r="AU63" s="34"/>
      <c r="AV63" s="34"/>
      <c r="AW63" s="34"/>
      <c r="AX63" s="34"/>
      <c r="AY63" s="34"/>
      <c r="AZ63" s="34"/>
      <c r="BA63" s="34"/>
    </row>
    <row r="64" spans="1:53">
      <c r="A64" s="61">
        <v>50</v>
      </c>
      <c r="B64" s="61" t="s">
        <v>1126</v>
      </c>
      <c r="C64" s="61" t="s">
        <v>1127</v>
      </c>
      <c r="D64" s="61" t="s">
        <v>1133</v>
      </c>
      <c r="E64" s="83" t="s">
        <v>1096</v>
      </c>
      <c r="F64" s="61">
        <v>2015</v>
      </c>
      <c r="G64" s="83" t="s">
        <v>1129</v>
      </c>
      <c r="H64" s="84">
        <v>2013</v>
      </c>
      <c r="I64" s="84" t="s">
        <v>1096</v>
      </c>
      <c r="J64" s="61">
        <v>251687</v>
      </c>
      <c r="K64" s="61">
        <v>100</v>
      </c>
      <c r="L64" s="61">
        <v>2020</v>
      </c>
      <c r="M64" s="61">
        <v>15</v>
      </c>
      <c r="N64" s="84" t="s">
        <v>1096</v>
      </c>
      <c r="O64" s="61">
        <v>213933.95</v>
      </c>
      <c r="P64" s="61">
        <v>21782</v>
      </c>
      <c r="Q64" s="84" t="s">
        <v>1096</v>
      </c>
      <c r="R64" s="83">
        <v>608.97066594619525</v>
      </c>
      <c r="S64" s="83" t="s">
        <v>1130</v>
      </c>
      <c r="T64" s="83" t="s">
        <v>1159</v>
      </c>
      <c r="U64" s="83" t="s">
        <v>1221</v>
      </c>
      <c r="V64" s="83"/>
      <c r="W64" s="83"/>
      <c r="X64" s="83"/>
      <c r="Y64" s="83"/>
      <c r="Z64" s="83"/>
      <c r="AA64" s="83"/>
      <c r="AB64" s="83"/>
      <c r="AC64" s="83"/>
      <c r="AD64" s="83"/>
      <c r="AE64" s="83"/>
      <c r="AF64" s="83"/>
      <c r="AG64" s="83"/>
      <c r="AH64" s="83"/>
      <c r="AI64" s="83"/>
      <c r="AJ64" s="83"/>
      <c r="AK64" s="83"/>
      <c r="AL64" s="83"/>
      <c r="AM64" s="83"/>
      <c r="AN64" s="83"/>
      <c r="AO64" s="83"/>
      <c r="AP64" s="83"/>
      <c r="AQ64" s="83"/>
      <c r="AR64" s="83"/>
      <c r="AS64" s="34"/>
      <c r="AT64" s="34"/>
      <c r="AU64" s="34"/>
      <c r="AV64" s="34"/>
      <c r="AW64" s="34"/>
      <c r="AX64" s="34"/>
      <c r="AY64" s="34"/>
      <c r="AZ64" s="34"/>
      <c r="BA64" s="34"/>
    </row>
    <row r="65" spans="1:53">
      <c r="A65" s="61">
        <v>50</v>
      </c>
      <c r="B65" s="61" t="s">
        <v>1126</v>
      </c>
      <c r="C65" s="61" t="s">
        <v>1127</v>
      </c>
      <c r="D65" s="61" t="s">
        <v>1133</v>
      </c>
      <c r="E65" s="83" t="s">
        <v>1096</v>
      </c>
      <c r="F65" s="61">
        <v>2015</v>
      </c>
      <c r="G65" s="83" t="s">
        <v>1129</v>
      </c>
      <c r="H65" s="84">
        <v>2013</v>
      </c>
      <c r="I65" s="84" t="s">
        <v>1096</v>
      </c>
      <c r="J65" s="61">
        <v>251687</v>
      </c>
      <c r="K65" s="61">
        <v>100</v>
      </c>
      <c r="L65" s="61">
        <v>2036</v>
      </c>
      <c r="M65" s="61">
        <v>50</v>
      </c>
      <c r="N65" s="84" t="s">
        <v>1096</v>
      </c>
      <c r="O65" s="61">
        <v>125843.5</v>
      </c>
      <c r="P65" s="61">
        <v>21782</v>
      </c>
      <c r="Q65" s="84" t="s">
        <v>1096</v>
      </c>
      <c r="R65" s="83">
        <v>182.69119978385854</v>
      </c>
      <c r="S65" s="83" t="s">
        <v>1130</v>
      </c>
      <c r="T65" s="83" t="s">
        <v>1159</v>
      </c>
      <c r="U65" s="83" t="s">
        <v>1222</v>
      </c>
      <c r="V65" s="83"/>
      <c r="W65" s="83"/>
      <c r="X65" s="83"/>
      <c r="Y65" s="83"/>
      <c r="Z65" s="83"/>
      <c r="AA65" s="83"/>
      <c r="AB65" s="83"/>
      <c r="AC65" s="83"/>
      <c r="AD65" s="83"/>
      <c r="AE65" s="83"/>
      <c r="AF65" s="83"/>
      <c r="AG65" s="83"/>
      <c r="AH65" s="83"/>
      <c r="AI65" s="83"/>
      <c r="AJ65" s="83"/>
      <c r="AK65" s="83"/>
      <c r="AL65" s="83"/>
      <c r="AM65" s="83"/>
      <c r="AN65" s="83"/>
      <c r="AO65" s="83"/>
      <c r="AP65" s="83"/>
      <c r="AQ65" s="83"/>
      <c r="AR65" s="83"/>
      <c r="AS65" s="34"/>
      <c r="AT65" s="34"/>
      <c r="AU65" s="34"/>
      <c r="AV65" s="34"/>
      <c r="AW65" s="34"/>
      <c r="AX65" s="34"/>
      <c r="AY65" s="34"/>
      <c r="AZ65" s="34"/>
      <c r="BA65" s="34"/>
    </row>
    <row r="66" spans="1:53">
      <c r="A66" s="61">
        <v>53</v>
      </c>
      <c r="B66" s="61" t="s">
        <v>1126</v>
      </c>
      <c r="C66" s="61" t="s">
        <v>1157</v>
      </c>
      <c r="D66" s="61" t="s">
        <v>1223</v>
      </c>
      <c r="E66" s="83" t="s">
        <v>1096</v>
      </c>
      <c r="F66" s="61">
        <v>2018</v>
      </c>
      <c r="G66" s="83" t="s">
        <v>1129</v>
      </c>
      <c r="H66" s="84">
        <v>2005</v>
      </c>
      <c r="I66" s="84" t="s">
        <v>1096</v>
      </c>
      <c r="J66" s="61">
        <v>2028000</v>
      </c>
      <c r="K66" s="61">
        <v>100</v>
      </c>
      <c r="L66" s="61">
        <v>2025</v>
      </c>
      <c r="M66" s="61">
        <v>40</v>
      </c>
      <c r="N66" s="84" t="s">
        <v>1096</v>
      </c>
      <c r="O66" s="61">
        <v>1216800</v>
      </c>
      <c r="P66" s="61">
        <v>1222623</v>
      </c>
      <c r="Q66" s="84" t="s">
        <v>1096</v>
      </c>
      <c r="R66" s="83">
        <v>99.282174556213022</v>
      </c>
      <c r="S66" s="83" t="s">
        <v>1130</v>
      </c>
      <c r="T66" s="83" t="s">
        <v>1159</v>
      </c>
      <c r="U66" s="83" t="s">
        <v>1224</v>
      </c>
      <c r="V66" s="83"/>
      <c r="W66" s="83"/>
      <c r="X66" s="83"/>
      <c r="Y66" s="83"/>
      <c r="Z66" s="83"/>
      <c r="AA66" s="83"/>
      <c r="AB66" s="83"/>
      <c r="AC66" s="83"/>
      <c r="AD66" s="83"/>
      <c r="AE66" s="83"/>
      <c r="AF66" s="83"/>
      <c r="AG66" s="83"/>
      <c r="AH66" s="83"/>
      <c r="AI66" s="83"/>
      <c r="AJ66" s="83"/>
      <c r="AK66" s="83"/>
      <c r="AL66" s="83"/>
      <c r="AM66" s="83"/>
      <c r="AN66" s="83"/>
      <c r="AO66" s="83"/>
      <c r="AP66" s="83"/>
      <c r="AQ66" s="83"/>
      <c r="AR66" s="83"/>
      <c r="AS66" s="34"/>
      <c r="AT66" s="34"/>
      <c r="AU66" s="34"/>
      <c r="AV66" s="34"/>
      <c r="AW66" s="34"/>
      <c r="AX66" s="34"/>
      <c r="AY66" s="34"/>
      <c r="AZ66" s="34"/>
      <c r="BA66" s="34"/>
    </row>
    <row r="67" spans="1:53">
      <c r="A67" s="61">
        <v>55</v>
      </c>
      <c r="B67" s="61" t="s">
        <v>1126</v>
      </c>
      <c r="C67" s="61" t="s">
        <v>1127</v>
      </c>
      <c r="D67" s="61" t="s">
        <v>1133</v>
      </c>
      <c r="E67" s="83" t="s">
        <v>1096</v>
      </c>
      <c r="F67" s="61">
        <v>2015</v>
      </c>
      <c r="G67" s="83" t="s">
        <v>1129</v>
      </c>
      <c r="H67" s="84" t="s">
        <v>1225</v>
      </c>
      <c r="I67" s="84" t="s">
        <v>1096</v>
      </c>
      <c r="J67" s="61">
        <v>1364881</v>
      </c>
      <c r="K67" s="61">
        <v>100</v>
      </c>
      <c r="L67" s="61">
        <v>2020</v>
      </c>
      <c r="M67" s="61">
        <v>20</v>
      </c>
      <c r="N67" s="84" t="s">
        <v>1096</v>
      </c>
      <c r="O67" s="61">
        <v>1091904.8</v>
      </c>
      <c r="P67" s="61">
        <v>933636</v>
      </c>
      <c r="Q67" s="84" t="s">
        <v>1096</v>
      </c>
      <c r="R67" s="83">
        <v>157.97897399113918</v>
      </c>
      <c r="S67" s="83" t="s">
        <v>1130</v>
      </c>
      <c r="T67" s="83" t="s">
        <v>1159</v>
      </c>
      <c r="U67" s="83" t="s">
        <v>1226</v>
      </c>
      <c r="V67" s="83"/>
      <c r="W67" s="83"/>
      <c r="X67" s="83"/>
      <c r="Y67" s="83"/>
      <c r="Z67" s="83"/>
      <c r="AA67" s="83"/>
      <c r="AB67" s="83"/>
      <c r="AC67" s="83"/>
      <c r="AD67" s="83"/>
      <c r="AE67" s="83"/>
      <c r="AF67" s="83"/>
      <c r="AG67" s="83"/>
      <c r="AH67" s="83"/>
      <c r="AI67" s="83"/>
      <c r="AJ67" s="83"/>
      <c r="AK67" s="83"/>
      <c r="AL67" s="83"/>
      <c r="AM67" s="83"/>
      <c r="AN67" s="83"/>
      <c r="AO67" s="83"/>
      <c r="AP67" s="83"/>
      <c r="AQ67" s="83"/>
      <c r="AR67" s="83"/>
      <c r="AS67" s="34"/>
      <c r="AT67" s="34"/>
      <c r="AU67" s="34"/>
      <c r="AV67" s="34"/>
      <c r="AW67" s="34"/>
      <c r="AX67" s="34"/>
      <c r="AY67" s="34"/>
      <c r="AZ67" s="34"/>
      <c r="BA67" s="34"/>
    </row>
    <row r="68" spans="1:53">
      <c r="A68" s="61">
        <v>55</v>
      </c>
      <c r="B68" s="61" t="s">
        <v>1126</v>
      </c>
      <c r="C68" s="61" t="s">
        <v>1127</v>
      </c>
      <c r="D68" s="61" t="s">
        <v>1133</v>
      </c>
      <c r="E68" s="83" t="s">
        <v>1096</v>
      </c>
      <c r="F68" s="61">
        <v>2015</v>
      </c>
      <c r="G68" s="83" t="s">
        <v>1129</v>
      </c>
      <c r="H68" s="84" t="s">
        <v>1225</v>
      </c>
      <c r="I68" s="84" t="s">
        <v>1096</v>
      </c>
      <c r="J68" s="61">
        <v>1364881</v>
      </c>
      <c r="K68" s="61">
        <v>100</v>
      </c>
      <c r="L68" s="61">
        <v>2050</v>
      </c>
      <c r="M68" s="61">
        <v>80</v>
      </c>
      <c r="N68" s="84" t="s">
        <v>1096</v>
      </c>
      <c r="O68" s="61">
        <v>272976.2</v>
      </c>
      <c r="P68" s="61">
        <v>933636</v>
      </c>
      <c r="Q68" s="84" t="s">
        <v>1096</v>
      </c>
      <c r="R68" s="83">
        <v>39.494743497784782</v>
      </c>
      <c r="S68" s="83" t="s">
        <v>1130</v>
      </c>
      <c r="T68" s="83" t="s">
        <v>1159</v>
      </c>
      <c r="U68" s="83" t="s">
        <v>1227</v>
      </c>
      <c r="V68" s="83"/>
      <c r="W68" s="83"/>
      <c r="X68" s="83"/>
      <c r="Y68" s="83"/>
      <c r="Z68" s="83"/>
      <c r="AA68" s="83"/>
      <c r="AB68" s="83"/>
      <c r="AC68" s="83"/>
      <c r="AD68" s="83"/>
      <c r="AE68" s="83"/>
      <c r="AF68" s="83"/>
      <c r="AG68" s="83"/>
      <c r="AH68" s="83"/>
      <c r="AI68" s="83"/>
      <c r="AJ68" s="83"/>
      <c r="AK68" s="83"/>
      <c r="AL68" s="83"/>
      <c r="AM68" s="83"/>
      <c r="AN68" s="83"/>
      <c r="AO68" s="83"/>
      <c r="AP68" s="83"/>
      <c r="AQ68" s="83"/>
      <c r="AR68" s="83"/>
      <c r="AS68" s="34"/>
      <c r="AT68" s="34"/>
      <c r="AU68" s="34"/>
      <c r="AV68" s="34"/>
      <c r="AW68" s="34"/>
      <c r="AX68" s="34"/>
      <c r="AY68" s="34"/>
      <c r="AZ68" s="34"/>
      <c r="BA68" s="34"/>
    </row>
    <row r="69" spans="1:53">
      <c r="A69" s="61">
        <v>56</v>
      </c>
      <c r="B69" s="61" t="s">
        <v>1126</v>
      </c>
      <c r="C69" s="61" t="s">
        <v>1127</v>
      </c>
      <c r="D69" s="61" t="s">
        <v>1133</v>
      </c>
      <c r="E69" s="83" t="s">
        <v>1096</v>
      </c>
      <c r="F69" s="61">
        <v>2008</v>
      </c>
      <c r="G69" s="83" t="s">
        <v>1129</v>
      </c>
      <c r="H69" s="84">
        <v>2005</v>
      </c>
      <c r="I69" s="84" t="s">
        <v>1096</v>
      </c>
      <c r="J69" s="61">
        <v>1392704</v>
      </c>
      <c r="K69" s="61">
        <v>100</v>
      </c>
      <c r="L69" s="61">
        <v>2020</v>
      </c>
      <c r="M69" s="61">
        <v>50</v>
      </c>
      <c r="N69" s="84" t="s">
        <v>1096</v>
      </c>
      <c r="O69" s="61">
        <v>696352</v>
      </c>
      <c r="P69" s="61">
        <v>637798</v>
      </c>
      <c r="Q69" s="84" t="s">
        <v>1096</v>
      </c>
      <c r="R69" s="83">
        <v>108.40867836956023</v>
      </c>
      <c r="S69" s="83" t="s">
        <v>1228</v>
      </c>
      <c r="T69" s="83"/>
      <c r="U69" s="83" t="s">
        <v>1229</v>
      </c>
      <c r="V69" s="83"/>
      <c r="W69" s="83"/>
      <c r="X69" s="83"/>
      <c r="Y69" s="83"/>
      <c r="Z69" s="83"/>
      <c r="AA69" s="83"/>
      <c r="AB69" s="83"/>
      <c r="AC69" s="83"/>
      <c r="AD69" s="83"/>
      <c r="AE69" s="83"/>
      <c r="AF69" s="83"/>
      <c r="AG69" s="83"/>
      <c r="AH69" s="83"/>
      <c r="AI69" s="83"/>
      <c r="AJ69" s="83"/>
      <c r="AK69" s="83"/>
      <c r="AL69" s="83"/>
      <c r="AM69" s="83"/>
      <c r="AN69" s="83"/>
      <c r="AO69" s="83"/>
      <c r="AP69" s="83"/>
      <c r="AQ69" s="83"/>
      <c r="AR69" s="83"/>
      <c r="AS69" s="34"/>
      <c r="AT69" s="34"/>
      <c r="AU69" s="34"/>
      <c r="AV69" s="34"/>
      <c r="AW69" s="34"/>
      <c r="AX69" s="34"/>
      <c r="AY69" s="34"/>
      <c r="AZ69" s="34"/>
      <c r="BA69" s="34"/>
    </row>
    <row r="70" spans="1:53">
      <c r="A70" s="61">
        <v>59</v>
      </c>
      <c r="B70" s="61" t="s">
        <v>1126</v>
      </c>
      <c r="C70" s="61" t="s">
        <v>1127</v>
      </c>
      <c r="D70" s="61" t="s">
        <v>1128</v>
      </c>
      <c r="E70" s="83" t="s">
        <v>1096</v>
      </c>
      <c r="F70" s="61">
        <v>2012</v>
      </c>
      <c r="G70" s="83" t="s">
        <v>1129</v>
      </c>
      <c r="H70" s="84" t="s">
        <v>1225</v>
      </c>
      <c r="I70" s="84" t="s">
        <v>1096</v>
      </c>
      <c r="J70" s="61">
        <v>1271358</v>
      </c>
      <c r="K70" s="61">
        <v>96</v>
      </c>
      <c r="L70" s="61">
        <v>2020</v>
      </c>
      <c r="M70" s="61">
        <v>35</v>
      </c>
      <c r="N70" s="84" t="s">
        <v>1096</v>
      </c>
      <c r="O70" s="61">
        <v>826382.7</v>
      </c>
      <c r="P70" s="61">
        <v>771435</v>
      </c>
      <c r="Q70" s="84" t="s">
        <v>1096</v>
      </c>
      <c r="R70" s="83">
        <v>112.34848316299801</v>
      </c>
      <c r="S70" s="83" t="s">
        <v>1143</v>
      </c>
      <c r="T70" s="83" t="s">
        <v>1159</v>
      </c>
      <c r="U70" s="83" t="s">
        <v>1230</v>
      </c>
      <c r="V70" s="83"/>
      <c r="W70" s="83"/>
      <c r="X70" s="83"/>
      <c r="Y70" s="83"/>
      <c r="Z70" s="83"/>
      <c r="AA70" s="83"/>
      <c r="AB70" s="83"/>
      <c r="AC70" s="83"/>
      <c r="AD70" s="83"/>
      <c r="AE70" s="83"/>
      <c r="AF70" s="83"/>
      <c r="AG70" s="83"/>
      <c r="AH70" s="83"/>
      <c r="AI70" s="83"/>
      <c r="AJ70" s="83"/>
      <c r="AK70" s="83"/>
      <c r="AL70" s="83"/>
      <c r="AM70" s="83"/>
      <c r="AN70" s="83"/>
      <c r="AO70" s="83"/>
      <c r="AP70" s="83"/>
      <c r="AQ70" s="83"/>
      <c r="AR70" s="83"/>
      <c r="AS70" s="34"/>
      <c r="AT70" s="34"/>
      <c r="AU70" s="34"/>
      <c r="AV70" s="34"/>
      <c r="AW70" s="34"/>
      <c r="AX70" s="34"/>
      <c r="AY70" s="34"/>
      <c r="AZ70" s="34"/>
      <c r="BA70" s="34"/>
    </row>
    <row r="71" spans="1:53">
      <c r="A71" s="61">
        <v>60</v>
      </c>
      <c r="B71" s="61" t="s">
        <v>1126</v>
      </c>
      <c r="C71" s="61" t="s">
        <v>1127</v>
      </c>
      <c r="D71" s="61" t="s">
        <v>1128</v>
      </c>
      <c r="E71" s="83" t="s">
        <v>1096</v>
      </c>
      <c r="F71" s="61">
        <v>2019</v>
      </c>
      <c r="G71" s="83" t="s">
        <v>1129</v>
      </c>
      <c r="H71" s="84">
        <v>2016</v>
      </c>
      <c r="I71" s="84" t="s">
        <v>1096</v>
      </c>
      <c r="J71" s="61">
        <v>2710148</v>
      </c>
      <c r="K71" s="61">
        <v>100</v>
      </c>
      <c r="L71" s="61">
        <v>2030</v>
      </c>
      <c r="M71" s="61">
        <v>40</v>
      </c>
      <c r="N71" s="84" t="s">
        <v>1096</v>
      </c>
      <c r="O71" s="61">
        <v>1626088.8</v>
      </c>
      <c r="P71" s="61">
        <v>2108505</v>
      </c>
      <c r="Q71" s="84" t="s">
        <v>1096</v>
      </c>
      <c r="R71" s="83">
        <v>55.499090824560135</v>
      </c>
      <c r="S71" s="83" t="s">
        <v>1130</v>
      </c>
      <c r="T71" s="83" t="s">
        <v>1146</v>
      </c>
      <c r="U71" s="83" t="s">
        <v>1231</v>
      </c>
      <c r="V71" s="83"/>
      <c r="W71" s="83"/>
      <c r="X71" s="83"/>
      <c r="Y71" s="83"/>
      <c r="Z71" s="83"/>
      <c r="AA71" s="83"/>
      <c r="AB71" s="83"/>
      <c r="AC71" s="83"/>
      <c r="AD71" s="83"/>
      <c r="AE71" s="83"/>
      <c r="AF71" s="83"/>
      <c r="AG71" s="83"/>
      <c r="AH71" s="83"/>
      <c r="AI71" s="83"/>
      <c r="AJ71" s="83"/>
      <c r="AK71" s="83"/>
      <c r="AL71" s="83"/>
      <c r="AM71" s="83"/>
      <c r="AN71" s="83"/>
      <c r="AO71" s="83"/>
      <c r="AP71" s="83"/>
      <c r="AQ71" s="83"/>
      <c r="AR71" s="83"/>
      <c r="AS71" s="34"/>
      <c r="AT71" s="34"/>
      <c r="AU71" s="34"/>
      <c r="AV71" s="34"/>
      <c r="AW71" s="34"/>
      <c r="AX71" s="34"/>
      <c r="AY71" s="34"/>
      <c r="AZ71" s="34"/>
      <c r="BA71" s="34"/>
    </row>
    <row r="72" spans="1:53">
      <c r="A72" s="61">
        <v>61</v>
      </c>
      <c r="B72" s="61" t="s">
        <v>1126</v>
      </c>
      <c r="C72" s="61" t="s">
        <v>1127</v>
      </c>
      <c r="D72" s="61" t="s">
        <v>1128</v>
      </c>
      <c r="E72" s="83" t="s">
        <v>1096</v>
      </c>
      <c r="F72" s="61">
        <v>2018</v>
      </c>
      <c r="G72" s="83" t="s">
        <v>1129</v>
      </c>
      <c r="H72" s="84">
        <v>2016</v>
      </c>
      <c r="I72" s="84" t="s">
        <v>1096</v>
      </c>
      <c r="J72" s="61">
        <v>99214.39</v>
      </c>
      <c r="K72" s="61">
        <v>100</v>
      </c>
      <c r="L72" s="61">
        <v>2025</v>
      </c>
      <c r="M72" s="61">
        <v>38</v>
      </c>
      <c r="N72" s="84" t="s">
        <v>1096</v>
      </c>
      <c r="O72" s="61">
        <v>61512.921799999996</v>
      </c>
      <c r="P72" s="61">
        <v>56898.96</v>
      </c>
      <c r="Q72" s="84" t="s">
        <v>1096</v>
      </c>
      <c r="R72" s="83">
        <v>112.23814885808612</v>
      </c>
      <c r="S72" s="83" t="s">
        <v>1130</v>
      </c>
      <c r="T72" s="83" t="s">
        <v>1137</v>
      </c>
      <c r="U72" s="83" t="s">
        <v>1232</v>
      </c>
      <c r="V72" s="83"/>
      <c r="W72" s="83"/>
      <c r="X72" s="83"/>
      <c r="Y72" s="83"/>
      <c r="Z72" s="83"/>
      <c r="AA72" s="83"/>
      <c r="AB72" s="83"/>
      <c r="AC72" s="83"/>
      <c r="AD72" s="83"/>
      <c r="AE72" s="83"/>
      <c r="AF72" s="83"/>
      <c r="AG72" s="83"/>
      <c r="AH72" s="83"/>
      <c r="AI72" s="83"/>
      <c r="AJ72" s="83"/>
      <c r="AK72" s="83"/>
      <c r="AL72" s="83"/>
      <c r="AM72" s="83"/>
      <c r="AN72" s="83"/>
      <c r="AO72" s="83"/>
      <c r="AP72" s="83"/>
      <c r="AQ72" s="83"/>
      <c r="AR72" s="83"/>
      <c r="AS72" s="34"/>
      <c r="AT72" s="34"/>
      <c r="AU72" s="34"/>
      <c r="AV72" s="34"/>
      <c r="AW72" s="34"/>
      <c r="AX72" s="34"/>
      <c r="AY72" s="34"/>
      <c r="AZ72" s="34"/>
      <c r="BA72" s="34"/>
    </row>
    <row r="73" spans="1:53">
      <c r="A73" s="61">
        <v>61</v>
      </c>
      <c r="B73" s="61" t="s">
        <v>1126</v>
      </c>
      <c r="C73" s="61" t="s">
        <v>1141</v>
      </c>
      <c r="D73" s="61" t="s">
        <v>1151</v>
      </c>
      <c r="E73" s="83" t="s">
        <v>1096</v>
      </c>
      <c r="F73" s="61">
        <v>2018</v>
      </c>
      <c r="G73" s="83" t="s">
        <v>1129</v>
      </c>
      <c r="H73" s="84">
        <v>2016</v>
      </c>
      <c r="I73" s="84" t="s">
        <v>1096</v>
      </c>
      <c r="J73" s="61">
        <v>848977.95</v>
      </c>
      <c r="K73" s="61">
        <v>100</v>
      </c>
      <c r="L73" s="61">
        <v>2025</v>
      </c>
      <c r="M73" s="61">
        <v>20</v>
      </c>
      <c r="N73" s="84" t="s">
        <v>1096</v>
      </c>
      <c r="O73" s="61">
        <v>679182.36</v>
      </c>
      <c r="P73" s="61">
        <v>503012.19</v>
      </c>
      <c r="Q73" s="84" t="s">
        <v>1096</v>
      </c>
      <c r="R73" s="83">
        <v>203.75426711612477</v>
      </c>
      <c r="S73" s="83" t="s">
        <v>1130</v>
      </c>
      <c r="T73" s="83" t="s">
        <v>1137</v>
      </c>
      <c r="U73" s="83" t="s">
        <v>1233</v>
      </c>
      <c r="V73" s="83"/>
      <c r="W73" s="83"/>
      <c r="X73" s="83"/>
      <c r="Y73" s="83"/>
      <c r="Z73" s="83"/>
      <c r="AA73" s="83"/>
      <c r="AB73" s="83"/>
      <c r="AC73" s="83"/>
      <c r="AD73" s="83"/>
      <c r="AE73" s="83"/>
      <c r="AF73" s="83"/>
      <c r="AG73" s="83"/>
      <c r="AH73" s="83"/>
      <c r="AI73" s="83"/>
      <c r="AJ73" s="83"/>
      <c r="AK73" s="83"/>
      <c r="AL73" s="83"/>
      <c r="AM73" s="83"/>
      <c r="AN73" s="83"/>
      <c r="AO73" s="83"/>
      <c r="AP73" s="83"/>
      <c r="AQ73" s="83"/>
      <c r="AR73" s="83"/>
      <c r="AS73" s="34"/>
      <c r="AT73" s="34"/>
      <c r="AU73" s="34"/>
      <c r="AV73" s="34"/>
      <c r="AW73" s="34"/>
      <c r="AX73" s="34"/>
      <c r="AY73" s="34"/>
      <c r="AZ73" s="34"/>
      <c r="BA73" s="34"/>
    </row>
    <row r="74" spans="1:53">
      <c r="A74" s="61">
        <v>62</v>
      </c>
      <c r="B74" s="61" t="s">
        <v>1126</v>
      </c>
      <c r="C74" s="61" t="s">
        <v>1157</v>
      </c>
      <c r="D74" s="61" t="s">
        <v>1234</v>
      </c>
      <c r="E74" s="83" t="s">
        <v>1096</v>
      </c>
      <c r="F74" s="61">
        <v>2018</v>
      </c>
      <c r="G74" s="83" t="s">
        <v>1129</v>
      </c>
      <c r="H74" s="84">
        <v>2015</v>
      </c>
      <c r="I74" s="84" t="s">
        <v>1096</v>
      </c>
      <c r="J74" s="61">
        <v>8446246.4800000004</v>
      </c>
      <c r="K74" s="61">
        <v>100</v>
      </c>
      <c r="L74" s="61">
        <v>2030</v>
      </c>
      <c r="M74" s="61">
        <v>36</v>
      </c>
      <c r="N74" s="84" t="s">
        <v>1096</v>
      </c>
      <c r="O74" s="61">
        <v>5405597.7472000001</v>
      </c>
      <c r="P74" s="61">
        <v>8132508.3600000003</v>
      </c>
      <c r="Q74" s="84" t="s">
        <v>1096</v>
      </c>
      <c r="R74" s="83">
        <v>10.318131016439128</v>
      </c>
      <c r="S74" s="83" t="s">
        <v>1130</v>
      </c>
      <c r="T74" s="83" t="s">
        <v>1137</v>
      </c>
      <c r="U74" s="83" t="s">
        <v>1235</v>
      </c>
      <c r="V74" s="83"/>
      <c r="W74" s="83"/>
      <c r="X74" s="83"/>
      <c r="Y74" s="83"/>
      <c r="Z74" s="83"/>
      <c r="AA74" s="83"/>
      <c r="AB74" s="83"/>
      <c r="AC74" s="83"/>
      <c r="AD74" s="83"/>
      <c r="AE74" s="83"/>
      <c r="AF74" s="83"/>
      <c r="AG74" s="83"/>
      <c r="AH74" s="83"/>
      <c r="AI74" s="83"/>
      <c r="AJ74" s="83"/>
      <c r="AK74" s="83"/>
      <c r="AL74" s="83"/>
      <c r="AM74" s="83"/>
      <c r="AN74" s="83"/>
      <c r="AO74" s="83"/>
      <c r="AP74" s="83"/>
      <c r="AQ74" s="83"/>
      <c r="AR74" s="83"/>
      <c r="AS74" s="34"/>
      <c r="AT74" s="34"/>
      <c r="AU74" s="34"/>
      <c r="AV74" s="34"/>
      <c r="AW74" s="34"/>
      <c r="AX74" s="34"/>
      <c r="AY74" s="34"/>
      <c r="AZ74" s="34"/>
      <c r="BA74" s="34"/>
    </row>
    <row r="75" spans="1:53">
      <c r="A75" s="61">
        <v>64</v>
      </c>
      <c r="B75" s="61" t="s">
        <v>1126</v>
      </c>
      <c r="C75" s="61" t="s">
        <v>1127</v>
      </c>
      <c r="D75" s="61" t="s">
        <v>1133</v>
      </c>
      <c r="E75" s="83" t="s">
        <v>1096</v>
      </c>
      <c r="F75" s="61">
        <v>2016</v>
      </c>
      <c r="G75" s="83"/>
      <c r="H75" s="84">
        <v>2015</v>
      </c>
      <c r="I75" s="84" t="s">
        <v>1096</v>
      </c>
      <c r="J75" s="61">
        <v>1458970</v>
      </c>
      <c r="K75" s="61">
        <v>100</v>
      </c>
      <c r="L75" s="61">
        <v>2025</v>
      </c>
      <c r="M75" s="61">
        <v>40</v>
      </c>
      <c r="N75" s="84" t="s">
        <v>1096</v>
      </c>
      <c r="O75" s="61">
        <v>875382</v>
      </c>
      <c r="P75" s="61">
        <v>1071970</v>
      </c>
      <c r="Q75" s="84" t="s">
        <v>1096</v>
      </c>
      <c r="R75" s="83">
        <v>66.31390638601205</v>
      </c>
      <c r="S75" s="83" t="s">
        <v>1130</v>
      </c>
      <c r="T75" s="83" t="s">
        <v>1159</v>
      </c>
      <c r="U75" s="83" t="s">
        <v>1236</v>
      </c>
      <c r="V75" s="83"/>
      <c r="W75" s="83"/>
      <c r="X75" s="83"/>
      <c r="Y75" s="83"/>
      <c r="Z75" s="83"/>
      <c r="AA75" s="83"/>
      <c r="AB75" s="83"/>
      <c r="AC75" s="83"/>
      <c r="AD75" s="83"/>
      <c r="AE75" s="83"/>
      <c r="AF75" s="83"/>
      <c r="AG75" s="83"/>
      <c r="AH75" s="83"/>
      <c r="AI75" s="83"/>
      <c r="AJ75" s="83"/>
      <c r="AK75" s="83"/>
      <c r="AL75" s="83"/>
      <c r="AM75" s="83"/>
      <c r="AN75" s="83"/>
      <c r="AO75" s="83"/>
      <c r="AP75" s="83"/>
      <c r="AQ75" s="83"/>
      <c r="AR75" s="83"/>
      <c r="AS75" s="34"/>
      <c r="AT75" s="34"/>
      <c r="AU75" s="34"/>
      <c r="AV75" s="34"/>
      <c r="AW75" s="34"/>
      <c r="AX75" s="34"/>
      <c r="AY75" s="34"/>
      <c r="AZ75" s="34"/>
      <c r="BA75" s="34"/>
    </row>
    <row r="76" spans="1:53">
      <c r="A76" s="61">
        <v>65</v>
      </c>
      <c r="B76" s="61" t="s">
        <v>1126</v>
      </c>
      <c r="C76" s="61" t="s">
        <v>1127</v>
      </c>
      <c r="D76" s="61" t="s">
        <v>1209</v>
      </c>
      <c r="E76" s="83" t="s">
        <v>1096</v>
      </c>
      <c r="F76" s="61">
        <v>2015</v>
      </c>
      <c r="G76" s="83" t="s">
        <v>1129</v>
      </c>
      <c r="H76" s="84">
        <v>2012</v>
      </c>
      <c r="I76" s="84" t="s">
        <v>1096</v>
      </c>
      <c r="J76" s="61">
        <v>176955</v>
      </c>
      <c r="K76" s="61">
        <v>100</v>
      </c>
      <c r="L76" s="61">
        <v>2020</v>
      </c>
      <c r="M76" s="61">
        <v>10</v>
      </c>
      <c r="N76" s="84" t="s">
        <v>1096</v>
      </c>
      <c r="O76" s="61">
        <v>159259.5</v>
      </c>
      <c r="P76" s="61">
        <v>129852</v>
      </c>
      <c r="Q76" s="84" t="s">
        <v>1096</v>
      </c>
      <c r="R76" s="83">
        <v>266.18631855556498</v>
      </c>
      <c r="S76" s="83" t="s">
        <v>1143</v>
      </c>
      <c r="T76" s="83" t="s">
        <v>1146</v>
      </c>
      <c r="U76" s="83" t="s">
        <v>1237</v>
      </c>
      <c r="V76" s="83"/>
      <c r="W76" s="83"/>
      <c r="X76" s="83"/>
      <c r="Y76" s="83"/>
      <c r="Z76" s="83"/>
      <c r="AA76" s="83"/>
      <c r="AB76" s="83"/>
      <c r="AC76" s="83"/>
      <c r="AD76" s="83"/>
      <c r="AE76" s="83"/>
      <c r="AF76" s="83"/>
      <c r="AG76" s="83"/>
      <c r="AH76" s="83"/>
      <c r="AI76" s="83"/>
      <c r="AJ76" s="83"/>
      <c r="AK76" s="83"/>
      <c r="AL76" s="83"/>
      <c r="AM76" s="83"/>
      <c r="AN76" s="83"/>
      <c r="AO76" s="83"/>
      <c r="AP76" s="83"/>
      <c r="AQ76" s="83"/>
      <c r="AR76" s="83"/>
      <c r="AS76" s="34"/>
      <c r="AT76" s="34"/>
      <c r="AU76" s="34"/>
      <c r="AV76" s="34"/>
      <c r="AW76" s="34"/>
      <c r="AX76" s="34"/>
      <c r="AY76" s="34"/>
      <c r="AZ76" s="34"/>
      <c r="BA76" s="34"/>
    </row>
    <row r="77" spans="1:53">
      <c r="A77" s="61">
        <v>65</v>
      </c>
      <c r="B77" s="61" t="s">
        <v>1126</v>
      </c>
      <c r="C77" s="61" t="s">
        <v>1157</v>
      </c>
      <c r="D77" s="61" t="s">
        <v>1136</v>
      </c>
      <c r="E77" s="83" t="s">
        <v>1096</v>
      </c>
      <c r="F77" s="61">
        <v>2015</v>
      </c>
      <c r="G77" s="83" t="s">
        <v>1129</v>
      </c>
      <c r="H77" s="84">
        <v>2019</v>
      </c>
      <c r="I77" s="84" t="s">
        <v>1096</v>
      </c>
      <c r="J77" s="61">
        <v>129852</v>
      </c>
      <c r="K77" s="61">
        <v>100</v>
      </c>
      <c r="L77" s="61">
        <v>2019</v>
      </c>
      <c r="M77" s="61">
        <v>100</v>
      </c>
      <c r="N77" s="84" t="s">
        <v>1096</v>
      </c>
      <c r="O77" s="61">
        <v>0</v>
      </c>
      <c r="P77" s="61">
        <v>129852</v>
      </c>
      <c r="Q77" s="84" t="s">
        <v>1096</v>
      </c>
      <c r="R77" s="83">
        <v>0</v>
      </c>
      <c r="S77" s="83" t="s">
        <v>1143</v>
      </c>
      <c r="T77" s="83" t="s">
        <v>1159</v>
      </c>
      <c r="U77" s="83" t="s">
        <v>1238</v>
      </c>
      <c r="V77" s="83"/>
      <c r="W77" s="83"/>
      <c r="X77" s="83"/>
      <c r="Y77" s="83"/>
      <c r="Z77" s="83"/>
      <c r="AA77" s="83"/>
      <c r="AB77" s="83"/>
      <c r="AC77" s="83"/>
      <c r="AD77" s="83"/>
      <c r="AE77" s="83"/>
      <c r="AF77" s="83"/>
      <c r="AG77" s="83"/>
      <c r="AH77" s="83"/>
      <c r="AI77" s="83"/>
      <c r="AJ77" s="83"/>
      <c r="AK77" s="83"/>
      <c r="AL77" s="83"/>
      <c r="AM77" s="83"/>
      <c r="AN77" s="83"/>
      <c r="AO77" s="83"/>
      <c r="AP77" s="83"/>
      <c r="AQ77" s="83"/>
      <c r="AR77" s="83"/>
      <c r="AS77" s="34"/>
      <c r="AT77" s="34"/>
      <c r="AU77" s="34"/>
      <c r="AV77" s="34"/>
      <c r="AW77" s="34"/>
      <c r="AX77" s="34"/>
      <c r="AY77" s="34"/>
      <c r="AZ77" s="34"/>
      <c r="BA77" s="34"/>
    </row>
    <row r="78" spans="1:53">
      <c r="A78" s="61">
        <v>66</v>
      </c>
      <c r="B78" s="61" t="s">
        <v>1126</v>
      </c>
      <c r="C78" s="61" t="s">
        <v>1157</v>
      </c>
      <c r="D78" s="61" t="s">
        <v>1239</v>
      </c>
      <c r="E78" s="83" t="s">
        <v>1096</v>
      </c>
      <c r="F78" s="61">
        <v>2013</v>
      </c>
      <c r="G78" s="83" t="s">
        <v>1129</v>
      </c>
      <c r="H78" s="84">
        <v>2018</v>
      </c>
      <c r="I78" s="84" t="s">
        <v>1096</v>
      </c>
      <c r="J78" s="61">
        <v>0.01</v>
      </c>
      <c r="K78" s="61">
        <v>100</v>
      </c>
      <c r="L78" s="61">
        <v>2019</v>
      </c>
      <c r="M78" s="61">
        <v>100</v>
      </c>
      <c r="N78" s="84" t="s">
        <v>1096</v>
      </c>
      <c r="O78" s="61">
        <v>0</v>
      </c>
      <c r="P78" s="61">
        <v>0</v>
      </c>
      <c r="Q78" s="84" t="s">
        <v>1096</v>
      </c>
      <c r="R78" s="83">
        <v>100</v>
      </c>
      <c r="S78" s="83" t="s">
        <v>1143</v>
      </c>
      <c r="T78" s="83" t="s">
        <v>1144</v>
      </c>
      <c r="U78" s="83" t="s">
        <v>1240</v>
      </c>
      <c r="V78" s="83"/>
      <c r="W78" s="83"/>
      <c r="X78" s="83"/>
      <c r="Y78" s="83"/>
      <c r="Z78" s="83"/>
      <c r="AA78" s="83"/>
      <c r="AB78" s="83"/>
      <c r="AC78" s="83"/>
      <c r="AD78" s="83"/>
      <c r="AE78" s="83"/>
      <c r="AF78" s="83"/>
      <c r="AG78" s="83"/>
      <c r="AH78" s="83"/>
      <c r="AI78" s="83"/>
      <c r="AJ78" s="83"/>
      <c r="AK78" s="83"/>
      <c r="AL78" s="83"/>
      <c r="AM78" s="83"/>
      <c r="AN78" s="83"/>
      <c r="AO78" s="83"/>
      <c r="AP78" s="83"/>
      <c r="AQ78" s="83"/>
      <c r="AR78" s="83"/>
      <c r="AS78" s="34"/>
      <c r="AT78" s="34"/>
      <c r="AU78" s="34"/>
      <c r="AV78" s="34"/>
      <c r="AW78" s="34"/>
      <c r="AX78" s="34"/>
      <c r="AY78" s="34"/>
      <c r="AZ78" s="34"/>
      <c r="BA78" s="34"/>
    </row>
    <row r="79" spans="1:53">
      <c r="A79" s="61">
        <v>66</v>
      </c>
      <c r="B79" s="61" t="s">
        <v>1126</v>
      </c>
      <c r="C79" s="61" t="s">
        <v>1127</v>
      </c>
      <c r="D79" s="61" t="s">
        <v>1133</v>
      </c>
      <c r="E79" s="83" t="s">
        <v>1096</v>
      </c>
      <c r="F79" s="61">
        <v>2017</v>
      </c>
      <c r="G79" s="83" t="s">
        <v>1129</v>
      </c>
      <c r="H79" s="84">
        <v>2013</v>
      </c>
      <c r="I79" s="84" t="s">
        <v>1096</v>
      </c>
      <c r="J79" s="61">
        <v>920143</v>
      </c>
      <c r="K79" s="61">
        <v>100</v>
      </c>
      <c r="L79" s="61">
        <v>2030</v>
      </c>
      <c r="M79" s="61">
        <v>75</v>
      </c>
      <c r="N79" s="84" t="s">
        <v>1096</v>
      </c>
      <c r="O79" s="61">
        <v>230035.75</v>
      </c>
      <c r="P79" s="61">
        <v>388787</v>
      </c>
      <c r="Q79" s="84" t="s">
        <v>1096</v>
      </c>
      <c r="R79" s="83">
        <v>76.996148062493191</v>
      </c>
      <c r="S79" s="83" t="s">
        <v>1130</v>
      </c>
      <c r="T79" s="83" t="s">
        <v>1159</v>
      </c>
      <c r="U79" s="83" t="s">
        <v>1241</v>
      </c>
      <c r="V79" s="83"/>
      <c r="W79" s="83"/>
      <c r="X79" s="83"/>
      <c r="Y79" s="83"/>
      <c r="Z79" s="83"/>
      <c r="AA79" s="83"/>
      <c r="AB79" s="83"/>
      <c r="AC79" s="83"/>
      <c r="AD79" s="83"/>
      <c r="AE79" s="83"/>
      <c r="AF79" s="83"/>
      <c r="AG79" s="83"/>
      <c r="AH79" s="83"/>
      <c r="AI79" s="83"/>
      <c r="AJ79" s="83"/>
      <c r="AK79" s="83"/>
      <c r="AL79" s="83"/>
      <c r="AM79" s="83"/>
      <c r="AN79" s="83"/>
      <c r="AO79" s="83"/>
      <c r="AP79" s="83"/>
      <c r="AQ79" s="83"/>
      <c r="AR79" s="83"/>
      <c r="AS79" s="34"/>
      <c r="AT79" s="34"/>
      <c r="AU79" s="34"/>
      <c r="AV79" s="34"/>
      <c r="AW79" s="34"/>
      <c r="AX79" s="34"/>
      <c r="AY79" s="34"/>
      <c r="AZ79" s="34"/>
      <c r="BA79" s="34"/>
    </row>
    <row r="80" spans="1:53">
      <c r="A80" s="61">
        <v>66</v>
      </c>
      <c r="B80" s="61" t="s">
        <v>1126</v>
      </c>
      <c r="C80" s="61" t="s">
        <v>1127</v>
      </c>
      <c r="D80" s="61" t="s">
        <v>1133</v>
      </c>
      <c r="E80" s="83" t="s">
        <v>1096</v>
      </c>
      <c r="F80" s="61">
        <v>2017</v>
      </c>
      <c r="G80" s="83" t="s">
        <v>1129</v>
      </c>
      <c r="H80" s="84">
        <v>2013</v>
      </c>
      <c r="I80" s="84" t="s">
        <v>1096</v>
      </c>
      <c r="J80" s="61">
        <v>920143</v>
      </c>
      <c r="K80" s="61">
        <v>100</v>
      </c>
      <c r="L80" s="61">
        <v>2045</v>
      </c>
      <c r="M80" s="61">
        <v>75</v>
      </c>
      <c r="N80" s="84" t="s">
        <v>1096</v>
      </c>
      <c r="O80" s="61">
        <v>230035.75</v>
      </c>
      <c r="P80" s="61">
        <v>388787</v>
      </c>
      <c r="Q80" s="84" t="s">
        <v>1096</v>
      </c>
      <c r="R80" s="83">
        <v>76.996148062493191</v>
      </c>
      <c r="S80" s="83" t="s">
        <v>1130</v>
      </c>
      <c r="T80" s="83" t="s">
        <v>1159</v>
      </c>
      <c r="U80" s="83" t="s">
        <v>1242</v>
      </c>
      <c r="V80" s="83"/>
      <c r="W80" s="83"/>
      <c r="X80" s="83"/>
      <c r="Y80" s="83"/>
      <c r="Z80" s="83"/>
      <c r="AA80" s="83"/>
      <c r="AB80" s="83"/>
      <c r="AC80" s="83"/>
      <c r="AD80" s="83"/>
      <c r="AE80" s="83"/>
      <c r="AF80" s="83"/>
      <c r="AG80" s="83"/>
      <c r="AH80" s="83"/>
      <c r="AI80" s="83"/>
      <c r="AJ80" s="83"/>
      <c r="AK80" s="83"/>
      <c r="AL80" s="83"/>
      <c r="AM80" s="83"/>
      <c r="AN80" s="83"/>
      <c r="AO80" s="83"/>
      <c r="AP80" s="83"/>
      <c r="AQ80" s="83"/>
      <c r="AR80" s="83"/>
      <c r="AS80" s="34"/>
      <c r="AT80" s="34"/>
      <c r="AU80" s="34"/>
      <c r="AV80" s="34"/>
      <c r="AW80" s="34"/>
      <c r="AX80" s="34"/>
      <c r="AY80" s="34"/>
      <c r="AZ80" s="34"/>
      <c r="BA80" s="34"/>
    </row>
    <row r="81" spans="1:53">
      <c r="A81" s="61">
        <v>67</v>
      </c>
      <c r="B81" s="61" t="s">
        <v>1126</v>
      </c>
      <c r="C81" s="61" t="s">
        <v>1127</v>
      </c>
      <c r="D81" s="61" t="s">
        <v>1133</v>
      </c>
      <c r="E81" s="83" t="s">
        <v>1096</v>
      </c>
      <c r="F81" s="61">
        <v>2015</v>
      </c>
      <c r="G81" s="83" t="s">
        <v>1129</v>
      </c>
      <c r="H81" s="84">
        <v>2013</v>
      </c>
      <c r="I81" s="84" t="s">
        <v>1096</v>
      </c>
      <c r="J81" s="61">
        <v>1566367</v>
      </c>
      <c r="K81" s="61">
        <v>90</v>
      </c>
      <c r="L81" s="61">
        <v>2020</v>
      </c>
      <c r="M81" s="61">
        <v>15</v>
      </c>
      <c r="N81" s="84" t="s">
        <v>1096</v>
      </c>
      <c r="O81" s="61">
        <v>1331411.95</v>
      </c>
      <c r="P81" s="61">
        <v>1336793</v>
      </c>
      <c r="Q81" s="84" t="s">
        <v>1096</v>
      </c>
      <c r="R81" s="83">
        <v>97.709753418792218</v>
      </c>
      <c r="S81" s="83" t="s">
        <v>1143</v>
      </c>
      <c r="T81" s="83" t="s">
        <v>1159</v>
      </c>
      <c r="U81" s="83" t="s">
        <v>1243</v>
      </c>
      <c r="V81" s="83"/>
      <c r="W81" s="83"/>
      <c r="X81" s="83"/>
      <c r="Y81" s="83"/>
      <c r="Z81" s="83"/>
      <c r="AA81" s="83"/>
      <c r="AB81" s="83"/>
      <c r="AC81" s="83"/>
      <c r="AD81" s="83"/>
      <c r="AE81" s="83"/>
      <c r="AF81" s="83"/>
      <c r="AG81" s="83"/>
      <c r="AH81" s="83"/>
      <c r="AI81" s="83"/>
      <c r="AJ81" s="83"/>
      <c r="AK81" s="83"/>
      <c r="AL81" s="83"/>
      <c r="AM81" s="83"/>
      <c r="AN81" s="83"/>
      <c r="AO81" s="83"/>
      <c r="AP81" s="83"/>
      <c r="AQ81" s="83"/>
      <c r="AR81" s="83"/>
      <c r="AS81" s="34"/>
      <c r="AT81" s="34"/>
      <c r="AU81" s="34"/>
      <c r="AV81" s="34"/>
      <c r="AW81" s="34"/>
      <c r="AX81" s="34"/>
      <c r="AY81" s="34"/>
      <c r="AZ81" s="34"/>
      <c r="BA81" s="34"/>
    </row>
    <row r="82" spans="1:53">
      <c r="A82" s="61">
        <v>67</v>
      </c>
      <c r="B82" s="61" t="s">
        <v>1126</v>
      </c>
      <c r="C82" s="61" t="s">
        <v>1157</v>
      </c>
      <c r="D82" s="61" t="s">
        <v>1200</v>
      </c>
      <c r="E82" s="83" t="s">
        <v>1096</v>
      </c>
      <c r="F82" s="61">
        <v>2019</v>
      </c>
      <c r="G82" s="83" t="s">
        <v>1129</v>
      </c>
      <c r="H82" s="84">
        <v>2018</v>
      </c>
      <c r="I82" s="84" t="s">
        <v>1096</v>
      </c>
      <c r="J82" s="61">
        <v>18903340</v>
      </c>
      <c r="K82" s="61">
        <v>80</v>
      </c>
      <c r="L82" s="61">
        <v>2025</v>
      </c>
      <c r="M82" s="61">
        <v>10</v>
      </c>
      <c r="N82" s="84" t="s">
        <v>1096</v>
      </c>
      <c r="O82" s="61">
        <v>17013006</v>
      </c>
      <c r="P82" s="61"/>
      <c r="Q82" s="84" t="s">
        <v>1096</v>
      </c>
      <c r="R82" s="83">
        <v>1000</v>
      </c>
      <c r="S82" s="83" t="s">
        <v>1154</v>
      </c>
      <c r="T82" s="83" t="s">
        <v>1137</v>
      </c>
      <c r="U82" s="83" t="s">
        <v>1244</v>
      </c>
      <c r="V82" s="83"/>
      <c r="W82" s="83"/>
      <c r="X82" s="83"/>
      <c r="Y82" s="83"/>
      <c r="Z82" s="83"/>
      <c r="AA82" s="83"/>
      <c r="AB82" s="83"/>
      <c r="AC82" s="83"/>
      <c r="AD82" s="83"/>
      <c r="AE82" s="83"/>
      <c r="AF82" s="83"/>
      <c r="AG82" s="83"/>
      <c r="AH82" s="83"/>
      <c r="AI82" s="83"/>
      <c r="AJ82" s="83"/>
      <c r="AK82" s="83"/>
      <c r="AL82" s="83"/>
      <c r="AM82" s="83"/>
      <c r="AN82" s="83"/>
      <c r="AO82" s="83"/>
      <c r="AP82" s="83"/>
      <c r="AQ82" s="83"/>
      <c r="AR82" s="83"/>
      <c r="AS82" s="34"/>
      <c r="AT82" s="34"/>
      <c r="AU82" s="34"/>
      <c r="AV82" s="34"/>
      <c r="AW82" s="34"/>
      <c r="AX82" s="34"/>
      <c r="AY82" s="34"/>
      <c r="AZ82" s="34"/>
      <c r="BA82" s="34"/>
    </row>
    <row r="83" spans="1:53">
      <c r="A83" s="61">
        <v>68</v>
      </c>
      <c r="B83" s="61" t="s">
        <v>1126</v>
      </c>
      <c r="C83" s="61" t="s">
        <v>1157</v>
      </c>
      <c r="D83" s="61" t="s">
        <v>1245</v>
      </c>
      <c r="E83" s="83" t="s">
        <v>1096</v>
      </c>
      <c r="F83" s="61">
        <v>2017</v>
      </c>
      <c r="G83" s="83" t="s">
        <v>1129</v>
      </c>
      <c r="H83" s="84">
        <v>2012</v>
      </c>
      <c r="I83" s="84" t="s">
        <v>1096</v>
      </c>
      <c r="J83" s="61">
        <v>465350</v>
      </c>
      <c r="K83" s="61">
        <v>100</v>
      </c>
      <c r="L83" s="61">
        <v>2022</v>
      </c>
      <c r="M83" s="61">
        <v>100</v>
      </c>
      <c r="N83" s="84" t="s">
        <v>1096</v>
      </c>
      <c r="O83" s="61">
        <v>0</v>
      </c>
      <c r="P83" s="61">
        <v>304200</v>
      </c>
      <c r="Q83" s="84" t="s">
        <v>1096</v>
      </c>
      <c r="R83" s="83">
        <v>34.629848501128187</v>
      </c>
      <c r="S83" s="83" t="s">
        <v>1130</v>
      </c>
      <c r="T83" s="83" t="s">
        <v>1144</v>
      </c>
      <c r="U83" s="83" t="s">
        <v>1246</v>
      </c>
      <c r="V83" s="83"/>
      <c r="W83" s="83"/>
      <c r="X83" s="83"/>
      <c r="Y83" s="83"/>
      <c r="Z83" s="83"/>
      <c r="AA83" s="83"/>
      <c r="AB83" s="83"/>
      <c r="AC83" s="83"/>
      <c r="AD83" s="83"/>
      <c r="AE83" s="83"/>
      <c r="AF83" s="83"/>
      <c r="AG83" s="83"/>
      <c r="AH83" s="83"/>
      <c r="AI83" s="83"/>
      <c r="AJ83" s="83"/>
      <c r="AK83" s="83"/>
      <c r="AL83" s="83"/>
      <c r="AM83" s="83"/>
      <c r="AN83" s="83"/>
      <c r="AO83" s="83"/>
      <c r="AP83" s="83"/>
      <c r="AQ83" s="83"/>
      <c r="AR83" s="83"/>
      <c r="AS83" s="34"/>
      <c r="AT83" s="34"/>
      <c r="AU83" s="34"/>
      <c r="AV83" s="34"/>
      <c r="AW83" s="34"/>
      <c r="AX83" s="34"/>
      <c r="AY83" s="34"/>
      <c r="AZ83" s="34"/>
      <c r="BA83" s="34"/>
    </row>
    <row r="84" spans="1:53">
      <c r="A84" s="61">
        <v>68</v>
      </c>
      <c r="B84" s="61" t="s">
        <v>1126</v>
      </c>
      <c r="C84" s="61" t="s">
        <v>1127</v>
      </c>
      <c r="D84" s="61" t="s">
        <v>1133</v>
      </c>
      <c r="E84" s="83" t="s">
        <v>1096</v>
      </c>
      <c r="F84" s="61">
        <v>2017</v>
      </c>
      <c r="G84" s="83" t="s">
        <v>1129</v>
      </c>
      <c r="H84" s="84">
        <v>2012</v>
      </c>
      <c r="I84" s="84" t="s">
        <v>1096</v>
      </c>
      <c r="J84" s="61">
        <v>357990</v>
      </c>
      <c r="K84" s="61">
        <v>100</v>
      </c>
      <c r="L84" s="61">
        <v>2022</v>
      </c>
      <c r="M84" s="61">
        <v>90</v>
      </c>
      <c r="N84" s="84" t="s">
        <v>1096</v>
      </c>
      <c r="O84" s="61">
        <v>35799</v>
      </c>
      <c r="P84" s="61">
        <v>204500</v>
      </c>
      <c r="Q84" s="84" t="s">
        <v>1096</v>
      </c>
      <c r="R84" s="83">
        <v>47.639443684025935</v>
      </c>
      <c r="S84" s="83" t="s">
        <v>1130</v>
      </c>
      <c r="T84" s="83" t="s">
        <v>1159</v>
      </c>
      <c r="U84" s="83" t="s">
        <v>1247</v>
      </c>
      <c r="V84" s="83"/>
      <c r="W84" s="83"/>
      <c r="X84" s="83"/>
      <c r="Y84" s="83"/>
      <c r="Z84" s="83"/>
      <c r="AA84" s="83"/>
      <c r="AB84" s="83"/>
      <c r="AC84" s="83"/>
      <c r="AD84" s="83"/>
      <c r="AE84" s="83"/>
      <c r="AF84" s="83"/>
      <c r="AG84" s="83"/>
      <c r="AH84" s="83"/>
      <c r="AI84" s="83"/>
      <c r="AJ84" s="83"/>
      <c r="AK84" s="83"/>
      <c r="AL84" s="83"/>
      <c r="AM84" s="83"/>
      <c r="AN84" s="83"/>
      <c r="AO84" s="83"/>
      <c r="AP84" s="83"/>
      <c r="AQ84" s="83"/>
      <c r="AR84" s="83"/>
      <c r="AS84" s="34"/>
      <c r="AT84" s="34"/>
      <c r="AU84" s="34"/>
      <c r="AV84" s="34"/>
      <c r="AW84" s="34"/>
      <c r="AX84" s="34"/>
      <c r="AY84" s="34"/>
      <c r="AZ84" s="34"/>
      <c r="BA84" s="34"/>
    </row>
    <row r="85" spans="1:53">
      <c r="A85" s="61">
        <v>68</v>
      </c>
      <c r="B85" s="61" t="s">
        <v>1126</v>
      </c>
      <c r="C85" s="61" t="s">
        <v>1127</v>
      </c>
      <c r="D85" s="61" t="s">
        <v>1133</v>
      </c>
      <c r="E85" s="83" t="s">
        <v>1096</v>
      </c>
      <c r="F85" s="61">
        <v>2017</v>
      </c>
      <c r="G85" s="83" t="s">
        <v>1129</v>
      </c>
      <c r="H85" s="84">
        <v>2012</v>
      </c>
      <c r="I85" s="84" t="s">
        <v>1096</v>
      </c>
      <c r="J85" s="61">
        <v>357990</v>
      </c>
      <c r="K85" s="61">
        <v>100</v>
      </c>
      <c r="L85" s="61">
        <v>2033</v>
      </c>
      <c r="M85" s="61">
        <v>90</v>
      </c>
      <c r="N85" s="84" t="s">
        <v>1096</v>
      </c>
      <c r="O85" s="61">
        <v>35799</v>
      </c>
      <c r="P85" s="61">
        <v>204500</v>
      </c>
      <c r="Q85" s="84" t="s">
        <v>1096</v>
      </c>
      <c r="R85" s="83">
        <v>47.639443684025935</v>
      </c>
      <c r="S85" s="83" t="s">
        <v>1130</v>
      </c>
      <c r="T85" s="83" t="s">
        <v>1159</v>
      </c>
      <c r="U85" s="83" t="s">
        <v>1248</v>
      </c>
      <c r="V85" s="83"/>
      <c r="W85" s="83"/>
      <c r="X85" s="83"/>
      <c r="Y85" s="83"/>
      <c r="Z85" s="83"/>
      <c r="AA85" s="83"/>
      <c r="AB85" s="83"/>
      <c r="AC85" s="83"/>
      <c r="AD85" s="83"/>
      <c r="AE85" s="83"/>
      <c r="AF85" s="83"/>
      <c r="AG85" s="83"/>
      <c r="AH85" s="83"/>
      <c r="AI85" s="83"/>
      <c r="AJ85" s="83"/>
      <c r="AK85" s="83"/>
      <c r="AL85" s="83"/>
      <c r="AM85" s="83"/>
      <c r="AN85" s="83"/>
      <c r="AO85" s="83"/>
      <c r="AP85" s="83"/>
      <c r="AQ85" s="83"/>
      <c r="AR85" s="83"/>
      <c r="AS85" s="34"/>
      <c r="AT85" s="34"/>
      <c r="AU85" s="34"/>
      <c r="AV85" s="34"/>
      <c r="AW85" s="34"/>
      <c r="AX85" s="34"/>
      <c r="AY85" s="34"/>
      <c r="AZ85" s="34"/>
      <c r="BA85" s="34"/>
    </row>
    <row r="86" spans="1:53">
      <c r="A86" s="61">
        <v>71</v>
      </c>
      <c r="B86" s="61" t="s">
        <v>1126</v>
      </c>
      <c r="C86" s="61" t="s">
        <v>1127</v>
      </c>
      <c r="D86" s="61" t="s">
        <v>1133</v>
      </c>
      <c r="E86" s="83" t="s">
        <v>1096</v>
      </c>
      <c r="F86" s="61">
        <v>2019</v>
      </c>
      <c r="G86" s="83" t="s">
        <v>1129</v>
      </c>
      <c r="H86" s="84">
        <v>2015</v>
      </c>
      <c r="I86" s="84" t="s">
        <v>1096</v>
      </c>
      <c r="J86" s="61">
        <v>264394</v>
      </c>
      <c r="K86" s="61">
        <v>100</v>
      </c>
      <c r="L86" s="61">
        <v>2025</v>
      </c>
      <c r="M86" s="61">
        <v>65</v>
      </c>
      <c r="N86" s="84" t="s">
        <v>1096</v>
      </c>
      <c r="O86" s="61">
        <v>92537.9</v>
      </c>
      <c r="P86" s="61">
        <v>255779</v>
      </c>
      <c r="Q86" s="84" t="s">
        <v>1096</v>
      </c>
      <c r="R86" s="83">
        <v>5.0129148747120409</v>
      </c>
      <c r="S86" s="83" t="s">
        <v>1130</v>
      </c>
      <c r="T86" s="83" t="s">
        <v>1137</v>
      </c>
      <c r="U86" s="83" t="s">
        <v>1249</v>
      </c>
      <c r="V86" s="83"/>
      <c r="W86" s="83"/>
      <c r="X86" s="83"/>
      <c r="Y86" s="83"/>
      <c r="Z86" s="83"/>
      <c r="AA86" s="83"/>
      <c r="AB86" s="83"/>
      <c r="AC86" s="83"/>
      <c r="AD86" s="83"/>
      <c r="AE86" s="83"/>
      <c r="AF86" s="83"/>
      <c r="AG86" s="83"/>
      <c r="AH86" s="83"/>
      <c r="AI86" s="83"/>
      <c r="AJ86" s="83"/>
      <c r="AK86" s="83"/>
      <c r="AL86" s="83"/>
      <c r="AM86" s="83"/>
      <c r="AN86" s="83"/>
      <c r="AO86" s="83"/>
      <c r="AP86" s="83"/>
      <c r="AQ86" s="83"/>
      <c r="AR86" s="83"/>
      <c r="AS86" s="34"/>
      <c r="AT86" s="34"/>
      <c r="AU86" s="34"/>
      <c r="AV86" s="34"/>
      <c r="AW86" s="34"/>
      <c r="AX86" s="34"/>
      <c r="AY86" s="34"/>
      <c r="AZ86" s="34"/>
      <c r="BA86" s="34"/>
    </row>
    <row r="87" spans="1:53">
      <c r="A87" s="61">
        <v>73</v>
      </c>
      <c r="B87" s="61" t="s">
        <v>1126</v>
      </c>
      <c r="C87" s="61" t="s">
        <v>1127</v>
      </c>
      <c r="D87" s="61" t="s">
        <v>1128</v>
      </c>
      <c r="E87" s="83" t="s">
        <v>1096</v>
      </c>
      <c r="F87" s="61">
        <v>2020</v>
      </c>
      <c r="G87" s="83" t="s">
        <v>1201</v>
      </c>
      <c r="H87" s="84">
        <v>2013</v>
      </c>
      <c r="I87" s="84" t="s">
        <v>1096</v>
      </c>
      <c r="J87" s="61">
        <v>8081870</v>
      </c>
      <c r="K87" s="61">
        <v>77</v>
      </c>
      <c r="L87" s="61">
        <v>2025</v>
      </c>
      <c r="M87" s="61">
        <v>4.5999999999999996</v>
      </c>
      <c r="N87" s="84" t="s">
        <v>1096</v>
      </c>
      <c r="O87" s="61">
        <v>7710103.9800000004</v>
      </c>
      <c r="P87" s="61"/>
      <c r="Q87" s="84" t="s">
        <v>1096</v>
      </c>
      <c r="R87" s="83">
        <v>2173.9130434782633</v>
      </c>
      <c r="S87" s="83" t="s">
        <v>1154</v>
      </c>
      <c r="T87" s="83" t="s">
        <v>1146</v>
      </c>
      <c r="U87" s="83" t="s">
        <v>1250</v>
      </c>
      <c r="V87" s="83"/>
      <c r="W87" s="83"/>
      <c r="X87" s="83"/>
      <c r="Y87" s="83"/>
      <c r="Z87" s="83"/>
      <c r="AA87" s="83"/>
      <c r="AB87" s="83"/>
      <c r="AC87" s="83"/>
      <c r="AD87" s="83"/>
      <c r="AE87" s="83"/>
      <c r="AF87" s="83"/>
      <c r="AG87" s="83"/>
      <c r="AH87" s="83"/>
      <c r="AI87" s="83"/>
      <c r="AJ87" s="83"/>
      <c r="AK87" s="83"/>
      <c r="AL87" s="83"/>
      <c r="AM87" s="83"/>
      <c r="AN87" s="83"/>
      <c r="AO87" s="83"/>
      <c r="AP87" s="83"/>
      <c r="AQ87" s="83"/>
      <c r="AR87" s="83"/>
      <c r="AS87" s="34"/>
      <c r="AT87" s="34"/>
      <c r="AU87" s="34"/>
      <c r="AV87" s="34"/>
      <c r="AW87" s="34"/>
      <c r="AX87" s="34"/>
      <c r="AY87" s="34"/>
      <c r="AZ87" s="34"/>
      <c r="BA87" s="34"/>
    </row>
    <row r="88" spans="1:53">
      <c r="A88" s="61">
        <v>74</v>
      </c>
      <c r="B88" s="61" t="s">
        <v>1126</v>
      </c>
      <c r="C88" s="61" t="s">
        <v>1127</v>
      </c>
      <c r="D88" s="61" t="s">
        <v>1133</v>
      </c>
      <c r="E88" s="83" t="s">
        <v>1096</v>
      </c>
      <c r="F88" s="61">
        <v>2018</v>
      </c>
      <c r="G88" s="83" t="s">
        <v>1129</v>
      </c>
      <c r="H88" s="84">
        <v>2015</v>
      </c>
      <c r="I88" s="84" t="s">
        <v>1096</v>
      </c>
      <c r="J88" s="61">
        <v>459516</v>
      </c>
      <c r="K88" s="61">
        <v>100</v>
      </c>
      <c r="L88" s="61">
        <v>2025</v>
      </c>
      <c r="M88" s="61">
        <v>26</v>
      </c>
      <c r="N88" s="84" t="s">
        <v>1096</v>
      </c>
      <c r="O88" s="61">
        <v>340041.84</v>
      </c>
      <c r="P88" s="61">
        <v>365543</v>
      </c>
      <c r="Q88" s="84" t="s">
        <v>1096</v>
      </c>
      <c r="R88" s="83">
        <v>78.655501741966646</v>
      </c>
      <c r="S88" s="83" t="s">
        <v>1130</v>
      </c>
      <c r="T88" s="83" t="s">
        <v>1159</v>
      </c>
      <c r="U88" s="83" t="s">
        <v>1251</v>
      </c>
      <c r="V88" s="83"/>
      <c r="W88" s="83"/>
      <c r="X88" s="83"/>
      <c r="Y88" s="83"/>
      <c r="Z88" s="83"/>
      <c r="AA88" s="83"/>
      <c r="AB88" s="83"/>
      <c r="AC88" s="83"/>
      <c r="AD88" s="83"/>
      <c r="AE88" s="83"/>
      <c r="AF88" s="83"/>
      <c r="AG88" s="83"/>
      <c r="AH88" s="83"/>
      <c r="AI88" s="83"/>
      <c r="AJ88" s="83"/>
      <c r="AK88" s="83"/>
      <c r="AL88" s="83"/>
      <c r="AM88" s="83"/>
      <c r="AN88" s="83"/>
      <c r="AO88" s="83"/>
      <c r="AP88" s="83"/>
      <c r="AQ88" s="83"/>
      <c r="AR88" s="83"/>
      <c r="AS88" s="34"/>
      <c r="AT88" s="34"/>
      <c r="AU88" s="34"/>
      <c r="AV88" s="34"/>
      <c r="AW88" s="34"/>
      <c r="AX88" s="34"/>
      <c r="AY88" s="34"/>
      <c r="AZ88" s="34"/>
      <c r="BA88" s="34"/>
    </row>
    <row r="89" spans="1:53">
      <c r="A89" s="61">
        <v>74</v>
      </c>
      <c r="B89" s="61" t="s">
        <v>1126</v>
      </c>
      <c r="C89" s="61" t="s">
        <v>1127</v>
      </c>
      <c r="D89" s="61" t="s">
        <v>1133</v>
      </c>
      <c r="E89" s="83" t="s">
        <v>1096</v>
      </c>
      <c r="F89" s="61">
        <v>2018</v>
      </c>
      <c r="G89" s="83" t="s">
        <v>1129</v>
      </c>
      <c r="H89" s="84">
        <v>2015</v>
      </c>
      <c r="I89" s="84" t="s">
        <v>1096</v>
      </c>
      <c r="J89" s="61">
        <v>459516</v>
      </c>
      <c r="K89" s="61">
        <v>100</v>
      </c>
      <c r="L89" s="61">
        <v>2050</v>
      </c>
      <c r="M89" s="61">
        <v>65</v>
      </c>
      <c r="N89" s="84" t="s">
        <v>1096</v>
      </c>
      <c r="O89" s="61">
        <v>160830.6</v>
      </c>
      <c r="P89" s="61">
        <v>365543</v>
      </c>
      <c r="Q89" s="84" t="s">
        <v>1096</v>
      </c>
      <c r="R89" s="83">
        <v>31.462200696786653</v>
      </c>
      <c r="S89" s="83" t="s">
        <v>1130</v>
      </c>
      <c r="T89" s="83" t="s">
        <v>1159</v>
      </c>
      <c r="U89" s="83" t="s">
        <v>1252</v>
      </c>
      <c r="V89" s="83"/>
      <c r="W89" s="83"/>
      <c r="X89" s="83"/>
      <c r="Y89" s="83"/>
      <c r="Z89" s="83"/>
      <c r="AA89" s="83"/>
      <c r="AB89" s="83"/>
      <c r="AC89" s="83"/>
      <c r="AD89" s="83"/>
      <c r="AE89" s="83"/>
      <c r="AF89" s="83"/>
      <c r="AG89" s="83"/>
      <c r="AH89" s="83"/>
      <c r="AI89" s="83"/>
      <c r="AJ89" s="83"/>
      <c r="AK89" s="83"/>
      <c r="AL89" s="83"/>
      <c r="AM89" s="83"/>
      <c r="AN89" s="83"/>
      <c r="AO89" s="83"/>
      <c r="AP89" s="83"/>
      <c r="AQ89" s="83"/>
      <c r="AR89" s="83"/>
      <c r="AS89" s="34"/>
      <c r="AT89" s="34"/>
      <c r="AU89" s="34"/>
      <c r="AV89" s="34"/>
      <c r="AW89" s="34"/>
      <c r="AX89" s="34"/>
      <c r="AY89" s="34"/>
      <c r="AZ89" s="34"/>
      <c r="BA89" s="34"/>
    </row>
    <row r="90" spans="1:53">
      <c r="A90" s="61">
        <v>74</v>
      </c>
      <c r="B90" s="61" t="s">
        <v>1126</v>
      </c>
      <c r="C90" s="61" t="s">
        <v>1127</v>
      </c>
      <c r="D90" s="61" t="s">
        <v>1133</v>
      </c>
      <c r="E90" s="83" t="s">
        <v>1096</v>
      </c>
      <c r="F90" s="61">
        <v>2016</v>
      </c>
      <c r="G90" s="83" t="s">
        <v>1201</v>
      </c>
      <c r="H90" s="84">
        <v>2015</v>
      </c>
      <c r="I90" s="84" t="s">
        <v>1096</v>
      </c>
      <c r="J90" s="61">
        <v>373626</v>
      </c>
      <c r="K90" s="61">
        <v>81</v>
      </c>
      <c r="L90" s="61">
        <v>2020</v>
      </c>
      <c r="M90" s="61">
        <v>20</v>
      </c>
      <c r="N90" s="84" t="s">
        <v>1096</v>
      </c>
      <c r="O90" s="61">
        <v>298900.8</v>
      </c>
      <c r="P90" s="61">
        <v>211880</v>
      </c>
      <c r="Q90" s="84" t="s">
        <v>1096</v>
      </c>
      <c r="R90" s="83">
        <v>216.45442233677525</v>
      </c>
      <c r="S90" s="83" t="s">
        <v>1143</v>
      </c>
      <c r="T90" s="83" t="s">
        <v>1159</v>
      </c>
      <c r="U90" s="83" t="s">
        <v>1253</v>
      </c>
      <c r="V90" s="83"/>
      <c r="W90" s="83"/>
      <c r="X90" s="83"/>
      <c r="Y90" s="83"/>
      <c r="Z90" s="83"/>
      <c r="AA90" s="83"/>
      <c r="AB90" s="83"/>
      <c r="AC90" s="83"/>
      <c r="AD90" s="83"/>
      <c r="AE90" s="83"/>
      <c r="AF90" s="83"/>
      <c r="AG90" s="83"/>
      <c r="AH90" s="83"/>
      <c r="AI90" s="83"/>
      <c r="AJ90" s="83"/>
      <c r="AK90" s="83"/>
      <c r="AL90" s="83"/>
      <c r="AM90" s="83"/>
      <c r="AN90" s="83"/>
      <c r="AO90" s="83"/>
      <c r="AP90" s="83"/>
      <c r="AQ90" s="83"/>
      <c r="AR90" s="83"/>
      <c r="AS90" s="34"/>
      <c r="AT90" s="34"/>
      <c r="AU90" s="34"/>
      <c r="AV90" s="34"/>
      <c r="AW90" s="34"/>
      <c r="AX90" s="34"/>
      <c r="AY90" s="34"/>
      <c r="AZ90" s="34"/>
      <c r="BA90" s="34"/>
    </row>
    <row r="91" spans="1:53">
      <c r="A91" s="61">
        <v>74</v>
      </c>
      <c r="B91" s="61" t="s">
        <v>1126</v>
      </c>
      <c r="C91" s="61" t="s">
        <v>1141</v>
      </c>
      <c r="D91" s="61" t="s">
        <v>1189</v>
      </c>
      <c r="E91" s="83" t="s">
        <v>1096</v>
      </c>
      <c r="F91" s="61">
        <v>2019</v>
      </c>
      <c r="G91" s="83" t="s">
        <v>1129</v>
      </c>
      <c r="H91" s="84">
        <v>2019</v>
      </c>
      <c r="I91" s="84" t="s">
        <v>1096</v>
      </c>
      <c r="J91" s="61">
        <v>173807</v>
      </c>
      <c r="K91" s="61">
        <v>100</v>
      </c>
      <c r="L91" s="61">
        <v>2025</v>
      </c>
      <c r="M91" s="61">
        <v>25</v>
      </c>
      <c r="N91" s="84" t="s">
        <v>1096</v>
      </c>
      <c r="O91" s="61">
        <v>130355.25</v>
      </c>
      <c r="P91" s="61">
        <v>173807</v>
      </c>
      <c r="Q91" s="84" t="s">
        <v>1096</v>
      </c>
      <c r="R91" s="83">
        <v>0</v>
      </c>
      <c r="S91" s="83" t="s">
        <v>1154</v>
      </c>
      <c r="T91" s="83" t="s">
        <v>1144</v>
      </c>
      <c r="U91" s="83" t="s">
        <v>1254</v>
      </c>
      <c r="V91" s="83"/>
      <c r="W91" s="83"/>
      <c r="X91" s="83"/>
      <c r="Y91" s="83"/>
      <c r="Z91" s="83"/>
      <c r="AA91" s="83"/>
      <c r="AB91" s="83"/>
      <c r="AC91" s="83"/>
      <c r="AD91" s="83"/>
      <c r="AE91" s="83"/>
      <c r="AF91" s="83"/>
      <c r="AG91" s="83"/>
      <c r="AH91" s="83"/>
      <c r="AI91" s="83"/>
      <c r="AJ91" s="83"/>
      <c r="AK91" s="83"/>
      <c r="AL91" s="83"/>
      <c r="AM91" s="83"/>
      <c r="AN91" s="83"/>
      <c r="AO91" s="83"/>
      <c r="AP91" s="83"/>
      <c r="AQ91" s="83"/>
      <c r="AR91" s="83"/>
      <c r="AS91" s="34"/>
      <c r="AT91" s="34"/>
      <c r="AU91" s="34"/>
      <c r="AV91" s="34"/>
      <c r="AW91" s="34"/>
      <c r="AX91" s="34"/>
      <c r="AY91" s="34"/>
      <c r="AZ91" s="34"/>
      <c r="BA91" s="34"/>
    </row>
    <row r="92" spans="1:53">
      <c r="A92" s="61">
        <v>76</v>
      </c>
      <c r="B92" s="61" t="s">
        <v>1126</v>
      </c>
      <c r="C92" s="61" t="s">
        <v>1157</v>
      </c>
      <c r="D92" s="61" t="s">
        <v>1173</v>
      </c>
      <c r="E92" s="83" t="s">
        <v>1096</v>
      </c>
      <c r="F92" s="61">
        <v>2016</v>
      </c>
      <c r="G92" s="83" t="s">
        <v>1129</v>
      </c>
      <c r="H92" s="84">
        <v>2015</v>
      </c>
      <c r="I92" s="84" t="s">
        <v>1096</v>
      </c>
      <c r="J92" s="61">
        <v>58755109</v>
      </c>
      <c r="K92" s="61">
        <v>100</v>
      </c>
      <c r="L92" s="61">
        <v>2030</v>
      </c>
      <c r="M92" s="61">
        <v>20</v>
      </c>
      <c r="N92" s="84" t="s">
        <v>1096</v>
      </c>
      <c r="O92" s="61">
        <v>47004087.200000003</v>
      </c>
      <c r="P92" s="61">
        <v>55442735</v>
      </c>
      <c r="Q92" s="84" t="s">
        <v>1096</v>
      </c>
      <c r="R92" s="83">
        <v>28.187965747795658</v>
      </c>
      <c r="S92" s="83" t="s">
        <v>1130</v>
      </c>
      <c r="T92" s="83" t="s">
        <v>1137</v>
      </c>
      <c r="U92" s="83" t="s">
        <v>1255</v>
      </c>
      <c r="V92" s="83"/>
      <c r="W92" s="83"/>
      <c r="X92" s="83"/>
      <c r="Y92" s="83"/>
      <c r="Z92" s="83"/>
      <c r="AA92" s="83"/>
      <c r="AB92" s="83"/>
      <c r="AC92" s="83"/>
      <c r="AD92" s="83"/>
      <c r="AE92" s="83"/>
      <c r="AF92" s="83"/>
      <c r="AG92" s="83"/>
      <c r="AH92" s="83"/>
      <c r="AI92" s="83"/>
      <c r="AJ92" s="83"/>
      <c r="AK92" s="83"/>
      <c r="AL92" s="83"/>
      <c r="AM92" s="83"/>
      <c r="AN92" s="83"/>
      <c r="AO92" s="83"/>
      <c r="AP92" s="83"/>
      <c r="AQ92" s="83"/>
      <c r="AR92" s="83"/>
      <c r="AS92" s="34"/>
      <c r="AT92" s="34"/>
      <c r="AU92" s="34"/>
      <c r="AV92" s="34"/>
      <c r="AW92" s="34"/>
      <c r="AX92" s="34"/>
      <c r="AY92" s="34"/>
      <c r="AZ92" s="34"/>
      <c r="BA92" s="34"/>
    </row>
    <row r="93" spans="1:53">
      <c r="A93" s="61">
        <v>77</v>
      </c>
      <c r="B93" s="61" t="s">
        <v>1126</v>
      </c>
      <c r="C93" s="61" t="s">
        <v>1127</v>
      </c>
      <c r="D93" s="61" t="s">
        <v>1128</v>
      </c>
      <c r="E93" s="83" t="s">
        <v>1096</v>
      </c>
      <c r="F93" s="61">
        <v>2013</v>
      </c>
      <c r="G93" s="83" t="s">
        <v>1129</v>
      </c>
      <c r="H93" s="84">
        <v>2012</v>
      </c>
      <c r="I93" s="84" t="s">
        <v>1096</v>
      </c>
      <c r="J93" s="61">
        <v>2005730</v>
      </c>
      <c r="K93" s="61">
        <v>100</v>
      </c>
      <c r="L93" s="61">
        <v>2020</v>
      </c>
      <c r="M93" s="61">
        <v>20</v>
      </c>
      <c r="N93" s="84" t="s">
        <v>1096</v>
      </c>
      <c r="O93" s="61">
        <v>1604584</v>
      </c>
      <c r="P93" s="61">
        <v>1496924</v>
      </c>
      <c r="Q93" s="84" t="s">
        <v>1096</v>
      </c>
      <c r="R93" s="83">
        <v>126.83810881823577</v>
      </c>
      <c r="S93" s="83" t="s">
        <v>1130</v>
      </c>
      <c r="T93" s="83" t="s">
        <v>1137</v>
      </c>
      <c r="U93" s="83" t="s">
        <v>1256</v>
      </c>
      <c r="V93" s="83"/>
      <c r="W93" s="83"/>
      <c r="X93" s="83"/>
      <c r="Y93" s="83"/>
      <c r="Z93" s="83"/>
      <c r="AA93" s="83"/>
      <c r="AB93" s="83"/>
      <c r="AC93" s="83"/>
      <c r="AD93" s="83"/>
      <c r="AE93" s="83"/>
      <c r="AF93" s="83"/>
      <c r="AG93" s="83"/>
      <c r="AH93" s="83"/>
      <c r="AI93" s="83"/>
      <c r="AJ93" s="83"/>
      <c r="AK93" s="83"/>
      <c r="AL93" s="83"/>
      <c r="AM93" s="83"/>
      <c r="AN93" s="83"/>
      <c r="AO93" s="83"/>
      <c r="AP93" s="83"/>
      <c r="AQ93" s="83"/>
      <c r="AR93" s="83"/>
      <c r="AS93" s="34"/>
      <c r="AT93" s="34"/>
      <c r="AU93" s="34"/>
      <c r="AV93" s="34"/>
      <c r="AW93" s="34"/>
      <c r="AX93" s="34"/>
      <c r="AY93" s="34"/>
      <c r="AZ93" s="34"/>
      <c r="BA93" s="34"/>
    </row>
    <row r="94" spans="1:53">
      <c r="A94" s="61">
        <v>77</v>
      </c>
      <c r="B94" s="61" t="s">
        <v>1126</v>
      </c>
      <c r="C94" s="61" t="s">
        <v>1127</v>
      </c>
      <c r="D94" s="61" t="s">
        <v>1128</v>
      </c>
      <c r="E94" s="83" t="s">
        <v>1096</v>
      </c>
      <c r="F94" s="61">
        <v>2002</v>
      </c>
      <c r="G94" s="83" t="s">
        <v>1129</v>
      </c>
      <c r="H94" s="84">
        <v>2000</v>
      </c>
      <c r="I94" s="84" t="s">
        <v>1096</v>
      </c>
      <c r="J94" s="61">
        <v>3479388</v>
      </c>
      <c r="K94" s="61">
        <v>100</v>
      </c>
      <c r="L94" s="61">
        <v>2050</v>
      </c>
      <c r="M94" s="61">
        <v>60</v>
      </c>
      <c r="N94" s="84" t="s">
        <v>1096</v>
      </c>
      <c r="O94" s="61">
        <v>1391755.2</v>
      </c>
      <c r="P94" s="61">
        <v>1496924</v>
      </c>
      <c r="Q94" s="84" t="s">
        <v>1096</v>
      </c>
      <c r="R94" s="83">
        <v>94.962294135252137</v>
      </c>
      <c r="S94" s="83" t="s">
        <v>1130</v>
      </c>
      <c r="T94" s="83" t="s">
        <v>1137</v>
      </c>
      <c r="U94" s="83" t="s">
        <v>1257</v>
      </c>
      <c r="V94" s="83"/>
      <c r="W94" s="83"/>
      <c r="X94" s="83"/>
      <c r="Y94" s="83"/>
      <c r="Z94" s="83"/>
      <c r="AA94" s="83"/>
      <c r="AB94" s="83"/>
      <c r="AC94" s="83"/>
      <c r="AD94" s="83"/>
      <c r="AE94" s="83"/>
      <c r="AF94" s="83"/>
      <c r="AG94" s="83"/>
      <c r="AH94" s="83"/>
      <c r="AI94" s="83"/>
      <c r="AJ94" s="83"/>
      <c r="AK94" s="83"/>
      <c r="AL94" s="83"/>
      <c r="AM94" s="83"/>
      <c r="AN94" s="83"/>
      <c r="AO94" s="83"/>
      <c r="AP94" s="83"/>
      <c r="AQ94" s="83"/>
      <c r="AR94" s="83"/>
      <c r="AS94" s="34"/>
      <c r="AT94" s="34"/>
      <c r="AU94" s="34"/>
      <c r="AV94" s="34"/>
      <c r="AW94" s="34"/>
      <c r="AX94" s="34"/>
      <c r="AY94" s="34"/>
      <c r="AZ94" s="34"/>
      <c r="BA94" s="34"/>
    </row>
    <row r="95" spans="1:53">
      <c r="A95" s="61">
        <v>78</v>
      </c>
      <c r="B95" s="61" t="s">
        <v>1126</v>
      </c>
      <c r="C95" s="61" t="s">
        <v>1127</v>
      </c>
      <c r="D95" s="61" t="s">
        <v>1133</v>
      </c>
      <c r="E95" s="83" t="s">
        <v>1096</v>
      </c>
      <c r="F95" s="61">
        <v>2016</v>
      </c>
      <c r="G95" s="83" t="s">
        <v>1129</v>
      </c>
      <c r="H95" s="61">
        <v>2010</v>
      </c>
      <c r="I95" s="84" t="s">
        <v>1096</v>
      </c>
      <c r="J95" s="61">
        <v>914050</v>
      </c>
      <c r="K95" s="61">
        <v>100</v>
      </c>
      <c r="L95" s="61">
        <v>2030</v>
      </c>
      <c r="M95" s="61">
        <v>40</v>
      </c>
      <c r="N95" s="84" t="s">
        <v>1096</v>
      </c>
      <c r="O95" s="61">
        <v>548430</v>
      </c>
      <c r="P95" s="61">
        <v>555882</v>
      </c>
      <c r="Q95" s="84" t="s">
        <v>1096</v>
      </c>
      <c r="R95" s="83">
        <v>97.96181828127564</v>
      </c>
      <c r="S95" s="83" t="s">
        <v>1130</v>
      </c>
      <c r="T95" s="83" t="s">
        <v>1137</v>
      </c>
      <c r="U95" s="83" t="s">
        <v>1258</v>
      </c>
      <c r="V95" s="83"/>
      <c r="W95" s="83"/>
      <c r="X95" s="83"/>
      <c r="Y95" s="83"/>
      <c r="Z95" s="83"/>
      <c r="AA95" s="83"/>
      <c r="AB95" s="83"/>
      <c r="AC95" s="83"/>
      <c r="AD95" s="83"/>
      <c r="AE95" s="83"/>
      <c r="AF95" s="83"/>
      <c r="AG95" s="83"/>
      <c r="AH95" s="83"/>
      <c r="AI95" s="83"/>
      <c r="AJ95" s="83"/>
      <c r="AK95" s="83"/>
      <c r="AL95" s="83"/>
      <c r="AM95" s="83"/>
      <c r="AN95" s="83"/>
      <c r="AO95" s="83"/>
      <c r="AP95" s="83"/>
      <c r="AQ95" s="83"/>
      <c r="AR95" s="83"/>
      <c r="AS95" s="34"/>
      <c r="AT95" s="34"/>
      <c r="AU95" s="34"/>
      <c r="AV95" s="34"/>
      <c r="AW95" s="34"/>
      <c r="AX95" s="34"/>
      <c r="AY95" s="34"/>
      <c r="AZ95" s="34"/>
      <c r="BA95" s="34"/>
    </row>
    <row r="96" spans="1:53">
      <c r="A96" s="61">
        <v>78</v>
      </c>
      <c r="B96" s="61" t="s">
        <v>1126</v>
      </c>
      <c r="C96" s="61" t="s">
        <v>1127</v>
      </c>
      <c r="D96" s="61" t="s">
        <v>1133</v>
      </c>
      <c r="E96" s="83" t="s">
        <v>1096</v>
      </c>
      <c r="F96" s="61">
        <v>2016</v>
      </c>
      <c r="G96" s="83" t="s">
        <v>1129</v>
      </c>
      <c r="H96" s="61">
        <v>2010</v>
      </c>
      <c r="I96" s="84" t="s">
        <v>1096</v>
      </c>
      <c r="J96" s="61">
        <v>914050</v>
      </c>
      <c r="K96" s="61">
        <v>100</v>
      </c>
      <c r="L96" s="61">
        <v>2040</v>
      </c>
      <c r="M96" s="61">
        <v>60</v>
      </c>
      <c r="N96" s="84" t="s">
        <v>1096</v>
      </c>
      <c r="O96" s="61">
        <v>365620</v>
      </c>
      <c r="P96" s="61">
        <v>555882</v>
      </c>
      <c r="Q96" s="84" t="s">
        <v>1096</v>
      </c>
      <c r="R96" s="83">
        <v>65.30787885418377</v>
      </c>
      <c r="S96" s="83" t="s">
        <v>1130</v>
      </c>
      <c r="T96" s="83" t="s">
        <v>1137</v>
      </c>
      <c r="U96" s="83" t="s">
        <v>1259</v>
      </c>
      <c r="V96" s="83"/>
      <c r="W96" s="83"/>
      <c r="X96" s="83"/>
      <c r="Y96" s="83"/>
      <c r="Z96" s="83"/>
      <c r="AA96" s="83"/>
      <c r="AB96" s="83"/>
      <c r="AC96" s="83"/>
      <c r="AD96" s="83"/>
      <c r="AE96" s="83"/>
      <c r="AF96" s="83"/>
      <c r="AG96" s="83"/>
      <c r="AH96" s="83"/>
      <c r="AI96" s="83"/>
      <c r="AJ96" s="83"/>
      <c r="AK96" s="83"/>
      <c r="AL96" s="83"/>
      <c r="AM96" s="83"/>
      <c r="AN96" s="83"/>
      <c r="AO96" s="83"/>
      <c r="AP96" s="83"/>
      <c r="AQ96" s="83"/>
      <c r="AR96" s="83"/>
      <c r="AS96" s="34"/>
      <c r="AT96" s="34"/>
      <c r="AU96" s="34"/>
      <c r="AV96" s="34"/>
      <c r="AW96" s="34"/>
      <c r="AX96" s="34"/>
      <c r="AY96" s="34"/>
      <c r="AZ96" s="34"/>
      <c r="BA96" s="34"/>
    </row>
    <row r="97" spans="1:53">
      <c r="A97" s="61">
        <v>78</v>
      </c>
      <c r="B97" s="61" t="s">
        <v>1126</v>
      </c>
      <c r="C97" s="61" t="s">
        <v>1157</v>
      </c>
      <c r="D97" s="61" t="s">
        <v>1173</v>
      </c>
      <c r="E97" s="83" t="s">
        <v>1096</v>
      </c>
      <c r="F97" s="61">
        <v>2016</v>
      </c>
      <c r="G97" s="83" t="s">
        <v>1129</v>
      </c>
      <c r="H97" s="61">
        <v>2010</v>
      </c>
      <c r="I97" s="84" t="s">
        <v>1096</v>
      </c>
      <c r="J97" s="61">
        <v>8062275</v>
      </c>
      <c r="K97" s="61">
        <v>100</v>
      </c>
      <c r="L97" s="61">
        <v>2030</v>
      </c>
      <c r="M97" s="61">
        <v>40</v>
      </c>
      <c r="N97" s="84" t="s">
        <v>1096</v>
      </c>
      <c r="O97" s="61">
        <v>4837365</v>
      </c>
      <c r="P97" s="61">
        <v>4682492</v>
      </c>
      <c r="Q97" s="84" t="s">
        <v>1096</v>
      </c>
      <c r="R97" s="83">
        <v>104.80239758628922</v>
      </c>
      <c r="S97" s="83" t="s">
        <v>1143</v>
      </c>
      <c r="T97" s="83" t="s">
        <v>1137</v>
      </c>
      <c r="U97" s="83" t="s">
        <v>1260</v>
      </c>
      <c r="V97" s="83"/>
      <c r="W97" s="83"/>
      <c r="X97" s="83"/>
      <c r="Y97" s="83"/>
      <c r="Z97" s="83"/>
      <c r="AA97" s="83"/>
      <c r="AB97" s="83"/>
      <c r="AC97" s="83"/>
      <c r="AD97" s="83"/>
      <c r="AE97" s="83"/>
      <c r="AF97" s="83"/>
      <c r="AG97" s="83"/>
      <c r="AH97" s="83"/>
      <c r="AI97" s="83"/>
      <c r="AJ97" s="83"/>
      <c r="AK97" s="83"/>
      <c r="AL97" s="83"/>
      <c r="AM97" s="83"/>
      <c r="AN97" s="83"/>
      <c r="AO97" s="83"/>
      <c r="AP97" s="83"/>
      <c r="AQ97" s="83"/>
      <c r="AR97" s="83"/>
      <c r="AS97" s="34"/>
      <c r="AT97" s="34"/>
      <c r="AU97" s="34"/>
      <c r="AV97" s="34"/>
      <c r="AW97" s="34"/>
      <c r="AX97" s="34"/>
      <c r="AY97" s="34"/>
      <c r="AZ97" s="34"/>
      <c r="BA97" s="34"/>
    </row>
    <row r="98" spans="1:53">
      <c r="A98" s="61">
        <v>79</v>
      </c>
      <c r="B98" s="61" t="s">
        <v>1126</v>
      </c>
      <c r="C98" s="61" t="s">
        <v>1127</v>
      </c>
      <c r="D98" s="61" t="s">
        <v>1133</v>
      </c>
      <c r="E98" s="83" t="s">
        <v>1096</v>
      </c>
      <c r="F98" s="61">
        <v>2012</v>
      </c>
      <c r="G98" s="83" t="s">
        <v>1129</v>
      </c>
      <c r="H98" s="61">
        <v>2010</v>
      </c>
      <c r="I98" s="84" t="s">
        <v>1096</v>
      </c>
      <c r="J98" s="61">
        <v>5422275</v>
      </c>
      <c r="K98" s="61">
        <v>100</v>
      </c>
      <c r="L98" s="61">
        <v>2020</v>
      </c>
      <c r="M98" s="61">
        <v>30</v>
      </c>
      <c r="N98" s="84" t="s">
        <v>1096</v>
      </c>
      <c r="O98" s="61">
        <v>3795592.5</v>
      </c>
      <c r="P98" s="61">
        <v>4050000</v>
      </c>
      <c r="Q98" s="84" t="s">
        <v>1096</v>
      </c>
      <c r="R98" s="83">
        <v>84.360346902361101</v>
      </c>
      <c r="S98" s="83" t="s">
        <v>1130</v>
      </c>
      <c r="T98" s="83" t="s">
        <v>1137</v>
      </c>
      <c r="U98" s="83" t="s">
        <v>1261</v>
      </c>
      <c r="V98" s="83"/>
      <c r="W98" s="83"/>
      <c r="X98" s="83"/>
      <c r="Y98" s="83"/>
      <c r="Z98" s="83"/>
      <c r="AA98" s="83"/>
      <c r="AB98" s="83"/>
      <c r="AC98" s="83"/>
      <c r="AD98" s="83"/>
      <c r="AE98" s="83"/>
      <c r="AF98" s="83"/>
      <c r="AG98" s="83"/>
      <c r="AH98" s="83"/>
      <c r="AI98" s="83"/>
      <c r="AJ98" s="83"/>
      <c r="AK98" s="83"/>
      <c r="AL98" s="83"/>
      <c r="AM98" s="83"/>
      <c r="AN98" s="83"/>
      <c r="AO98" s="83"/>
      <c r="AP98" s="83"/>
      <c r="AQ98" s="83"/>
      <c r="AR98" s="83"/>
      <c r="AS98" s="34"/>
      <c r="AT98" s="34"/>
      <c r="AU98" s="34"/>
      <c r="AV98" s="34"/>
      <c r="AW98" s="34"/>
      <c r="AX98" s="34"/>
      <c r="AY98" s="34"/>
      <c r="AZ98" s="34"/>
      <c r="BA98" s="34"/>
    </row>
    <row r="99" spans="1:53">
      <c r="A99" s="61">
        <v>79</v>
      </c>
      <c r="B99" s="61" t="s">
        <v>1126</v>
      </c>
      <c r="C99" s="61" t="s">
        <v>1127</v>
      </c>
      <c r="D99" s="61" t="s">
        <v>1133</v>
      </c>
      <c r="E99" s="83" t="s">
        <v>1096</v>
      </c>
      <c r="F99" s="61">
        <v>2018</v>
      </c>
      <c r="G99" s="83" t="s">
        <v>1129</v>
      </c>
      <c r="H99" s="61">
        <v>2010</v>
      </c>
      <c r="I99" s="84" t="s">
        <v>1096</v>
      </c>
      <c r="J99" s="61">
        <v>5422275</v>
      </c>
      <c r="K99" s="61">
        <v>100</v>
      </c>
      <c r="L99" s="61">
        <v>2030</v>
      </c>
      <c r="M99" s="61">
        <v>50</v>
      </c>
      <c r="N99" s="84" t="s">
        <v>1096</v>
      </c>
      <c r="O99" s="61">
        <v>2711137.5</v>
      </c>
      <c r="P99" s="61">
        <v>4050000</v>
      </c>
      <c r="Q99" s="84" t="s">
        <v>1096</v>
      </c>
      <c r="R99" s="83">
        <v>50.616208141416649</v>
      </c>
      <c r="S99" s="83" t="s">
        <v>1130</v>
      </c>
      <c r="T99" s="83" t="s">
        <v>1137</v>
      </c>
      <c r="U99" s="83" t="s">
        <v>1262</v>
      </c>
      <c r="V99" s="83"/>
      <c r="W99" s="83"/>
      <c r="X99" s="83"/>
      <c r="Y99" s="83"/>
      <c r="Z99" s="83"/>
      <c r="AA99" s="83"/>
      <c r="AB99" s="83"/>
      <c r="AC99" s="83"/>
      <c r="AD99" s="83"/>
      <c r="AE99" s="83"/>
      <c r="AF99" s="83"/>
      <c r="AG99" s="83"/>
      <c r="AH99" s="83"/>
      <c r="AI99" s="83"/>
      <c r="AJ99" s="83"/>
      <c r="AK99" s="83"/>
      <c r="AL99" s="83"/>
      <c r="AM99" s="83"/>
      <c r="AN99" s="83"/>
      <c r="AO99" s="83"/>
      <c r="AP99" s="83"/>
      <c r="AQ99" s="83"/>
      <c r="AR99" s="83"/>
      <c r="AS99" s="34"/>
      <c r="AT99" s="34"/>
      <c r="AU99" s="34"/>
      <c r="AV99" s="34"/>
      <c r="AW99" s="34"/>
      <c r="AX99" s="34"/>
      <c r="AY99" s="34"/>
      <c r="AZ99" s="34"/>
      <c r="BA99" s="34"/>
    </row>
    <row r="100" spans="1:53">
      <c r="A100" s="61">
        <v>80</v>
      </c>
      <c r="B100" s="61" t="s">
        <v>1126</v>
      </c>
      <c r="C100" s="61" t="s">
        <v>1127</v>
      </c>
      <c r="D100" s="61" t="s">
        <v>1133</v>
      </c>
      <c r="E100" s="83" t="s">
        <v>1096</v>
      </c>
      <c r="F100" s="61">
        <v>2015</v>
      </c>
      <c r="G100" s="83" t="s">
        <v>1129</v>
      </c>
      <c r="H100" s="84">
        <v>2014</v>
      </c>
      <c r="I100" s="84" t="s">
        <v>1096</v>
      </c>
      <c r="J100" s="61">
        <v>230637</v>
      </c>
      <c r="K100" s="61">
        <v>100</v>
      </c>
      <c r="L100" s="61">
        <v>2025</v>
      </c>
      <c r="M100" s="61">
        <v>30</v>
      </c>
      <c r="N100" s="84" t="s">
        <v>1096</v>
      </c>
      <c r="O100" s="61">
        <v>161445.9</v>
      </c>
      <c r="P100" s="61">
        <v>189350</v>
      </c>
      <c r="Q100" s="84" t="s">
        <v>1096</v>
      </c>
      <c r="R100" s="83">
        <v>59.670969243154104</v>
      </c>
      <c r="S100" s="83" t="s">
        <v>1130</v>
      </c>
      <c r="T100" s="83" t="s">
        <v>1146</v>
      </c>
      <c r="U100" s="83" t="s">
        <v>1263</v>
      </c>
      <c r="V100" s="83"/>
      <c r="W100" s="83"/>
      <c r="X100" s="83"/>
      <c r="Y100" s="83"/>
      <c r="Z100" s="83"/>
      <c r="AA100" s="83"/>
      <c r="AB100" s="83"/>
      <c r="AC100" s="83"/>
      <c r="AD100" s="83"/>
      <c r="AE100" s="83"/>
      <c r="AF100" s="83"/>
      <c r="AG100" s="83"/>
      <c r="AH100" s="83"/>
      <c r="AI100" s="83"/>
      <c r="AJ100" s="83"/>
      <c r="AK100" s="83"/>
      <c r="AL100" s="83"/>
      <c r="AM100" s="83"/>
      <c r="AN100" s="83"/>
      <c r="AO100" s="83"/>
      <c r="AP100" s="83"/>
      <c r="AQ100" s="83"/>
      <c r="AR100" s="83"/>
      <c r="AS100" s="34"/>
      <c r="AT100" s="34"/>
      <c r="AU100" s="34"/>
      <c r="AV100" s="34"/>
      <c r="AW100" s="34"/>
      <c r="AX100" s="34"/>
      <c r="AY100" s="34"/>
      <c r="AZ100" s="34"/>
      <c r="BA100" s="34"/>
    </row>
    <row r="101" spans="1:53">
      <c r="A101" s="61">
        <v>82</v>
      </c>
      <c r="B101" s="61" t="s">
        <v>1126</v>
      </c>
      <c r="C101" s="61" t="s">
        <v>1127</v>
      </c>
      <c r="D101" s="61" t="s">
        <v>1133</v>
      </c>
      <c r="E101" s="83" t="s">
        <v>1096</v>
      </c>
      <c r="F101" s="61">
        <v>2016</v>
      </c>
      <c r="G101" s="83" t="s">
        <v>1129</v>
      </c>
      <c r="H101" s="84">
        <v>2015</v>
      </c>
      <c r="I101" s="84" t="s">
        <v>1096</v>
      </c>
      <c r="J101" s="61">
        <v>106542</v>
      </c>
      <c r="K101" s="61">
        <v>100</v>
      </c>
      <c r="L101" s="61">
        <v>2050</v>
      </c>
      <c r="M101" s="61">
        <v>100</v>
      </c>
      <c r="N101" s="84" t="s">
        <v>1096</v>
      </c>
      <c r="O101" s="61">
        <v>0</v>
      </c>
      <c r="P101" s="61">
        <v>140506</v>
      </c>
      <c r="Q101" s="84" t="s">
        <v>1096</v>
      </c>
      <c r="R101" s="83">
        <v>-31.878508006232288</v>
      </c>
      <c r="S101" s="83" t="s">
        <v>1143</v>
      </c>
      <c r="T101" s="83" t="s">
        <v>1159</v>
      </c>
      <c r="U101" s="83" t="s">
        <v>1264</v>
      </c>
      <c r="V101" s="83"/>
      <c r="W101" s="83"/>
      <c r="X101" s="83"/>
      <c r="Y101" s="83"/>
      <c r="Z101" s="83"/>
      <c r="AA101" s="83"/>
      <c r="AB101" s="83"/>
      <c r="AC101" s="83"/>
      <c r="AD101" s="83"/>
      <c r="AE101" s="83"/>
      <c r="AF101" s="83"/>
      <c r="AG101" s="83"/>
      <c r="AH101" s="83"/>
      <c r="AI101" s="83"/>
      <c r="AJ101" s="83"/>
      <c r="AK101" s="83"/>
      <c r="AL101" s="83"/>
      <c r="AM101" s="83"/>
      <c r="AN101" s="83"/>
      <c r="AO101" s="83"/>
      <c r="AP101" s="83"/>
      <c r="AQ101" s="83"/>
      <c r="AR101" s="83"/>
      <c r="AS101" s="34"/>
      <c r="AT101" s="34"/>
      <c r="AU101" s="34"/>
      <c r="AV101" s="34"/>
      <c r="AW101" s="34"/>
      <c r="AX101" s="34"/>
      <c r="AY101" s="34"/>
      <c r="AZ101" s="34"/>
      <c r="BA101" s="34"/>
    </row>
    <row r="102" spans="1:53">
      <c r="A102" s="61">
        <v>82</v>
      </c>
      <c r="B102" s="61" t="s">
        <v>1126</v>
      </c>
      <c r="C102" s="61" t="s">
        <v>1127</v>
      </c>
      <c r="D102" s="61" t="s">
        <v>1133</v>
      </c>
      <c r="E102" s="83" t="s">
        <v>1096</v>
      </c>
      <c r="F102" s="61">
        <v>2016</v>
      </c>
      <c r="G102" s="83" t="s">
        <v>1129</v>
      </c>
      <c r="H102" s="84">
        <v>2015</v>
      </c>
      <c r="I102" s="84" t="s">
        <v>1096</v>
      </c>
      <c r="J102" s="61">
        <v>106542</v>
      </c>
      <c r="K102" s="61">
        <v>100</v>
      </c>
      <c r="L102" s="61">
        <v>2050</v>
      </c>
      <c r="M102" s="61">
        <v>52</v>
      </c>
      <c r="N102" s="84" t="s">
        <v>1096</v>
      </c>
      <c r="O102" s="61">
        <v>51140.160000000003</v>
      </c>
      <c r="P102" s="61">
        <v>140506</v>
      </c>
      <c r="Q102" s="84" t="s">
        <v>1096</v>
      </c>
      <c r="R102" s="83">
        <v>-61.304823088908243</v>
      </c>
      <c r="S102" s="83" t="s">
        <v>1265</v>
      </c>
      <c r="T102" s="83" t="s">
        <v>1159</v>
      </c>
      <c r="U102" s="83" t="s">
        <v>1266</v>
      </c>
      <c r="V102" s="83"/>
      <c r="W102" s="83"/>
      <c r="X102" s="83"/>
      <c r="Y102" s="83"/>
      <c r="Z102" s="83"/>
      <c r="AA102" s="83"/>
      <c r="AB102" s="83"/>
      <c r="AC102" s="83"/>
      <c r="AD102" s="83"/>
      <c r="AE102" s="83"/>
      <c r="AF102" s="83"/>
      <c r="AG102" s="83"/>
      <c r="AH102" s="83"/>
      <c r="AI102" s="83"/>
      <c r="AJ102" s="83"/>
      <c r="AK102" s="83"/>
      <c r="AL102" s="83"/>
      <c r="AM102" s="83"/>
      <c r="AN102" s="83"/>
      <c r="AO102" s="83"/>
      <c r="AP102" s="83"/>
      <c r="AQ102" s="83"/>
      <c r="AR102" s="83"/>
      <c r="AS102" s="34"/>
      <c r="AT102" s="34"/>
      <c r="AU102" s="34"/>
      <c r="AV102" s="34"/>
      <c r="AW102" s="34"/>
      <c r="AX102" s="34"/>
      <c r="AY102" s="34"/>
      <c r="AZ102" s="34"/>
      <c r="BA102" s="34"/>
    </row>
    <row r="103" spans="1:53">
      <c r="A103" s="61">
        <v>82</v>
      </c>
      <c r="B103" s="61" t="s">
        <v>1126</v>
      </c>
      <c r="C103" s="61" t="s">
        <v>1127</v>
      </c>
      <c r="D103" s="61" t="s">
        <v>1133</v>
      </c>
      <c r="E103" s="83" t="s">
        <v>1096</v>
      </c>
      <c r="F103" s="61">
        <v>2016</v>
      </c>
      <c r="G103" s="83" t="s">
        <v>1129</v>
      </c>
      <c r="H103" s="84">
        <v>2015</v>
      </c>
      <c r="I103" s="84" t="s">
        <v>1096</v>
      </c>
      <c r="J103" s="61">
        <v>106542</v>
      </c>
      <c r="K103" s="61">
        <v>100</v>
      </c>
      <c r="L103" s="61">
        <v>2030</v>
      </c>
      <c r="M103" s="61">
        <v>27</v>
      </c>
      <c r="N103" s="84" t="s">
        <v>1096</v>
      </c>
      <c r="O103" s="61">
        <v>77775.66</v>
      </c>
      <c r="P103" s="61">
        <v>140506</v>
      </c>
      <c r="Q103" s="84" t="s">
        <v>1096</v>
      </c>
      <c r="R103" s="83">
        <v>-118.06854817123069</v>
      </c>
      <c r="S103" s="83" t="s">
        <v>1265</v>
      </c>
      <c r="T103" s="83" t="s">
        <v>1159</v>
      </c>
      <c r="U103" s="83" t="s">
        <v>1267</v>
      </c>
      <c r="V103" s="83"/>
      <c r="W103" s="83"/>
      <c r="X103" s="83"/>
      <c r="Y103" s="83"/>
      <c r="Z103" s="83"/>
      <c r="AA103" s="83"/>
      <c r="AB103" s="83"/>
      <c r="AC103" s="83"/>
      <c r="AD103" s="83"/>
      <c r="AE103" s="83"/>
      <c r="AF103" s="83"/>
      <c r="AG103" s="83"/>
      <c r="AH103" s="83"/>
      <c r="AI103" s="83"/>
      <c r="AJ103" s="83"/>
      <c r="AK103" s="83"/>
      <c r="AL103" s="83"/>
      <c r="AM103" s="83"/>
      <c r="AN103" s="83"/>
      <c r="AO103" s="83"/>
      <c r="AP103" s="83"/>
      <c r="AQ103" s="83"/>
      <c r="AR103" s="83"/>
      <c r="AS103" s="34"/>
      <c r="AT103" s="34"/>
      <c r="AU103" s="34"/>
      <c r="AV103" s="34"/>
      <c r="AW103" s="34"/>
      <c r="AX103" s="34"/>
      <c r="AY103" s="34"/>
      <c r="AZ103" s="34"/>
      <c r="BA103" s="34"/>
    </row>
    <row r="104" spans="1:53">
      <c r="A104" s="61">
        <v>82</v>
      </c>
      <c r="B104" s="61" t="s">
        <v>1126</v>
      </c>
      <c r="C104" s="61" t="s">
        <v>1127</v>
      </c>
      <c r="D104" s="61" t="s">
        <v>1133</v>
      </c>
      <c r="E104" s="83" t="s">
        <v>1096</v>
      </c>
      <c r="F104" s="61">
        <v>2019</v>
      </c>
      <c r="G104" s="83" t="s">
        <v>1129</v>
      </c>
      <c r="H104" s="84">
        <v>2018</v>
      </c>
      <c r="I104" s="84" t="s">
        <v>1096</v>
      </c>
      <c r="J104" s="61">
        <v>162938</v>
      </c>
      <c r="K104" s="61">
        <v>100</v>
      </c>
      <c r="L104" s="61">
        <v>2030</v>
      </c>
      <c r="M104" s="61">
        <v>50</v>
      </c>
      <c r="N104" s="84" t="s">
        <v>1096</v>
      </c>
      <c r="O104" s="61">
        <v>81469</v>
      </c>
      <c r="P104" s="61">
        <v>140506</v>
      </c>
      <c r="Q104" s="84" t="s">
        <v>1096</v>
      </c>
      <c r="R104" s="83">
        <v>27.534399587573187</v>
      </c>
      <c r="S104" s="83" t="s">
        <v>1154</v>
      </c>
      <c r="T104" s="83" t="s">
        <v>1137</v>
      </c>
      <c r="U104" s="83" t="s">
        <v>1268</v>
      </c>
      <c r="V104" s="83"/>
      <c r="W104" s="83"/>
      <c r="X104" s="83"/>
      <c r="Y104" s="83"/>
      <c r="Z104" s="83"/>
      <c r="AA104" s="83"/>
      <c r="AB104" s="83"/>
      <c r="AC104" s="83"/>
      <c r="AD104" s="83"/>
      <c r="AE104" s="83"/>
      <c r="AF104" s="83"/>
      <c r="AG104" s="83"/>
      <c r="AH104" s="83"/>
      <c r="AI104" s="83"/>
      <c r="AJ104" s="83"/>
      <c r="AK104" s="83"/>
      <c r="AL104" s="83"/>
      <c r="AM104" s="83"/>
      <c r="AN104" s="83"/>
      <c r="AO104" s="83"/>
      <c r="AP104" s="83"/>
      <c r="AQ104" s="83"/>
      <c r="AR104" s="83"/>
      <c r="AS104" s="34"/>
      <c r="AT104" s="34"/>
      <c r="AU104" s="34"/>
      <c r="AV104" s="34"/>
      <c r="AW104" s="34"/>
      <c r="AX104" s="34"/>
      <c r="AY104" s="34"/>
      <c r="AZ104" s="34"/>
      <c r="BA104" s="34"/>
    </row>
    <row r="105" spans="1:53">
      <c r="A105" s="61">
        <v>82</v>
      </c>
      <c r="B105" s="61" t="s">
        <v>1126</v>
      </c>
      <c r="C105" s="61" t="s">
        <v>1141</v>
      </c>
      <c r="D105" s="61" t="s">
        <v>1269</v>
      </c>
      <c r="E105" s="83" t="s">
        <v>1096</v>
      </c>
      <c r="F105" s="61">
        <v>2018</v>
      </c>
      <c r="G105" s="83" t="s">
        <v>1129</v>
      </c>
      <c r="H105" s="84">
        <v>2018</v>
      </c>
      <c r="I105" s="84" t="s">
        <v>1096</v>
      </c>
      <c r="J105" s="61">
        <v>67890</v>
      </c>
      <c r="K105" s="61">
        <v>100</v>
      </c>
      <c r="L105" s="61">
        <v>2030</v>
      </c>
      <c r="M105" s="61">
        <v>50</v>
      </c>
      <c r="N105" s="84" t="s">
        <v>1096</v>
      </c>
      <c r="O105" s="61">
        <v>33945</v>
      </c>
      <c r="P105" s="61">
        <v>61544</v>
      </c>
      <c r="Q105" s="84" t="s">
        <v>1096</v>
      </c>
      <c r="R105" s="83">
        <v>18.694947709530123</v>
      </c>
      <c r="S105" s="83" t="s">
        <v>1154</v>
      </c>
      <c r="T105" s="83" t="s">
        <v>1137</v>
      </c>
      <c r="U105" s="83" t="s">
        <v>1270</v>
      </c>
      <c r="V105" s="83"/>
      <c r="W105" s="83"/>
      <c r="X105" s="83"/>
      <c r="Y105" s="83"/>
      <c r="Z105" s="83"/>
      <c r="AA105" s="83"/>
      <c r="AB105" s="83"/>
      <c r="AC105" s="83"/>
      <c r="AD105" s="83"/>
      <c r="AE105" s="83"/>
      <c r="AF105" s="83"/>
      <c r="AG105" s="83"/>
      <c r="AH105" s="83"/>
      <c r="AI105" s="83"/>
      <c r="AJ105" s="83"/>
      <c r="AK105" s="83"/>
      <c r="AL105" s="83"/>
      <c r="AM105" s="83"/>
      <c r="AN105" s="83"/>
      <c r="AO105" s="83"/>
      <c r="AP105" s="83"/>
      <c r="AQ105" s="83"/>
      <c r="AR105" s="83"/>
      <c r="AS105" s="34"/>
      <c r="AT105" s="34"/>
      <c r="AU105" s="34"/>
      <c r="AV105" s="34"/>
      <c r="AW105" s="34"/>
      <c r="AX105" s="34"/>
      <c r="AY105" s="34"/>
      <c r="AZ105" s="34"/>
      <c r="BA105" s="34"/>
    </row>
    <row r="106" spans="1:53">
      <c r="A106" s="61">
        <v>84</v>
      </c>
      <c r="B106" s="61" t="s">
        <v>1126</v>
      </c>
      <c r="C106" s="61" t="s">
        <v>1127</v>
      </c>
      <c r="D106" s="61" t="s">
        <v>1133</v>
      </c>
      <c r="E106" s="83" t="s">
        <v>1096</v>
      </c>
      <c r="F106" s="61">
        <v>2020</v>
      </c>
      <c r="G106" s="83" t="s">
        <v>1129</v>
      </c>
      <c r="H106" s="84">
        <v>2019</v>
      </c>
      <c r="I106" s="84" t="s">
        <v>1096</v>
      </c>
      <c r="J106" s="61">
        <v>266578.01</v>
      </c>
      <c r="K106" s="61">
        <v>100</v>
      </c>
      <c r="L106" s="61">
        <v>2035</v>
      </c>
      <c r="M106" s="61">
        <v>68</v>
      </c>
      <c r="N106" s="84" t="s">
        <v>1096</v>
      </c>
      <c r="O106" s="61">
        <v>85304.963199999998</v>
      </c>
      <c r="P106" s="61">
        <v>266578.01</v>
      </c>
      <c r="Q106" s="84" t="s">
        <v>1096</v>
      </c>
      <c r="R106" s="83">
        <v>0</v>
      </c>
      <c r="S106" s="83" t="s">
        <v>1154</v>
      </c>
      <c r="T106" s="83" t="s">
        <v>1137</v>
      </c>
      <c r="U106" s="83" t="s">
        <v>1271</v>
      </c>
      <c r="V106" s="83"/>
      <c r="W106" s="83"/>
      <c r="X106" s="83"/>
      <c r="Y106" s="83"/>
      <c r="Z106" s="83"/>
      <c r="AA106" s="83"/>
      <c r="AB106" s="83"/>
      <c r="AC106" s="83"/>
      <c r="AD106" s="83"/>
      <c r="AE106" s="83"/>
      <c r="AF106" s="83"/>
      <c r="AG106" s="83"/>
      <c r="AH106" s="83"/>
      <c r="AI106" s="83"/>
      <c r="AJ106" s="83"/>
      <c r="AK106" s="83"/>
      <c r="AL106" s="83"/>
      <c r="AM106" s="83"/>
      <c r="AN106" s="83"/>
      <c r="AO106" s="83"/>
      <c r="AP106" s="83"/>
      <c r="AQ106" s="83"/>
      <c r="AR106" s="83"/>
      <c r="AS106" s="34"/>
      <c r="AT106" s="34"/>
      <c r="AU106" s="34"/>
      <c r="AV106" s="34"/>
      <c r="AW106" s="34"/>
      <c r="AX106" s="34"/>
      <c r="AY106" s="34"/>
      <c r="AZ106" s="34"/>
      <c r="BA106" s="34"/>
    </row>
    <row r="107" spans="1:53">
      <c r="A107" s="61">
        <v>84</v>
      </c>
      <c r="B107" s="61" t="s">
        <v>1126</v>
      </c>
      <c r="C107" s="61" t="s">
        <v>1170</v>
      </c>
      <c r="D107" s="61" t="s">
        <v>1171</v>
      </c>
      <c r="E107" s="83" t="s">
        <v>1096</v>
      </c>
      <c r="F107" s="61">
        <v>2019</v>
      </c>
      <c r="G107" s="83" t="s">
        <v>1129</v>
      </c>
      <c r="H107" s="84">
        <v>2018</v>
      </c>
      <c r="I107" s="84" t="s">
        <v>1096</v>
      </c>
      <c r="J107" s="61">
        <v>259394.23</v>
      </c>
      <c r="K107" s="61">
        <v>100</v>
      </c>
      <c r="L107" s="61">
        <v>2019</v>
      </c>
      <c r="M107" s="61">
        <v>1</v>
      </c>
      <c r="N107" s="84" t="s">
        <v>1096</v>
      </c>
      <c r="O107" s="61">
        <v>256800.28769999999</v>
      </c>
      <c r="P107" s="61">
        <v>249714.82</v>
      </c>
      <c r="Q107" s="84" t="s">
        <v>1096</v>
      </c>
      <c r="R107" s="83">
        <v>373.15440671135639</v>
      </c>
      <c r="S107" s="83" t="s">
        <v>1143</v>
      </c>
      <c r="T107" s="83" t="s">
        <v>1144</v>
      </c>
      <c r="U107" s="83" t="s">
        <v>1272</v>
      </c>
      <c r="V107" s="83"/>
      <c r="W107" s="83"/>
      <c r="X107" s="83"/>
      <c r="Y107" s="83"/>
      <c r="Z107" s="83"/>
      <c r="AA107" s="83"/>
      <c r="AB107" s="83"/>
      <c r="AC107" s="83"/>
      <c r="AD107" s="83"/>
      <c r="AE107" s="83"/>
      <c r="AF107" s="83"/>
      <c r="AG107" s="83"/>
      <c r="AH107" s="83"/>
      <c r="AI107" s="83"/>
      <c r="AJ107" s="83"/>
      <c r="AK107" s="83"/>
      <c r="AL107" s="83"/>
      <c r="AM107" s="83"/>
      <c r="AN107" s="83"/>
      <c r="AO107" s="83"/>
      <c r="AP107" s="83"/>
      <c r="AQ107" s="83"/>
      <c r="AR107" s="83"/>
      <c r="AS107" s="34"/>
      <c r="AT107" s="34"/>
      <c r="AU107" s="34"/>
      <c r="AV107" s="34"/>
      <c r="AW107" s="34"/>
      <c r="AX107" s="34"/>
      <c r="AY107" s="34"/>
      <c r="AZ107" s="34"/>
      <c r="BA107" s="34"/>
    </row>
    <row r="108" spans="1:53">
      <c r="A108" s="61">
        <v>87</v>
      </c>
      <c r="B108" s="61" t="s">
        <v>1126</v>
      </c>
      <c r="C108" s="61" t="s">
        <v>1127</v>
      </c>
      <c r="D108" s="61" t="s">
        <v>1133</v>
      </c>
      <c r="E108" s="83" t="s">
        <v>1096</v>
      </c>
      <c r="F108" s="61">
        <v>2019</v>
      </c>
      <c r="G108" s="83" t="s">
        <v>1129</v>
      </c>
      <c r="H108" s="84">
        <v>2017</v>
      </c>
      <c r="I108" s="84" t="s">
        <v>1096</v>
      </c>
      <c r="J108" s="61">
        <v>2567880</v>
      </c>
      <c r="K108" s="61">
        <v>100</v>
      </c>
      <c r="L108" s="61">
        <v>2030</v>
      </c>
      <c r="M108" s="61">
        <v>30</v>
      </c>
      <c r="N108" s="84" t="s">
        <v>1096</v>
      </c>
      <c r="O108" s="61">
        <v>1797516</v>
      </c>
      <c r="P108" s="61">
        <v>2298450</v>
      </c>
      <c r="Q108" s="84" t="s">
        <v>1096</v>
      </c>
      <c r="R108" s="83">
        <v>34.974375749645617</v>
      </c>
      <c r="S108" s="83" t="s">
        <v>1130</v>
      </c>
      <c r="T108" s="83" t="s">
        <v>1137</v>
      </c>
      <c r="U108" s="83" t="s">
        <v>1273</v>
      </c>
      <c r="V108" s="83"/>
      <c r="W108" s="83"/>
      <c r="X108" s="83"/>
      <c r="Y108" s="83"/>
      <c r="Z108" s="83"/>
      <c r="AA108" s="83"/>
      <c r="AB108" s="83"/>
      <c r="AC108" s="83"/>
      <c r="AD108" s="83"/>
      <c r="AE108" s="83"/>
      <c r="AF108" s="83"/>
      <c r="AG108" s="83"/>
      <c r="AH108" s="83"/>
      <c r="AI108" s="83"/>
      <c r="AJ108" s="83"/>
      <c r="AK108" s="83"/>
      <c r="AL108" s="83"/>
      <c r="AM108" s="83"/>
      <c r="AN108" s="83"/>
      <c r="AO108" s="83"/>
      <c r="AP108" s="83"/>
      <c r="AQ108" s="83"/>
      <c r="AR108" s="83"/>
      <c r="AS108" s="34"/>
      <c r="AT108" s="34"/>
      <c r="AU108" s="34"/>
      <c r="AV108" s="34"/>
      <c r="AW108" s="34"/>
      <c r="AX108" s="34"/>
      <c r="AY108" s="34"/>
      <c r="AZ108" s="34"/>
      <c r="BA108" s="34"/>
    </row>
    <row r="109" spans="1:53">
      <c r="A109" s="61">
        <v>87</v>
      </c>
      <c r="B109" s="61" t="s">
        <v>1126</v>
      </c>
      <c r="C109" s="61" t="s">
        <v>1141</v>
      </c>
      <c r="D109" s="61" t="s">
        <v>1274</v>
      </c>
      <c r="E109" s="83" t="s">
        <v>1096</v>
      </c>
      <c r="F109" s="61">
        <v>2019</v>
      </c>
      <c r="G109" s="83" t="s">
        <v>1129</v>
      </c>
      <c r="H109" s="84">
        <v>2017</v>
      </c>
      <c r="I109" s="84" t="s">
        <v>1096</v>
      </c>
      <c r="J109" s="61">
        <v>26939000</v>
      </c>
      <c r="K109" s="61">
        <v>100</v>
      </c>
      <c r="L109" s="61">
        <v>2030</v>
      </c>
      <c r="M109" s="61">
        <v>30</v>
      </c>
      <c r="N109" s="84" t="s">
        <v>1096</v>
      </c>
      <c r="O109" s="61">
        <v>18857300</v>
      </c>
      <c r="P109" s="61">
        <v>26363000</v>
      </c>
      <c r="Q109" s="84" t="s">
        <v>1096</v>
      </c>
      <c r="R109" s="83">
        <v>7.127213333828279</v>
      </c>
      <c r="S109" s="83" t="s">
        <v>1130</v>
      </c>
      <c r="T109" s="83" t="s">
        <v>1137</v>
      </c>
      <c r="U109" s="83" t="s">
        <v>1275</v>
      </c>
      <c r="V109" s="83"/>
      <c r="W109" s="83"/>
      <c r="X109" s="83"/>
      <c r="Y109" s="83"/>
      <c r="Z109" s="83"/>
      <c r="AA109" s="83"/>
      <c r="AB109" s="83"/>
      <c r="AC109" s="83"/>
      <c r="AD109" s="83"/>
      <c r="AE109" s="83"/>
      <c r="AF109" s="83"/>
      <c r="AG109" s="83"/>
      <c r="AH109" s="83"/>
      <c r="AI109" s="83"/>
      <c r="AJ109" s="83"/>
      <c r="AK109" s="83"/>
      <c r="AL109" s="83"/>
      <c r="AM109" s="83"/>
      <c r="AN109" s="83"/>
      <c r="AO109" s="83"/>
      <c r="AP109" s="83"/>
      <c r="AQ109" s="83"/>
      <c r="AR109" s="83"/>
      <c r="AS109" s="34"/>
      <c r="AT109" s="34"/>
      <c r="AU109" s="34"/>
      <c r="AV109" s="34"/>
      <c r="AW109" s="34"/>
      <c r="AX109" s="34"/>
      <c r="AY109" s="34"/>
      <c r="AZ109" s="34"/>
      <c r="BA109" s="34"/>
    </row>
    <row r="110" spans="1:53">
      <c r="A110" s="61">
        <v>88</v>
      </c>
      <c r="B110" s="61" t="s">
        <v>1126</v>
      </c>
      <c r="C110" s="61" t="s">
        <v>1127</v>
      </c>
      <c r="D110" s="61" t="s">
        <v>1128</v>
      </c>
      <c r="E110" s="83" t="s">
        <v>1096</v>
      </c>
      <c r="F110" s="61">
        <v>2016</v>
      </c>
      <c r="G110" s="83" t="s">
        <v>1129</v>
      </c>
      <c r="H110" s="84">
        <v>2015</v>
      </c>
      <c r="I110" s="84" t="s">
        <v>1096</v>
      </c>
      <c r="J110" s="61">
        <v>2408435</v>
      </c>
      <c r="K110" s="61">
        <v>100</v>
      </c>
      <c r="L110" s="61">
        <v>2020</v>
      </c>
      <c r="M110" s="61">
        <v>15</v>
      </c>
      <c r="N110" s="84" t="s">
        <v>1096</v>
      </c>
      <c r="O110" s="61">
        <v>2047169.75</v>
      </c>
      <c r="P110" s="61">
        <v>2034760</v>
      </c>
      <c r="Q110" s="84" t="s">
        <v>1096</v>
      </c>
      <c r="R110" s="83">
        <v>103.43507990320131</v>
      </c>
      <c r="S110" s="83" t="s">
        <v>1143</v>
      </c>
      <c r="T110" s="83" t="s">
        <v>1146</v>
      </c>
      <c r="U110" s="83" t="s">
        <v>1276</v>
      </c>
      <c r="V110" s="83"/>
      <c r="W110" s="83"/>
      <c r="X110" s="83"/>
      <c r="Y110" s="83"/>
      <c r="Z110" s="83"/>
      <c r="AA110" s="83"/>
      <c r="AB110" s="83"/>
      <c r="AC110" s="83"/>
      <c r="AD110" s="83"/>
      <c r="AE110" s="83"/>
      <c r="AF110" s="83"/>
      <c r="AG110" s="83"/>
      <c r="AH110" s="83"/>
      <c r="AI110" s="83"/>
      <c r="AJ110" s="83"/>
      <c r="AK110" s="83"/>
      <c r="AL110" s="83"/>
      <c r="AM110" s="83"/>
      <c r="AN110" s="83"/>
      <c r="AO110" s="83"/>
      <c r="AP110" s="83"/>
      <c r="AQ110" s="83"/>
      <c r="AR110" s="83"/>
      <c r="AS110" s="34"/>
      <c r="AT110" s="34"/>
      <c r="AU110" s="34"/>
      <c r="AV110" s="34"/>
      <c r="AW110" s="34"/>
      <c r="AX110" s="34"/>
      <c r="AY110" s="34"/>
      <c r="AZ110" s="34"/>
      <c r="BA110" s="34"/>
    </row>
    <row r="111" spans="1:53">
      <c r="A111" s="61">
        <v>6</v>
      </c>
      <c r="B111" s="61" t="s">
        <v>1126</v>
      </c>
      <c r="C111" s="61" t="s">
        <v>1127</v>
      </c>
      <c r="D111" s="61" t="s">
        <v>1128</v>
      </c>
      <c r="E111" s="83" t="s">
        <v>1096</v>
      </c>
      <c r="F111" s="61">
        <v>2010</v>
      </c>
      <c r="G111" s="83" t="s">
        <v>1129</v>
      </c>
      <c r="H111" s="84">
        <v>2007</v>
      </c>
      <c r="I111" s="84" t="s">
        <v>1096</v>
      </c>
      <c r="J111" s="61">
        <v>188715</v>
      </c>
      <c r="K111" s="61">
        <v>66</v>
      </c>
      <c r="L111" s="61">
        <v>2020</v>
      </c>
      <c r="M111" s="61">
        <v>20</v>
      </c>
      <c r="N111" s="84" t="s">
        <v>1096</v>
      </c>
      <c r="O111" s="61">
        <v>150972</v>
      </c>
      <c r="P111" s="61">
        <v>126094</v>
      </c>
      <c r="Q111" s="84" t="s">
        <v>1096</v>
      </c>
      <c r="R111" s="83">
        <v>165.91420925734573</v>
      </c>
      <c r="S111" s="83" t="s">
        <v>1143</v>
      </c>
      <c r="T111" s="83" t="s">
        <v>1131</v>
      </c>
      <c r="U111" s="83" t="s">
        <v>1277</v>
      </c>
      <c r="V111" s="83"/>
      <c r="W111" s="83"/>
      <c r="X111" s="83"/>
      <c r="Y111" s="83"/>
      <c r="Z111" s="83"/>
      <c r="AA111" s="83"/>
      <c r="AB111" s="83"/>
      <c r="AC111" s="83"/>
      <c r="AD111" s="83"/>
      <c r="AE111" s="83"/>
      <c r="AF111" s="83"/>
      <c r="AG111" s="83"/>
      <c r="AH111" s="83"/>
      <c r="AI111" s="83"/>
      <c r="AJ111" s="83"/>
      <c r="AK111" s="83"/>
      <c r="AL111" s="83"/>
      <c r="AM111" s="83"/>
      <c r="AN111" s="83"/>
      <c r="AO111" s="83"/>
      <c r="AP111" s="83"/>
      <c r="AQ111" s="83"/>
      <c r="AR111" s="83"/>
      <c r="AS111" s="34"/>
      <c r="AT111" s="34"/>
      <c r="AU111" s="34"/>
      <c r="AV111" s="34"/>
      <c r="AW111" s="34"/>
      <c r="AX111" s="34"/>
      <c r="AY111" s="34"/>
      <c r="AZ111" s="34"/>
      <c r="BA111" s="34"/>
    </row>
    <row r="112" spans="1:53">
      <c r="A112" s="61">
        <v>29</v>
      </c>
      <c r="B112" s="61" t="s">
        <v>1126</v>
      </c>
      <c r="C112" s="61" t="s">
        <v>1157</v>
      </c>
      <c r="D112" s="61" t="s">
        <v>1173</v>
      </c>
      <c r="E112" s="83" t="s">
        <v>1096</v>
      </c>
      <c r="F112" s="61">
        <v>2019</v>
      </c>
      <c r="G112" s="83" t="s">
        <v>1129</v>
      </c>
      <c r="H112" s="84">
        <v>2015</v>
      </c>
      <c r="I112" s="84" t="s">
        <v>1096</v>
      </c>
      <c r="J112" s="61">
        <v>70144410</v>
      </c>
      <c r="K112" s="61">
        <v>100</v>
      </c>
      <c r="L112" s="61">
        <v>2030</v>
      </c>
      <c r="M112" s="61">
        <v>25</v>
      </c>
      <c r="N112" s="84" t="s">
        <v>1096</v>
      </c>
      <c r="O112" s="61">
        <v>52608307.5</v>
      </c>
      <c r="P112" s="61">
        <v>52608307.5</v>
      </c>
      <c r="Q112" s="84" t="s">
        <v>1096</v>
      </c>
      <c r="R112" s="83">
        <v>100</v>
      </c>
      <c r="S112" s="83" t="s">
        <v>1154</v>
      </c>
      <c r="T112" s="83" t="s">
        <v>1137</v>
      </c>
      <c r="U112" s="83" t="s">
        <v>1278</v>
      </c>
      <c r="V112" s="83"/>
      <c r="W112" s="83"/>
      <c r="X112" s="83"/>
      <c r="Y112" s="83"/>
      <c r="Z112" s="83"/>
      <c r="AA112" s="83"/>
      <c r="AB112" s="83"/>
      <c r="AC112" s="83"/>
      <c r="AD112" s="83"/>
      <c r="AE112" s="83"/>
      <c r="AF112" s="83"/>
      <c r="AG112" s="83"/>
      <c r="AH112" s="83"/>
      <c r="AI112" s="83"/>
      <c r="AJ112" s="83"/>
      <c r="AK112" s="83"/>
      <c r="AL112" s="83"/>
      <c r="AM112" s="83"/>
      <c r="AN112" s="83"/>
      <c r="AO112" s="83"/>
      <c r="AP112" s="83"/>
      <c r="AQ112" s="83"/>
      <c r="AR112" s="83"/>
      <c r="AS112" s="34"/>
      <c r="AT112" s="34"/>
      <c r="AU112" s="34"/>
      <c r="AV112" s="34"/>
      <c r="AW112" s="34"/>
      <c r="AX112" s="34"/>
      <c r="AY112" s="34"/>
      <c r="AZ112" s="34"/>
      <c r="BA112" s="34"/>
    </row>
    <row r="113" spans="1:53">
      <c r="A113" s="61">
        <v>36</v>
      </c>
      <c r="B113" s="61" t="s">
        <v>1126</v>
      </c>
      <c r="C113" s="61" t="s">
        <v>1127</v>
      </c>
      <c r="D113" s="61" t="s">
        <v>1133</v>
      </c>
      <c r="E113" s="83" t="s">
        <v>1096</v>
      </c>
      <c r="F113" s="61">
        <v>2015</v>
      </c>
      <c r="G113" s="83" t="s">
        <v>1129</v>
      </c>
      <c r="H113" s="84">
        <v>2006</v>
      </c>
      <c r="I113" s="84" t="s">
        <v>1096</v>
      </c>
      <c r="J113" s="61">
        <v>42100000</v>
      </c>
      <c r="K113" s="61">
        <v>100</v>
      </c>
      <c r="L113" s="61">
        <v>2025</v>
      </c>
      <c r="M113" s="61">
        <v>0</v>
      </c>
      <c r="N113" s="84" t="s">
        <v>1096</v>
      </c>
      <c r="O113" s="61">
        <v>42100000</v>
      </c>
      <c r="P113" s="61">
        <v>33581018</v>
      </c>
      <c r="Q113" s="84" t="s">
        <v>1096</v>
      </c>
      <c r="R113" s="83" t="s">
        <v>1096</v>
      </c>
      <c r="S113" s="83" t="s">
        <v>1130</v>
      </c>
      <c r="T113" s="83" t="s">
        <v>1131</v>
      </c>
      <c r="U113" s="83" t="s">
        <v>1279</v>
      </c>
      <c r="V113" s="83"/>
      <c r="W113" s="83"/>
      <c r="X113" s="83"/>
      <c r="Y113" s="83"/>
      <c r="Z113" s="83"/>
      <c r="AA113" s="83"/>
      <c r="AB113" s="83"/>
      <c r="AC113" s="83"/>
      <c r="AD113" s="83"/>
      <c r="AE113" s="83"/>
      <c r="AF113" s="83"/>
      <c r="AG113" s="83"/>
      <c r="AH113" s="83"/>
      <c r="AI113" s="83"/>
      <c r="AJ113" s="83"/>
      <c r="AK113" s="83"/>
      <c r="AL113" s="83"/>
      <c r="AM113" s="83"/>
      <c r="AN113" s="83"/>
      <c r="AO113" s="83"/>
      <c r="AP113" s="83"/>
      <c r="AQ113" s="83"/>
      <c r="AR113" s="83"/>
      <c r="AS113" s="34"/>
      <c r="AT113" s="34"/>
      <c r="AU113" s="34"/>
      <c r="AV113" s="34"/>
      <c r="AW113" s="34"/>
      <c r="AX113" s="34"/>
      <c r="AY113" s="34"/>
      <c r="AZ113" s="34"/>
      <c r="BA113" s="34"/>
    </row>
    <row r="114" spans="1:53">
      <c r="A114" s="61">
        <v>51</v>
      </c>
      <c r="B114" s="61" t="s">
        <v>1126</v>
      </c>
      <c r="C114" s="61" t="s">
        <v>1127</v>
      </c>
      <c r="D114" s="61" t="s">
        <v>1128</v>
      </c>
      <c r="E114" s="83" t="s">
        <v>1096</v>
      </c>
      <c r="F114" s="61">
        <v>2015</v>
      </c>
      <c r="G114" s="83" t="s">
        <v>1129</v>
      </c>
      <c r="H114" s="61">
        <v>2010</v>
      </c>
      <c r="I114" s="84" t="s">
        <v>1096</v>
      </c>
      <c r="J114" s="61">
        <v>3073094</v>
      </c>
      <c r="K114" s="61">
        <v>100</v>
      </c>
      <c r="L114" s="61">
        <v>2020</v>
      </c>
      <c r="M114" s="61">
        <v>20</v>
      </c>
      <c r="N114" s="84" t="s">
        <v>1096</v>
      </c>
      <c r="O114" s="61">
        <v>2458475.2000000002</v>
      </c>
      <c r="P114" s="61">
        <v>1948233</v>
      </c>
      <c r="Q114" s="84" t="s">
        <v>1096</v>
      </c>
      <c r="R114" s="83">
        <v>183.0176688379855</v>
      </c>
      <c r="S114" s="83" t="s">
        <v>1143</v>
      </c>
      <c r="T114" s="83" t="s">
        <v>1144</v>
      </c>
      <c r="U114" s="83" t="s">
        <v>1280</v>
      </c>
      <c r="V114" s="83"/>
      <c r="W114" s="83"/>
      <c r="X114" s="83"/>
      <c r="Y114" s="83"/>
      <c r="Z114" s="83"/>
      <c r="AA114" s="83"/>
      <c r="AB114" s="83"/>
      <c r="AC114" s="83"/>
      <c r="AD114" s="83"/>
      <c r="AE114" s="83"/>
      <c r="AF114" s="83"/>
      <c r="AG114" s="83"/>
      <c r="AH114" s="83"/>
      <c r="AI114" s="83"/>
      <c r="AJ114" s="83"/>
      <c r="AK114" s="83"/>
      <c r="AL114" s="83"/>
      <c r="AM114" s="83"/>
      <c r="AN114" s="83"/>
      <c r="AO114" s="83"/>
      <c r="AP114" s="83"/>
      <c r="AQ114" s="83"/>
      <c r="AR114" s="83"/>
      <c r="AS114" s="34"/>
      <c r="AT114" s="34"/>
      <c r="AU114" s="34"/>
      <c r="AV114" s="34"/>
      <c r="AW114" s="34"/>
      <c r="AX114" s="34"/>
      <c r="AY114" s="34"/>
      <c r="AZ114" s="34"/>
      <c r="BA114" s="34"/>
    </row>
    <row r="115" spans="1:53">
      <c r="A115" s="61">
        <v>51</v>
      </c>
      <c r="B115" s="61" t="s">
        <v>1126</v>
      </c>
      <c r="C115" s="61" t="s">
        <v>1127</v>
      </c>
      <c r="D115" s="61" t="s">
        <v>1128</v>
      </c>
      <c r="E115" s="83" t="s">
        <v>1096</v>
      </c>
      <c r="F115" s="61">
        <v>2018</v>
      </c>
      <c r="G115" s="83" t="s">
        <v>1201</v>
      </c>
      <c r="H115" s="61">
        <v>2011</v>
      </c>
      <c r="I115" s="84" t="s">
        <v>1096</v>
      </c>
      <c r="J115" s="61">
        <v>3020011</v>
      </c>
      <c r="K115" s="61">
        <v>100</v>
      </c>
      <c r="L115" s="61">
        <v>2030</v>
      </c>
      <c r="M115" s="61">
        <v>39.9</v>
      </c>
      <c r="N115" s="84" t="s">
        <v>1096</v>
      </c>
      <c r="O115" s="61">
        <v>1815026.611</v>
      </c>
      <c r="P115" s="61">
        <v>1948233</v>
      </c>
      <c r="Q115" s="84" t="s">
        <v>1096</v>
      </c>
      <c r="R115" s="83">
        <v>88.945384669211677</v>
      </c>
      <c r="S115" s="83" t="s">
        <v>1130</v>
      </c>
      <c r="T115" s="83" t="s">
        <v>1159</v>
      </c>
      <c r="U115" s="83" t="s">
        <v>1281</v>
      </c>
      <c r="V115" s="83"/>
      <c r="W115" s="83"/>
      <c r="X115" s="83"/>
      <c r="Y115" s="83"/>
      <c r="Z115" s="83"/>
      <c r="AA115" s="83"/>
      <c r="AB115" s="83"/>
      <c r="AC115" s="83"/>
      <c r="AD115" s="83"/>
      <c r="AE115" s="83"/>
      <c r="AF115" s="83"/>
      <c r="AG115" s="83"/>
      <c r="AH115" s="83"/>
      <c r="AI115" s="83"/>
      <c r="AJ115" s="83"/>
      <c r="AK115" s="83"/>
      <c r="AL115" s="83"/>
      <c r="AM115" s="83"/>
      <c r="AN115" s="83"/>
      <c r="AO115" s="83"/>
      <c r="AP115" s="83"/>
      <c r="AQ115" s="83"/>
      <c r="AR115" s="83"/>
      <c r="AS115" s="34"/>
      <c r="AT115" s="34"/>
      <c r="AU115" s="34"/>
      <c r="AV115" s="34"/>
      <c r="AW115" s="34"/>
      <c r="AX115" s="34"/>
      <c r="AY115" s="34"/>
      <c r="AZ115" s="34"/>
      <c r="BA115" s="34"/>
    </row>
    <row r="116" spans="1:53">
      <c r="A116" s="61">
        <v>51</v>
      </c>
      <c r="B116" s="61" t="s">
        <v>1126</v>
      </c>
      <c r="C116" s="61" t="s">
        <v>1127</v>
      </c>
      <c r="D116" s="61" t="s">
        <v>1128</v>
      </c>
      <c r="E116" s="83" t="s">
        <v>1096</v>
      </c>
      <c r="F116" s="61">
        <v>2018</v>
      </c>
      <c r="G116" s="83" t="s">
        <v>1129</v>
      </c>
      <c r="H116" s="61">
        <v>2011</v>
      </c>
      <c r="I116" s="84" t="s">
        <v>1096</v>
      </c>
      <c r="J116" s="61">
        <v>3020011</v>
      </c>
      <c r="K116" s="61">
        <v>100</v>
      </c>
      <c r="L116" s="61">
        <v>2035</v>
      </c>
      <c r="M116" s="61">
        <v>50.4</v>
      </c>
      <c r="N116" s="84" t="s">
        <v>1096</v>
      </c>
      <c r="O116" s="61">
        <v>1497925.456</v>
      </c>
      <c r="P116" s="61">
        <v>1948233</v>
      </c>
      <c r="Q116" s="84" t="s">
        <v>1096</v>
      </c>
      <c r="R116" s="83">
        <v>70.415096196459245</v>
      </c>
      <c r="S116" s="83" t="s">
        <v>1130</v>
      </c>
      <c r="T116" s="83" t="s">
        <v>1159</v>
      </c>
      <c r="U116" s="83" t="s">
        <v>1282</v>
      </c>
      <c r="V116" s="83"/>
      <c r="W116" s="83"/>
      <c r="X116" s="83"/>
      <c r="Y116" s="83"/>
      <c r="Z116" s="83"/>
      <c r="AA116" s="83"/>
      <c r="AB116" s="83"/>
      <c r="AC116" s="83"/>
      <c r="AD116" s="83"/>
      <c r="AE116" s="83"/>
      <c r="AF116" s="83"/>
      <c r="AG116" s="83"/>
      <c r="AH116" s="83"/>
      <c r="AI116" s="83"/>
      <c r="AJ116" s="83"/>
      <c r="AK116" s="83"/>
      <c r="AL116" s="83"/>
      <c r="AM116" s="83"/>
      <c r="AN116" s="83"/>
      <c r="AO116" s="83"/>
      <c r="AP116" s="83"/>
      <c r="AQ116" s="83"/>
      <c r="AR116" s="83"/>
      <c r="AS116" s="34"/>
      <c r="AT116" s="34"/>
      <c r="AU116" s="34"/>
      <c r="AV116" s="34"/>
      <c r="AW116" s="34"/>
      <c r="AX116" s="34"/>
      <c r="AY116" s="34"/>
      <c r="AZ116" s="34"/>
      <c r="BA116" s="34"/>
    </row>
    <row r="117" spans="1:53">
      <c r="A117" s="61">
        <v>85</v>
      </c>
      <c r="B117" s="61" t="s">
        <v>1126</v>
      </c>
      <c r="C117" s="61" t="s">
        <v>1164</v>
      </c>
      <c r="D117" s="61" t="s">
        <v>1165</v>
      </c>
      <c r="E117" s="83" t="s">
        <v>1096</v>
      </c>
      <c r="F117" s="61">
        <v>2018</v>
      </c>
      <c r="G117" s="83" t="s">
        <v>1283</v>
      </c>
      <c r="H117" s="61">
        <v>2007</v>
      </c>
      <c r="I117" s="84" t="s">
        <v>1096</v>
      </c>
      <c r="J117" s="61">
        <v>156650363</v>
      </c>
      <c r="K117" s="61">
        <v>100</v>
      </c>
      <c r="L117" s="61">
        <v>2050</v>
      </c>
      <c r="M117" s="61">
        <v>100</v>
      </c>
      <c r="N117" s="84" t="s">
        <v>1096</v>
      </c>
      <c r="O117" s="61">
        <v>0</v>
      </c>
      <c r="P117" s="61">
        <v>88213565</v>
      </c>
      <c r="Q117" s="84" t="s">
        <v>1096</v>
      </c>
      <c r="R117" s="83">
        <v>43.687608946045017</v>
      </c>
      <c r="S117" s="83" t="s">
        <v>1130</v>
      </c>
      <c r="T117" s="83" t="s">
        <v>1159</v>
      </c>
      <c r="U117" s="83" t="s">
        <v>1284</v>
      </c>
      <c r="V117" s="83"/>
      <c r="W117" s="83"/>
      <c r="X117" s="83"/>
      <c r="Y117" s="83"/>
      <c r="Z117" s="83"/>
      <c r="AA117" s="83"/>
      <c r="AB117" s="83"/>
      <c r="AC117" s="83"/>
      <c r="AD117" s="83"/>
      <c r="AE117" s="83"/>
      <c r="AF117" s="83"/>
      <c r="AG117" s="83"/>
      <c r="AH117" s="83"/>
      <c r="AI117" s="83"/>
      <c r="AJ117" s="83"/>
      <c r="AK117" s="83"/>
      <c r="AL117" s="83"/>
      <c r="AM117" s="83"/>
      <c r="AN117" s="83"/>
      <c r="AO117" s="83"/>
      <c r="AP117" s="83"/>
      <c r="AQ117" s="83"/>
      <c r="AR117" s="83"/>
      <c r="AS117" s="34"/>
      <c r="AT117" s="34"/>
      <c r="AU117" s="34"/>
      <c r="AV117" s="34"/>
      <c r="AW117" s="34"/>
      <c r="AX117" s="34"/>
      <c r="AY117" s="34"/>
      <c r="AZ117" s="34"/>
      <c r="BA117" s="34"/>
    </row>
    <row r="118" spans="1:53">
      <c r="A118" s="61">
        <v>85</v>
      </c>
      <c r="B118" s="61" t="s">
        <v>1126</v>
      </c>
      <c r="C118" s="61" t="s">
        <v>1164</v>
      </c>
      <c r="D118" s="61" t="s">
        <v>1165</v>
      </c>
      <c r="E118" s="83" t="s">
        <v>1096</v>
      </c>
      <c r="F118" s="61">
        <v>2018</v>
      </c>
      <c r="G118" s="83" t="s">
        <v>1283</v>
      </c>
      <c r="H118" s="61">
        <v>2007</v>
      </c>
      <c r="I118" s="84" t="s">
        <v>1096</v>
      </c>
      <c r="J118" s="61">
        <v>156650363</v>
      </c>
      <c r="K118" s="61">
        <v>100</v>
      </c>
      <c r="L118" s="61">
        <v>2030</v>
      </c>
      <c r="M118" s="61">
        <v>50</v>
      </c>
      <c r="N118" s="84" t="s">
        <v>1096</v>
      </c>
      <c r="O118" s="61">
        <v>78325181.5</v>
      </c>
      <c r="P118" s="61">
        <v>88213565</v>
      </c>
      <c r="Q118" s="84" t="s">
        <v>1096</v>
      </c>
      <c r="R118" s="83">
        <v>87.375217892090035</v>
      </c>
      <c r="S118" s="83" t="s">
        <v>1130</v>
      </c>
      <c r="T118" s="83" t="s">
        <v>1159</v>
      </c>
      <c r="U118" s="83" t="s">
        <v>1284</v>
      </c>
      <c r="V118" s="83"/>
      <c r="W118" s="83"/>
      <c r="X118" s="83"/>
      <c r="Y118" s="83"/>
      <c r="Z118" s="83"/>
      <c r="AA118" s="83"/>
      <c r="AB118" s="83"/>
      <c r="AC118" s="83"/>
      <c r="AD118" s="83"/>
      <c r="AE118" s="83"/>
      <c r="AF118" s="83"/>
      <c r="AG118" s="83"/>
      <c r="AH118" s="83"/>
      <c r="AI118" s="83"/>
      <c r="AJ118" s="83"/>
      <c r="AK118" s="83"/>
      <c r="AL118" s="83"/>
      <c r="AM118" s="83"/>
      <c r="AN118" s="83"/>
      <c r="AO118" s="83"/>
      <c r="AP118" s="83"/>
      <c r="AQ118" s="83"/>
      <c r="AR118" s="83"/>
      <c r="AS118" s="34"/>
      <c r="AT118" s="34"/>
      <c r="AU118" s="34"/>
      <c r="AV118" s="34"/>
      <c r="AW118" s="34"/>
      <c r="AX118" s="34"/>
      <c r="AY118" s="34"/>
      <c r="AZ118" s="34"/>
      <c r="BA118" s="34"/>
    </row>
    <row r="119" spans="1:53">
      <c r="A119" s="61">
        <v>95</v>
      </c>
      <c r="B119" s="61" t="s">
        <v>1126</v>
      </c>
      <c r="C119" s="61" t="s">
        <v>1127</v>
      </c>
      <c r="D119" s="61" t="s">
        <v>1133</v>
      </c>
      <c r="E119" s="83" t="s">
        <v>1096</v>
      </c>
      <c r="F119" s="61">
        <v>2016</v>
      </c>
      <c r="G119" s="83" t="s">
        <v>1129</v>
      </c>
      <c r="H119" s="61">
        <v>2014</v>
      </c>
      <c r="I119" s="84" t="s">
        <v>1096</v>
      </c>
      <c r="J119" s="61">
        <v>415211</v>
      </c>
      <c r="K119" s="61">
        <v>100</v>
      </c>
      <c r="L119" s="61">
        <v>2029</v>
      </c>
      <c r="M119" s="61">
        <v>40</v>
      </c>
      <c r="N119" s="84" t="s">
        <v>1096</v>
      </c>
      <c r="O119" s="61">
        <v>249126.6</v>
      </c>
      <c r="P119" s="61">
        <v>232928</v>
      </c>
      <c r="Q119" s="84" t="s">
        <v>1096</v>
      </c>
      <c r="R119" s="83">
        <v>109.75323389794586</v>
      </c>
      <c r="S119" s="83" t="s">
        <v>1143</v>
      </c>
      <c r="T119" s="83" t="s">
        <v>1159</v>
      </c>
      <c r="U119" s="83" t="s">
        <v>1285</v>
      </c>
      <c r="V119" s="83"/>
      <c r="W119" s="83"/>
      <c r="X119" s="83"/>
      <c r="Y119" s="83"/>
      <c r="Z119" s="83"/>
      <c r="AA119" s="83"/>
      <c r="AB119" s="83"/>
      <c r="AC119" s="83"/>
      <c r="AD119" s="83"/>
      <c r="AE119" s="83"/>
      <c r="AF119" s="83"/>
      <c r="AG119" s="83"/>
      <c r="AH119" s="83"/>
      <c r="AI119" s="83"/>
      <c r="AJ119" s="83"/>
      <c r="AK119" s="83"/>
      <c r="AL119" s="83"/>
      <c r="AM119" s="83"/>
      <c r="AN119" s="83"/>
      <c r="AO119" s="83"/>
      <c r="AP119" s="83"/>
      <c r="AQ119" s="83"/>
      <c r="AR119" s="83"/>
      <c r="AS119" s="34"/>
      <c r="AT119" s="34"/>
      <c r="AU119" s="34"/>
      <c r="AV119" s="34"/>
      <c r="AW119" s="34"/>
      <c r="AX119" s="34"/>
      <c r="AY119" s="34"/>
      <c r="AZ119" s="34"/>
      <c r="BA119" s="34"/>
    </row>
    <row r="120" spans="1:53">
      <c r="A120" s="61">
        <v>95</v>
      </c>
      <c r="B120" s="61" t="s">
        <v>1126</v>
      </c>
      <c r="C120" s="61" t="s">
        <v>1127</v>
      </c>
      <c r="D120" s="61" t="s">
        <v>1133</v>
      </c>
      <c r="E120" s="83" t="s">
        <v>1096</v>
      </c>
      <c r="F120" s="61">
        <v>2016</v>
      </c>
      <c r="G120" s="83" t="s">
        <v>1129</v>
      </c>
      <c r="H120" s="61">
        <v>2014</v>
      </c>
      <c r="I120" s="84" t="s">
        <v>1096</v>
      </c>
      <c r="J120" s="61">
        <v>415211</v>
      </c>
      <c r="K120" s="61">
        <v>100</v>
      </c>
      <c r="L120" s="61">
        <v>2044</v>
      </c>
      <c r="M120" s="61">
        <v>60</v>
      </c>
      <c r="N120" s="84" t="s">
        <v>1096</v>
      </c>
      <c r="O120" s="61">
        <v>166084.4</v>
      </c>
      <c r="P120" s="61">
        <v>232928</v>
      </c>
      <c r="Q120" s="84" t="s">
        <v>1096</v>
      </c>
      <c r="R120" s="83">
        <v>73.168822598630584</v>
      </c>
      <c r="S120" s="83" t="s">
        <v>1130</v>
      </c>
      <c r="T120" s="83" t="s">
        <v>1159</v>
      </c>
      <c r="U120" s="83" t="s">
        <v>1285</v>
      </c>
      <c r="V120" s="83"/>
      <c r="W120" s="83"/>
      <c r="X120" s="83"/>
      <c r="Y120" s="83"/>
      <c r="Z120" s="83"/>
      <c r="AA120" s="83"/>
      <c r="AB120" s="83"/>
      <c r="AC120" s="83"/>
      <c r="AD120" s="83"/>
      <c r="AE120" s="83"/>
      <c r="AF120" s="83"/>
      <c r="AG120" s="83"/>
      <c r="AH120" s="83"/>
      <c r="AI120" s="83"/>
      <c r="AJ120" s="83"/>
      <c r="AK120" s="83"/>
      <c r="AL120" s="83"/>
      <c r="AM120" s="83"/>
      <c r="AN120" s="83"/>
      <c r="AO120" s="83"/>
      <c r="AP120" s="83"/>
      <c r="AQ120" s="83"/>
      <c r="AR120" s="83"/>
      <c r="AS120" s="34"/>
      <c r="AT120" s="34"/>
      <c r="AU120" s="34"/>
      <c r="AV120" s="34"/>
      <c r="AW120" s="34"/>
      <c r="AX120" s="34"/>
      <c r="AY120" s="34"/>
      <c r="AZ120" s="34"/>
      <c r="BA120" s="34"/>
    </row>
    <row r="121" spans="1:53">
      <c r="A121" s="61">
        <v>93</v>
      </c>
      <c r="B121" s="61" t="s">
        <v>1126</v>
      </c>
      <c r="C121" s="61" t="s">
        <v>1127</v>
      </c>
      <c r="D121" s="61" t="s">
        <v>1133</v>
      </c>
      <c r="E121" s="83" t="s">
        <v>1096</v>
      </c>
      <c r="F121" s="61">
        <v>2019</v>
      </c>
      <c r="G121" s="83" t="s">
        <v>1286</v>
      </c>
      <c r="H121" s="61">
        <v>2017</v>
      </c>
      <c r="I121" s="84" t="s">
        <v>1096</v>
      </c>
      <c r="J121" s="61">
        <v>95079</v>
      </c>
      <c r="K121" s="61">
        <v>55</v>
      </c>
      <c r="L121" s="61">
        <v>2023</v>
      </c>
      <c r="M121" s="61">
        <v>3</v>
      </c>
      <c r="N121" s="84" t="s">
        <v>1096</v>
      </c>
      <c r="O121" s="61">
        <v>92226.63</v>
      </c>
      <c r="P121" s="61">
        <v>82785</v>
      </c>
      <c r="Q121" s="84" t="s">
        <v>1096</v>
      </c>
      <c r="R121" s="83">
        <v>431.01000220869031</v>
      </c>
      <c r="S121" s="83" t="s">
        <v>1130</v>
      </c>
      <c r="T121" s="83" t="s">
        <v>1146</v>
      </c>
      <c r="U121" s="83" t="s">
        <v>1287</v>
      </c>
      <c r="V121" s="83"/>
      <c r="W121" s="83"/>
      <c r="X121" s="83"/>
      <c r="Y121" s="83"/>
      <c r="Z121" s="83"/>
      <c r="AA121" s="83"/>
      <c r="AB121" s="83"/>
      <c r="AC121" s="83"/>
      <c r="AD121" s="83"/>
      <c r="AE121" s="83"/>
      <c r="AF121" s="83"/>
      <c r="AG121" s="83"/>
      <c r="AH121" s="83"/>
      <c r="AI121" s="83"/>
      <c r="AJ121" s="83"/>
      <c r="AK121" s="83"/>
      <c r="AL121" s="83"/>
      <c r="AM121" s="83"/>
      <c r="AN121" s="83"/>
      <c r="AO121" s="83"/>
      <c r="AP121" s="83"/>
      <c r="AQ121" s="83"/>
      <c r="AR121" s="83"/>
      <c r="AS121" s="34"/>
      <c r="AT121" s="34"/>
      <c r="AU121" s="34"/>
      <c r="AV121" s="34"/>
      <c r="AW121" s="34"/>
      <c r="AX121" s="34"/>
      <c r="AY121" s="34"/>
      <c r="AZ121" s="34"/>
      <c r="BA121" s="34"/>
    </row>
    <row r="122" spans="1:53">
      <c r="A122" s="61">
        <v>94</v>
      </c>
      <c r="B122" s="61" t="s">
        <v>1126</v>
      </c>
      <c r="C122" s="61" t="s">
        <v>1127</v>
      </c>
      <c r="D122" s="61" t="s">
        <v>1133</v>
      </c>
      <c r="E122" s="83" t="s">
        <v>1096</v>
      </c>
      <c r="F122" s="61">
        <v>2016</v>
      </c>
      <c r="G122" s="83" t="s">
        <v>1283</v>
      </c>
      <c r="H122" s="61">
        <v>2015</v>
      </c>
      <c r="I122" s="84" t="s">
        <v>1096</v>
      </c>
      <c r="J122" s="61">
        <v>5636000</v>
      </c>
      <c r="K122" s="61">
        <v>43</v>
      </c>
      <c r="L122" s="61">
        <v>2025</v>
      </c>
      <c r="M122" s="61">
        <v>12</v>
      </c>
      <c r="N122" s="84" t="s">
        <v>1096</v>
      </c>
      <c r="O122" s="61">
        <v>4959680</v>
      </c>
      <c r="P122" s="61">
        <v>5938000</v>
      </c>
      <c r="Q122" s="84" t="s">
        <v>1096</v>
      </c>
      <c r="R122" s="83">
        <v>-44.653418500118285</v>
      </c>
      <c r="S122" s="83" t="s">
        <v>1130</v>
      </c>
      <c r="T122" s="83" t="s">
        <v>1159</v>
      </c>
      <c r="U122" s="83" t="s">
        <v>1288</v>
      </c>
      <c r="V122" s="83"/>
      <c r="W122" s="83"/>
      <c r="X122" s="83"/>
      <c r="Y122" s="83"/>
      <c r="Z122" s="83"/>
      <c r="AA122" s="83"/>
      <c r="AB122" s="83"/>
      <c r="AC122" s="83"/>
      <c r="AD122" s="83"/>
      <c r="AE122" s="83"/>
      <c r="AF122" s="83"/>
      <c r="AG122" s="83"/>
      <c r="AH122" s="83"/>
      <c r="AI122" s="83"/>
      <c r="AJ122" s="83"/>
      <c r="AK122" s="83"/>
      <c r="AL122" s="83"/>
      <c r="AM122" s="83"/>
      <c r="AN122" s="83"/>
      <c r="AO122" s="83"/>
      <c r="AP122" s="83"/>
      <c r="AQ122" s="83"/>
      <c r="AR122" s="83"/>
      <c r="AS122" s="34"/>
      <c r="AT122" s="34"/>
      <c r="AU122" s="34"/>
      <c r="AV122" s="34"/>
      <c r="AW122" s="34"/>
      <c r="AX122" s="34"/>
      <c r="AY122" s="34"/>
      <c r="AZ122" s="34"/>
      <c r="BA122" s="34"/>
    </row>
    <row r="123" spans="1:53">
      <c r="A123" s="61">
        <v>96</v>
      </c>
      <c r="B123" s="61" t="s">
        <v>1126</v>
      </c>
      <c r="C123" s="61" t="s">
        <v>1127</v>
      </c>
      <c r="D123" s="61" t="s">
        <v>1128</v>
      </c>
      <c r="E123" s="83" t="s">
        <v>1096</v>
      </c>
      <c r="F123" s="61">
        <v>2018</v>
      </c>
      <c r="G123" s="83" t="s">
        <v>1129</v>
      </c>
      <c r="H123" s="61">
        <v>2018</v>
      </c>
      <c r="I123" s="84" t="s">
        <v>1096</v>
      </c>
      <c r="J123" s="61">
        <v>4418820</v>
      </c>
      <c r="K123" s="61">
        <v>100</v>
      </c>
      <c r="L123" s="61">
        <v>2035</v>
      </c>
      <c r="M123" s="61">
        <v>100</v>
      </c>
      <c r="N123" s="84" t="s">
        <v>1096</v>
      </c>
      <c r="O123" s="61">
        <v>0</v>
      </c>
      <c r="P123" s="61">
        <v>4365627.32</v>
      </c>
      <c r="Q123" s="84" t="s">
        <v>1096</v>
      </c>
      <c r="R123" s="83">
        <v>1.2037756686174068</v>
      </c>
      <c r="S123" s="83" t="s">
        <v>1130</v>
      </c>
      <c r="T123" s="83" t="s">
        <v>1159</v>
      </c>
      <c r="U123" s="83" t="s">
        <v>1289</v>
      </c>
      <c r="V123" s="83"/>
      <c r="W123" s="83"/>
      <c r="X123" s="83"/>
      <c r="Y123" s="83"/>
      <c r="Z123" s="83"/>
      <c r="AA123" s="83"/>
      <c r="AB123" s="83"/>
      <c r="AC123" s="83"/>
      <c r="AD123" s="83"/>
      <c r="AE123" s="83"/>
      <c r="AF123" s="83"/>
      <c r="AG123" s="83"/>
      <c r="AH123" s="83"/>
      <c r="AI123" s="83"/>
      <c r="AJ123" s="83"/>
      <c r="AK123" s="83"/>
      <c r="AL123" s="83"/>
      <c r="AM123" s="83"/>
      <c r="AN123" s="83"/>
      <c r="AO123" s="83"/>
      <c r="AP123" s="83"/>
      <c r="AQ123" s="83"/>
      <c r="AR123" s="83"/>
      <c r="AS123" s="34"/>
      <c r="AT123" s="34"/>
      <c r="AU123" s="34"/>
      <c r="AV123" s="34"/>
      <c r="AW123" s="34"/>
      <c r="AX123" s="34"/>
      <c r="AY123" s="34"/>
      <c r="AZ123" s="34"/>
      <c r="BA123" s="34"/>
    </row>
    <row r="124" spans="1:53">
      <c r="A124" s="61">
        <v>96</v>
      </c>
      <c r="B124" s="61" t="s">
        <v>1126</v>
      </c>
      <c r="C124" s="61" t="s">
        <v>1170</v>
      </c>
      <c r="D124" s="61" t="s">
        <v>1290</v>
      </c>
      <c r="E124" s="83" t="s">
        <v>1096</v>
      </c>
      <c r="F124" s="61">
        <v>2018</v>
      </c>
      <c r="G124" s="83" t="s">
        <v>1129</v>
      </c>
      <c r="H124" s="61">
        <v>2018</v>
      </c>
      <c r="I124" s="84" t="s">
        <v>1096</v>
      </c>
      <c r="J124" s="61">
        <v>4033579</v>
      </c>
      <c r="K124" s="61">
        <v>100</v>
      </c>
      <c r="L124" s="61">
        <v>2025</v>
      </c>
      <c r="M124" s="61">
        <v>50</v>
      </c>
      <c r="N124" s="84" t="s">
        <v>1096</v>
      </c>
      <c r="O124" s="61">
        <v>2016789.5</v>
      </c>
      <c r="P124" s="61">
        <v>4006874.47</v>
      </c>
      <c r="Q124" s="84" t="s">
        <v>1096</v>
      </c>
      <c r="R124" s="83">
        <v>1.3241109198555325</v>
      </c>
      <c r="S124" s="83" t="s">
        <v>1130</v>
      </c>
      <c r="T124" s="83" t="s">
        <v>1144</v>
      </c>
      <c r="U124" s="83" t="s">
        <v>1291</v>
      </c>
      <c r="V124" s="83"/>
      <c r="W124" s="83"/>
      <c r="X124" s="83"/>
      <c r="Y124" s="83"/>
      <c r="Z124" s="83"/>
      <c r="AA124" s="83"/>
      <c r="AB124" s="83"/>
      <c r="AC124" s="83"/>
      <c r="AD124" s="83"/>
      <c r="AE124" s="83"/>
      <c r="AF124" s="83"/>
      <c r="AG124" s="83"/>
      <c r="AH124" s="83"/>
      <c r="AI124" s="83"/>
      <c r="AJ124" s="83"/>
      <c r="AK124" s="83"/>
      <c r="AL124" s="83"/>
      <c r="AM124" s="83"/>
      <c r="AN124" s="83"/>
      <c r="AO124" s="83"/>
      <c r="AP124" s="83"/>
      <c r="AQ124" s="83"/>
      <c r="AR124" s="83"/>
      <c r="AS124" s="34"/>
      <c r="AT124" s="34"/>
      <c r="AU124" s="34"/>
      <c r="AV124" s="34"/>
      <c r="AW124" s="34"/>
      <c r="AX124" s="34"/>
      <c r="AY124" s="34"/>
      <c r="AZ124" s="34"/>
      <c r="BA124" s="34"/>
    </row>
    <row r="125" spans="1:53">
      <c r="A125" s="61">
        <v>99</v>
      </c>
      <c r="B125" s="61" t="s">
        <v>1126</v>
      </c>
      <c r="C125" s="61" t="s">
        <v>1127</v>
      </c>
      <c r="D125" s="61" t="s">
        <v>1133</v>
      </c>
      <c r="E125" s="83" t="s">
        <v>1096</v>
      </c>
      <c r="F125" s="61">
        <v>2016</v>
      </c>
      <c r="G125" s="83" t="s">
        <v>1129</v>
      </c>
      <c r="H125" s="61">
        <v>2015</v>
      </c>
      <c r="I125" s="84" t="s">
        <v>1096</v>
      </c>
      <c r="J125" s="61">
        <v>19547272</v>
      </c>
      <c r="K125" s="61">
        <v>100</v>
      </c>
      <c r="L125" s="61">
        <v>2025</v>
      </c>
      <c r="M125" s="61">
        <v>18</v>
      </c>
      <c r="N125" s="84" t="s">
        <v>1096</v>
      </c>
      <c r="O125" s="61">
        <v>16028763.039999999</v>
      </c>
      <c r="P125" s="61">
        <v>17563596</v>
      </c>
      <c r="Q125" s="84" t="s">
        <v>1096</v>
      </c>
      <c r="R125" s="83">
        <v>56.378313159105886</v>
      </c>
      <c r="S125" s="83" t="s">
        <v>1130</v>
      </c>
      <c r="T125" s="83" t="s">
        <v>1137</v>
      </c>
      <c r="U125" s="83" t="s">
        <v>1292</v>
      </c>
      <c r="V125" s="83"/>
      <c r="W125" s="83"/>
      <c r="X125" s="83"/>
      <c r="Y125" s="83"/>
      <c r="Z125" s="83"/>
      <c r="AA125" s="83"/>
      <c r="AB125" s="83"/>
      <c r="AC125" s="83"/>
      <c r="AD125" s="83"/>
      <c r="AE125" s="83"/>
      <c r="AF125" s="83"/>
      <c r="AG125" s="83"/>
      <c r="AH125" s="83"/>
      <c r="AI125" s="83"/>
      <c r="AJ125" s="83"/>
      <c r="AK125" s="83"/>
      <c r="AL125" s="83"/>
      <c r="AM125" s="83"/>
      <c r="AN125" s="83"/>
      <c r="AO125" s="83"/>
      <c r="AP125" s="83"/>
      <c r="AQ125" s="83"/>
      <c r="AR125" s="83"/>
      <c r="AS125" s="34"/>
      <c r="AT125" s="34"/>
      <c r="AU125" s="34"/>
      <c r="AV125" s="34"/>
      <c r="AW125" s="34"/>
      <c r="AX125" s="34"/>
      <c r="AY125" s="34"/>
      <c r="AZ125" s="34"/>
      <c r="BA125" s="34"/>
    </row>
    <row r="126" spans="1:53">
      <c r="A126" s="61">
        <v>99</v>
      </c>
      <c r="B126" s="61" t="s">
        <v>1126</v>
      </c>
      <c r="C126" s="61" t="s">
        <v>1141</v>
      </c>
      <c r="D126" s="61" t="s">
        <v>1151</v>
      </c>
      <c r="E126" s="83" t="s">
        <v>1096</v>
      </c>
      <c r="F126" s="61">
        <v>2016</v>
      </c>
      <c r="G126" s="83" t="s">
        <v>1129</v>
      </c>
      <c r="H126" s="61">
        <v>2015</v>
      </c>
      <c r="I126" s="84" t="s">
        <v>1096</v>
      </c>
      <c r="J126" s="61">
        <v>1000000000</v>
      </c>
      <c r="K126" s="61">
        <v>100</v>
      </c>
      <c r="L126" s="61">
        <v>2030</v>
      </c>
      <c r="M126" s="61">
        <v>100</v>
      </c>
      <c r="N126" s="84" t="s">
        <v>1096</v>
      </c>
      <c r="O126" s="61">
        <v>0</v>
      </c>
      <c r="P126" s="61">
        <v>770000000</v>
      </c>
      <c r="Q126" s="84" t="s">
        <v>1096</v>
      </c>
      <c r="R126" s="83">
        <v>23</v>
      </c>
      <c r="S126" s="83" t="s">
        <v>1130</v>
      </c>
      <c r="T126" s="83" t="s">
        <v>1137</v>
      </c>
      <c r="U126" s="83" t="s">
        <v>1293</v>
      </c>
      <c r="V126" s="83"/>
      <c r="W126" s="83"/>
      <c r="X126" s="83"/>
      <c r="Y126" s="83"/>
      <c r="Z126" s="83"/>
      <c r="AA126" s="83"/>
      <c r="AB126" s="83"/>
      <c r="AC126" s="83"/>
      <c r="AD126" s="83"/>
      <c r="AE126" s="83"/>
      <c r="AF126" s="83"/>
      <c r="AG126" s="83"/>
      <c r="AH126" s="83"/>
      <c r="AI126" s="83"/>
      <c r="AJ126" s="83"/>
      <c r="AK126" s="83"/>
      <c r="AL126" s="83"/>
      <c r="AM126" s="83"/>
      <c r="AN126" s="83"/>
      <c r="AO126" s="83"/>
      <c r="AP126" s="83"/>
      <c r="AQ126" s="83"/>
      <c r="AR126" s="83"/>
      <c r="AS126" s="34"/>
      <c r="AT126" s="34"/>
      <c r="AU126" s="34"/>
      <c r="AV126" s="34"/>
      <c r="AW126" s="34"/>
      <c r="AX126" s="34"/>
      <c r="AY126" s="34"/>
      <c r="AZ126" s="34"/>
      <c r="BA126" s="34"/>
    </row>
    <row r="127" spans="1:53">
      <c r="A127" s="61">
        <v>90</v>
      </c>
      <c r="B127" s="61" t="s">
        <v>1126</v>
      </c>
      <c r="C127" s="61" t="s">
        <v>1127</v>
      </c>
      <c r="D127" s="61" t="s">
        <v>1133</v>
      </c>
      <c r="E127" s="83" t="s">
        <v>1096</v>
      </c>
      <c r="F127" s="61">
        <v>2013</v>
      </c>
      <c r="G127" s="83" t="s">
        <v>1129</v>
      </c>
      <c r="H127" s="61">
        <v>2012</v>
      </c>
      <c r="I127" s="84" t="s">
        <v>1096</v>
      </c>
      <c r="J127" s="61">
        <v>1742927</v>
      </c>
      <c r="K127" s="61">
        <v>100</v>
      </c>
      <c r="L127" s="61">
        <v>2020</v>
      </c>
      <c r="M127" s="61">
        <v>50</v>
      </c>
      <c r="N127" s="84" t="s">
        <v>1096</v>
      </c>
      <c r="O127" s="61">
        <v>871463.5</v>
      </c>
      <c r="P127" s="61">
        <v>925998</v>
      </c>
      <c r="Q127" s="84" t="s">
        <v>1096</v>
      </c>
      <c r="R127" s="83">
        <v>93.742193448147859</v>
      </c>
      <c r="S127" s="83" t="s">
        <v>1130</v>
      </c>
      <c r="T127" s="83" t="s">
        <v>1159</v>
      </c>
      <c r="U127" s="83" t="s">
        <v>1294</v>
      </c>
      <c r="V127" s="83"/>
      <c r="W127" s="83"/>
      <c r="X127" s="83"/>
      <c r="Y127" s="83"/>
      <c r="Z127" s="83"/>
      <c r="AA127" s="83"/>
      <c r="AB127" s="83"/>
      <c r="AC127" s="83"/>
      <c r="AD127" s="83"/>
      <c r="AE127" s="83"/>
      <c r="AF127" s="83"/>
      <c r="AG127" s="83"/>
      <c r="AH127" s="83"/>
      <c r="AI127" s="83"/>
      <c r="AJ127" s="83"/>
      <c r="AK127" s="83"/>
      <c r="AL127" s="83"/>
      <c r="AM127" s="83"/>
      <c r="AN127" s="83"/>
      <c r="AO127" s="83"/>
      <c r="AP127" s="83"/>
      <c r="AQ127" s="83"/>
      <c r="AR127" s="83"/>
      <c r="AS127" s="34"/>
      <c r="AT127" s="34"/>
      <c r="AU127" s="34"/>
      <c r="AV127" s="34"/>
      <c r="AW127" s="34"/>
      <c r="AX127" s="34"/>
      <c r="AY127" s="34"/>
      <c r="AZ127" s="34"/>
      <c r="BA127" s="34"/>
    </row>
    <row r="128" spans="1:53">
      <c r="A128" s="61">
        <v>100</v>
      </c>
      <c r="B128" s="61" t="s">
        <v>1126</v>
      </c>
      <c r="C128" s="61" t="s">
        <v>1157</v>
      </c>
      <c r="D128" s="61" t="s">
        <v>1209</v>
      </c>
      <c r="E128" s="83" t="s">
        <v>1096</v>
      </c>
      <c r="F128" s="61">
        <v>2008</v>
      </c>
      <c r="G128" s="83"/>
      <c r="H128" s="61">
        <v>2008</v>
      </c>
      <c r="I128" s="84" t="s">
        <v>1096</v>
      </c>
      <c r="J128" s="61">
        <v>1953466</v>
      </c>
      <c r="K128" s="61">
        <v>100</v>
      </c>
      <c r="L128" s="61">
        <v>2020</v>
      </c>
      <c r="M128" s="61">
        <v>45</v>
      </c>
      <c r="N128" s="84" t="s">
        <v>1096</v>
      </c>
      <c r="O128" s="61">
        <v>1074406.3</v>
      </c>
      <c r="P128" s="61">
        <v>941597</v>
      </c>
      <c r="Q128" s="84" t="s">
        <v>1096</v>
      </c>
      <c r="R128" s="83">
        <v>115.10810926720904</v>
      </c>
      <c r="S128" s="83" t="s">
        <v>1143</v>
      </c>
      <c r="T128" s="83" t="s">
        <v>1131</v>
      </c>
      <c r="U128" s="83" t="s">
        <v>1295</v>
      </c>
      <c r="V128" s="83"/>
      <c r="W128" s="83"/>
      <c r="X128" s="83"/>
      <c r="Y128" s="83"/>
      <c r="Z128" s="83"/>
      <c r="AA128" s="83"/>
      <c r="AB128" s="83"/>
      <c r="AC128" s="83"/>
      <c r="AD128" s="83"/>
      <c r="AE128" s="83"/>
      <c r="AF128" s="83"/>
      <c r="AG128" s="83"/>
      <c r="AH128" s="83"/>
      <c r="AI128" s="83"/>
      <c r="AJ128" s="83"/>
      <c r="AK128" s="83"/>
      <c r="AL128" s="83"/>
      <c r="AM128" s="83"/>
      <c r="AN128" s="83"/>
      <c r="AO128" s="83"/>
      <c r="AP128" s="83"/>
      <c r="AQ128" s="83"/>
      <c r="AR128" s="83"/>
      <c r="AS128" s="34"/>
      <c r="AT128" s="34"/>
      <c r="AU128" s="34"/>
      <c r="AV128" s="34"/>
      <c r="AW128" s="34"/>
      <c r="AX128" s="34"/>
      <c r="AY128" s="34"/>
      <c r="AZ128" s="34"/>
      <c r="BA128" s="34"/>
    </row>
    <row r="129" spans="1:53">
      <c r="A129" s="61">
        <v>1</v>
      </c>
      <c r="B129" s="61" t="s">
        <v>1296</v>
      </c>
      <c r="C129" s="61" t="s">
        <v>1127</v>
      </c>
      <c r="D129" s="61" t="s">
        <v>1128</v>
      </c>
      <c r="E129" s="83" t="s">
        <v>1297</v>
      </c>
      <c r="F129" s="61">
        <v>2015</v>
      </c>
      <c r="G129" s="83"/>
      <c r="H129" s="61">
        <v>2015</v>
      </c>
      <c r="I129" s="61">
        <v>937</v>
      </c>
      <c r="J129" s="84" t="s">
        <v>1096</v>
      </c>
      <c r="K129" s="61">
        <v>50</v>
      </c>
      <c r="L129" s="61">
        <v>2025</v>
      </c>
      <c r="M129" s="61">
        <v>30</v>
      </c>
      <c r="N129" s="61">
        <v>655.9</v>
      </c>
      <c r="O129" s="84" t="s">
        <v>1096</v>
      </c>
      <c r="P129" s="84" t="s">
        <v>1096</v>
      </c>
      <c r="Q129" s="61">
        <v>907</v>
      </c>
      <c r="R129" s="83">
        <v>10.672358591248665</v>
      </c>
      <c r="S129" s="83" t="s">
        <v>1130</v>
      </c>
      <c r="T129" s="83" t="s">
        <v>1131</v>
      </c>
      <c r="U129" s="83" t="s">
        <v>1298</v>
      </c>
      <c r="V129" s="83"/>
      <c r="W129" s="83"/>
      <c r="X129" s="83"/>
      <c r="Y129" s="83"/>
      <c r="Z129" s="83"/>
      <c r="AA129" s="83"/>
      <c r="AB129" s="83"/>
      <c r="AC129" s="83"/>
      <c r="AD129" s="83"/>
      <c r="AE129" s="83"/>
      <c r="AF129" s="83"/>
      <c r="AG129" s="83"/>
      <c r="AH129" s="83"/>
      <c r="AI129" s="83"/>
      <c r="AJ129" s="83"/>
      <c r="AK129" s="83"/>
      <c r="AL129" s="83"/>
      <c r="AM129" s="83"/>
      <c r="AN129" s="83"/>
      <c r="AO129" s="83"/>
      <c r="AP129" s="83"/>
      <c r="AQ129" s="83"/>
      <c r="AR129" s="83"/>
      <c r="AS129" s="34"/>
      <c r="AT129" s="34"/>
      <c r="AU129" s="34"/>
      <c r="AV129" s="34"/>
      <c r="AW129" s="34"/>
      <c r="AX129" s="34"/>
      <c r="AY129" s="34"/>
      <c r="AZ129" s="34"/>
      <c r="BA129" s="34"/>
    </row>
    <row r="130" spans="1:53">
      <c r="A130" s="61">
        <v>2</v>
      </c>
      <c r="B130" s="61" t="s">
        <v>1296</v>
      </c>
      <c r="C130" s="61" t="s">
        <v>1127</v>
      </c>
      <c r="D130" s="61" t="s">
        <v>1128</v>
      </c>
      <c r="E130" s="83" t="s">
        <v>1299</v>
      </c>
      <c r="F130" s="61">
        <v>2012</v>
      </c>
      <c r="G130" s="83" t="s">
        <v>1129</v>
      </c>
      <c r="H130" s="86">
        <v>2010</v>
      </c>
      <c r="I130" s="61">
        <v>5.3399999999999997E-5</v>
      </c>
      <c r="J130" s="84" t="s">
        <v>1096</v>
      </c>
      <c r="K130" s="61">
        <v>100</v>
      </c>
      <c r="L130" s="61">
        <v>2020</v>
      </c>
      <c r="M130" s="61">
        <v>40</v>
      </c>
      <c r="N130" s="61">
        <v>3.2039999999999998E-5</v>
      </c>
      <c r="O130" s="84" t="s">
        <v>1096</v>
      </c>
      <c r="P130" s="84" t="s">
        <v>1096</v>
      </c>
      <c r="Q130" s="61">
        <v>3.04E-5</v>
      </c>
      <c r="R130" s="83">
        <v>107.67790262172284</v>
      </c>
      <c r="S130" s="83" t="s">
        <v>1143</v>
      </c>
      <c r="T130" s="83" t="s">
        <v>1131</v>
      </c>
      <c r="U130" s="83" t="s">
        <v>1300</v>
      </c>
      <c r="V130" s="83"/>
      <c r="W130" s="83"/>
      <c r="X130" s="83"/>
      <c r="Y130" s="83"/>
      <c r="Z130" s="83"/>
      <c r="AA130" s="83"/>
      <c r="AB130" s="83"/>
      <c r="AC130" s="83"/>
      <c r="AD130" s="83"/>
      <c r="AE130" s="83"/>
      <c r="AF130" s="83"/>
      <c r="AG130" s="83"/>
      <c r="AH130" s="83"/>
      <c r="AI130" s="83"/>
      <c r="AJ130" s="83"/>
      <c r="AK130" s="83"/>
      <c r="AL130" s="83"/>
      <c r="AM130" s="83"/>
      <c r="AN130" s="83"/>
      <c r="AO130" s="83"/>
      <c r="AP130" s="83"/>
      <c r="AQ130" s="83"/>
      <c r="AR130" s="83"/>
      <c r="AS130" s="34"/>
      <c r="AT130" s="34"/>
      <c r="AU130" s="34"/>
      <c r="AV130" s="34"/>
      <c r="AW130" s="34"/>
      <c r="AX130" s="34"/>
      <c r="AY130" s="34"/>
      <c r="AZ130" s="34"/>
      <c r="BA130" s="34"/>
    </row>
    <row r="131" spans="1:53">
      <c r="A131" s="61">
        <v>5</v>
      </c>
      <c r="B131" s="61" t="s">
        <v>1296</v>
      </c>
      <c r="C131" s="61" t="s">
        <v>1141</v>
      </c>
      <c r="D131" s="61" t="s">
        <v>1189</v>
      </c>
      <c r="E131" s="83" t="s">
        <v>1301</v>
      </c>
      <c r="F131" s="61">
        <v>2016</v>
      </c>
      <c r="G131" s="83" t="s">
        <v>1129</v>
      </c>
      <c r="H131" s="61">
        <v>2015</v>
      </c>
      <c r="I131" s="61">
        <v>4</v>
      </c>
      <c r="J131" s="84" t="s">
        <v>1096</v>
      </c>
      <c r="K131" s="61">
        <v>100</v>
      </c>
      <c r="L131" s="61">
        <v>2025</v>
      </c>
      <c r="M131" s="61">
        <v>5</v>
      </c>
      <c r="N131" s="61">
        <v>3.8</v>
      </c>
      <c r="O131" s="84" t="s">
        <v>1096</v>
      </c>
      <c r="P131" s="84" t="s">
        <v>1096</v>
      </c>
      <c r="Q131" s="61">
        <v>3.9</v>
      </c>
      <c r="R131" s="83">
        <v>50</v>
      </c>
      <c r="S131" s="83" t="s">
        <v>1130</v>
      </c>
      <c r="T131" s="83" t="s">
        <v>1302</v>
      </c>
      <c r="U131" s="83" t="s">
        <v>1303</v>
      </c>
      <c r="V131" s="83"/>
      <c r="W131" s="83"/>
      <c r="X131" s="83"/>
      <c r="Y131" s="83"/>
      <c r="Z131" s="83"/>
      <c r="AA131" s="83"/>
      <c r="AB131" s="83"/>
      <c r="AC131" s="83"/>
      <c r="AD131" s="83"/>
      <c r="AE131" s="83"/>
      <c r="AF131" s="83"/>
      <c r="AG131" s="83"/>
      <c r="AH131" s="83"/>
      <c r="AI131" s="83"/>
      <c r="AJ131" s="83"/>
      <c r="AK131" s="83"/>
      <c r="AL131" s="83"/>
      <c r="AM131" s="83"/>
      <c r="AN131" s="83"/>
      <c r="AO131" s="83"/>
      <c r="AP131" s="83"/>
      <c r="AQ131" s="83"/>
      <c r="AR131" s="83"/>
      <c r="AS131" s="34"/>
      <c r="AT131" s="34"/>
      <c r="AU131" s="34"/>
      <c r="AV131" s="34"/>
      <c r="AW131" s="34"/>
      <c r="AX131" s="34"/>
      <c r="AY131" s="34"/>
      <c r="AZ131" s="34"/>
      <c r="BA131" s="34"/>
    </row>
    <row r="132" spans="1:53">
      <c r="A132" s="61">
        <v>5</v>
      </c>
      <c r="B132" s="61" t="s">
        <v>1296</v>
      </c>
      <c r="C132" s="61" t="s">
        <v>1141</v>
      </c>
      <c r="D132" s="61" t="s">
        <v>1269</v>
      </c>
      <c r="E132" s="83" t="s">
        <v>1304</v>
      </c>
      <c r="F132" s="61">
        <v>2016</v>
      </c>
      <c r="G132" s="83" t="s">
        <v>1129</v>
      </c>
      <c r="H132" s="61">
        <v>2015</v>
      </c>
      <c r="I132" s="61">
        <v>3.5739999999999999E-3</v>
      </c>
      <c r="J132" s="84" t="s">
        <v>1096</v>
      </c>
      <c r="K132" s="61">
        <v>100</v>
      </c>
      <c r="L132" s="61">
        <v>2025</v>
      </c>
      <c r="M132" s="61">
        <v>15</v>
      </c>
      <c r="N132" s="61">
        <v>3.0379000000000001E-3</v>
      </c>
      <c r="O132" s="84" t="s">
        <v>1096</v>
      </c>
      <c r="P132" s="84" t="s">
        <v>1096</v>
      </c>
      <c r="Q132" s="61">
        <v>3.026E-3</v>
      </c>
      <c r="R132" s="83">
        <v>102.21973512404404</v>
      </c>
      <c r="S132" s="83" t="s">
        <v>1130</v>
      </c>
      <c r="T132" s="83" t="s">
        <v>1302</v>
      </c>
      <c r="U132" s="83" t="s">
        <v>1305</v>
      </c>
      <c r="V132" s="83"/>
      <c r="W132" s="83"/>
      <c r="X132" s="83"/>
      <c r="Y132" s="83"/>
      <c r="Z132" s="83"/>
      <c r="AA132" s="83"/>
      <c r="AB132" s="83"/>
      <c r="AC132" s="83"/>
      <c r="AD132" s="83"/>
      <c r="AE132" s="83"/>
      <c r="AF132" s="83"/>
      <c r="AG132" s="83"/>
      <c r="AH132" s="83"/>
      <c r="AI132" s="83"/>
      <c r="AJ132" s="83"/>
      <c r="AK132" s="83"/>
      <c r="AL132" s="83"/>
      <c r="AM132" s="83"/>
      <c r="AN132" s="83"/>
      <c r="AO132" s="83"/>
      <c r="AP132" s="83"/>
      <c r="AQ132" s="83"/>
      <c r="AR132" s="83"/>
      <c r="AS132" s="34"/>
      <c r="AT132" s="34"/>
      <c r="AU132" s="34"/>
      <c r="AV132" s="34"/>
      <c r="AW132" s="34"/>
      <c r="AX132" s="34"/>
      <c r="AY132" s="34"/>
      <c r="AZ132" s="34"/>
      <c r="BA132" s="34"/>
    </row>
    <row r="133" spans="1:53">
      <c r="A133" s="61">
        <v>11</v>
      </c>
      <c r="B133" s="61" t="s">
        <v>1296</v>
      </c>
      <c r="C133" s="61" t="s">
        <v>1170</v>
      </c>
      <c r="D133" s="61" t="s">
        <v>1290</v>
      </c>
      <c r="E133" s="83" t="s">
        <v>1304</v>
      </c>
      <c r="F133" s="61">
        <v>2012</v>
      </c>
      <c r="G133" s="83" t="s">
        <v>1162</v>
      </c>
      <c r="H133" s="61">
        <v>2011</v>
      </c>
      <c r="I133" s="61">
        <v>14.16</v>
      </c>
      <c r="J133" s="84" t="s">
        <v>1096</v>
      </c>
      <c r="K133" s="61">
        <v>83</v>
      </c>
      <c r="L133" s="61">
        <v>2023</v>
      </c>
      <c r="M133" s="61">
        <v>30</v>
      </c>
      <c r="N133" s="61">
        <v>9.911999999999999</v>
      </c>
      <c r="O133" s="84" t="s">
        <v>1096</v>
      </c>
      <c r="P133" s="84" t="s">
        <v>1096</v>
      </c>
      <c r="Q133" s="61">
        <v>8.48</v>
      </c>
      <c r="R133" s="83">
        <v>133.70998116760825</v>
      </c>
      <c r="S133" s="83" t="s">
        <v>1143</v>
      </c>
      <c r="T133" s="83" t="s">
        <v>1131</v>
      </c>
      <c r="U133" s="83" t="s">
        <v>1306</v>
      </c>
      <c r="V133" s="83"/>
      <c r="W133" s="83"/>
      <c r="X133" s="83"/>
      <c r="Y133" s="83"/>
      <c r="Z133" s="83"/>
      <c r="AA133" s="83"/>
      <c r="AB133" s="83"/>
      <c r="AC133" s="83"/>
      <c r="AD133" s="83"/>
      <c r="AE133" s="83"/>
      <c r="AF133" s="83"/>
      <c r="AG133" s="83"/>
      <c r="AH133" s="83"/>
      <c r="AI133" s="83"/>
      <c r="AJ133" s="83"/>
      <c r="AK133" s="83"/>
      <c r="AL133" s="83"/>
      <c r="AM133" s="83"/>
      <c r="AN133" s="83"/>
      <c r="AO133" s="83"/>
      <c r="AP133" s="83"/>
      <c r="AQ133" s="83"/>
      <c r="AR133" s="83"/>
      <c r="AS133" s="34"/>
      <c r="AT133" s="34"/>
      <c r="AU133" s="34"/>
      <c r="AV133" s="34"/>
      <c r="AW133" s="34"/>
      <c r="AX133" s="34"/>
      <c r="AY133" s="34"/>
      <c r="AZ133" s="34"/>
      <c r="BA133" s="34"/>
    </row>
    <row r="134" spans="1:53">
      <c r="A134" s="61">
        <v>15</v>
      </c>
      <c r="B134" s="61" t="s">
        <v>1296</v>
      </c>
      <c r="C134" s="61" t="s">
        <v>1307</v>
      </c>
      <c r="D134" s="61" t="s">
        <v>1308</v>
      </c>
      <c r="E134" s="83" t="s">
        <v>1309</v>
      </c>
      <c r="F134" s="61">
        <v>2015</v>
      </c>
      <c r="G134" s="83" t="s">
        <v>1129</v>
      </c>
      <c r="H134" s="61"/>
      <c r="I134" s="61"/>
      <c r="J134" s="84" t="s">
        <v>1096</v>
      </c>
      <c r="K134" s="61"/>
      <c r="L134" s="61">
        <v>2025</v>
      </c>
      <c r="M134" s="61"/>
      <c r="N134" s="61">
        <v>0</v>
      </c>
      <c r="O134" s="84" t="s">
        <v>1096</v>
      </c>
      <c r="P134" s="84" t="s">
        <v>1096</v>
      </c>
      <c r="Q134" s="61"/>
      <c r="R134" s="83"/>
      <c r="S134" s="83" t="s">
        <v>1130</v>
      </c>
      <c r="T134" s="83" t="s">
        <v>1144</v>
      </c>
      <c r="U134" s="83" t="s">
        <v>1310</v>
      </c>
      <c r="V134" s="83"/>
      <c r="W134" s="83"/>
      <c r="X134" s="83"/>
      <c r="Y134" s="83"/>
      <c r="Z134" s="83"/>
      <c r="AA134" s="83"/>
      <c r="AB134" s="83"/>
      <c r="AC134" s="83"/>
      <c r="AD134" s="83"/>
      <c r="AE134" s="83"/>
      <c r="AF134" s="83"/>
      <c r="AG134" s="83"/>
      <c r="AH134" s="83"/>
      <c r="AI134" s="83"/>
      <c r="AJ134" s="83"/>
      <c r="AK134" s="83"/>
      <c r="AL134" s="83"/>
      <c r="AM134" s="83"/>
      <c r="AN134" s="83"/>
      <c r="AO134" s="83"/>
      <c r="AP134" s="83"/>
      <c r="AQ134" s="83"/>
      <c r="AR134" s="83"/>
      <c r="AS134" s="34"/>
      <c r="AT134" s="34"/>
      <c r="AU134" s="34"/>
      <c r="AV134" s="34"/>
      <c r="AW134" s="34"/>
      <c r="AX134" s="34"/>
      <c r="AY134" s="34"/>
      <c r="AZ134" s="34"/>
      <c r="BA134" s="34"/>
    </row>
    <row r="135" spans="1:53">
      <c r="A135" s="61">
        <v>19</v>
      </c>
      <c r="B135" s="61" t="s">
        <v>1296</v>
      </c>
      <c r="C135" s="61" t="s">
        <v>1170</v>
      </c>
      <c r="D135" s="61" t="s">
        <v>1290</v>
      </c>
      <c r="E135" s="83" t="s">
        <v>1301</v>
      </c>
      <c r="F135" s="61">
        <v>2013</v>
      </c>
      <c r="G135" s="83" t="s">
        <v>1311</v>
      </c>
      <c r="H135" s="61">
        <v>2011</v>
      </c>
      <c r="I135" s="61">
        <v>2.91</v>
      </c>
      <c r="J135" s="84" t="s">
        <v>1096</v>
      </c>
      <c r="K135" s="61">
        <v>12</v>
      </c>
      <c r="L135" s="61">
        <v>2023</v>
      </c>
      <c r="M135" s="61">
        <v>30</v>
      </c>
      <c r="N135" s="61">
        <v>2.0369999999999999</v>
      </c>
      <c r="O135" s="84" t="s">
        <v>1096</v>
      </c>
      <c r="P135" s="84" t="s">
        <v>1096</v>
      </c>
      <c r="Q135" s="61">
        <v>0.79</v>
      </c>
      <c r="R135" s="83">
        <v>242.84077892325308</v>
      </c>
      <c r="S135" s="83" t="s">
        <v>1143</v>
      </c>
      <c r="T135" s="83" t="s">
        <v>1144</v>
      </c>
      <c r="U135" s="83" t="s">
        <v>1312</v>
      </c>
      <c r="V135" s="83"/>
      <c r="W135" s="83"/>
      <c r="X135" s="83"/>
      <c r="Y135" s="83"/>
      <c r="Z135" s="83"/>
      <c r="AA135" s="83"/>
      <c r="AB135" s="83"/>
      <c r="AC135" s="83"/>
      <c r="AD135" s="83"/>
      <c r="AE135" s="83"/>
      <c r="AF135" s="83"/>
      <c r="AG135" s="83"/>
      <c r="AH135" s="83"/>
      <c r="AI135" s="83"/>
      <c r="AJ135" s="83"/>
      <c r="AK135" s="83"/>
      <c r="AL135" s="83"/>
      <c r="AM135" s="83"/>
      <c r="AN135" s="83"/>
      <c r="AO135" s="83"/>
      <c r="AP135" s="83"/>
      <c r="AQ135" s="83"/>
      <c r="AR135" s="83"/>
      <c r="AS135" s="34"/>
      <c r="AT135" s="34"/>
      <c r="AU135" s="34"/>
      <c r="AV135" s="34"/>
      <c r="AW135" s="34"/>
      <c r="AX135" s="34"/>
      <c r="AY135" s="34"/>
      <c r="AZ135" s="34"/>
      <c r="BA135" s="34"/>
    </row>
    <row r="136" spans="1:53">
      <c r="A136" s="61">
        <v>19</v>
      </c>
      <c r="B136" s="61" t="s">
        <v>1296</v>
      </c>
      <c r="C136" s="61" t="s">
        <v>1127</v>
      </c>
      <c r="D136" s="61" t="s">
        <v>1128</v>
      </c>
      <c r="E136" s="83" t="s">
        <v>1301</v>
      </c>
      <c r="F136" s="61">
        <v>2016</v>
      </c>
      <c r="G136" s="83" t="s">
        <v>1129</v>
      </c>
      <c r="H136" s="61">
        <v>2014</v>
      </c>
      <c r="I136" s="61">
        <v>2.59</v>
      </c>
      <c r="J136" s="84" t="s">
        <v>1096</v>
      </c>
      <c r="K136" s="61">
        <v>100</v>
      </c>
      <c r="L136" s="61">
        <v>2020</v>
      </c>
      <c r="M136" s="61">
        <v>45</v>
      </c>
      <c r="N136" s="61">
        <v>1.4245000000000001</v>
      </c>
      <c r="O136" s="84" t="s">
        <v>1096</v>
      </c>
      <c r="P136" s="84" t="s">
        <v>1096</v>
      </c>
      <c r="Q136" s="61">
        <v>1.58</v>
      </c>
      <c r="R136" s="83">
        <v>86.65808665808666</v>
      </c>
      <c r="S136" s="83" t="s">
        <v>1130</v>
      </c>
      <c r="T136" s="83" t="s">
        <v>1144</v>
      </c>
      <c r="U136" s="83" t="s">
        <v>1313</v>
      </c>
      <c r="V136" s="83"/>
      <c r="W136" s="83"/>
      <c r="X136" s="83"/>
      <c r="Y136" s="83"/>
      <c r="Z136" s="83"/>
      <c r="AA136" s="83"/>
      <c r="AB136" s="83"/>
      <c r="AC136" s="83"/>
      <c r="AD136" s="83"/>
      <c r="AE136" s="83"/>
      <c r="AF136" s="83"/>
      <c r="AG136" s="83"/>
      <c r="AH136" s="83"/>
      <c r="AI136" s="83"/>
      <c r="AJ136" s="83"/>
      <c r="AK136" s="83"/>
      <c r="AL136" s="83"/>
      <c r="AM136" s="83"/>
      <c r="AN136" s="83"/>
      <c r="AO136" s="83"/>
      <c r="AP136" s="83"/>
      <c r="AQ136" s="83"/>
      <c r="AR136" s="83"/>
      <c r="AS136" s="34"/>
      <c r="AT136" s="34"/>
      <c r="AU136" s="34"/>
      <c r="AV136" s="34"/>
      <c r="AW136" s="34"/>
      <c r="AX136" s="34"/>
      <c r="AY136" s="34"/>
      <c r="AZ136" s="34"/>
      <c r="BA136" s="34"/>
    </row>
    <row r="137" spans="1:53">
      <c r="A137" s="61">
        <v>19</v>
      </c>
      <c r="B137" s="61" t="s">
        <v>1296</v>
      </c>
      <c r="C137" s="61" t="s">
        <v>1141</v>
      </c>
      <c r="D137" s="61" t="s">
        <v>1189</v>
      </c>
      <c r="E137" s="83" t="s">
        <v>1301</v>
      </c>
      <c r="F137" s="61">
        <v>2016</v>
      </c>
      <c r="G137" s="83" t="s">
        <v>1129</v>
      </c>
      <c r="H137" s="61">
        <v>2014</v>
      </c>
      <c r="I137" s="61">
        <v>3.42</v>
      </c>
      <c r="J137" s="84" t="s">
        <v>1096</v>
      </c>
      <c r="K137" s="61">
        <v>98</v>
      </c>
      <c r="L137" s="61">
        <v>2020</v>
      </c>
      <c r="M137" s="61">
        <v>20</v>
      </c>
      <c r="N137" s="61">
        <v>2.7360000000000002</v>
      </c>
      <c r="O137" s="84" t="s">
        <v>1096</v>
      </c>
      <c r="P137" s="84" t="s">
        <v>1096</v>
      </c>
      <c r="Q137" s="61">
        <v>2.34</v>
      </c>
      <c r="R137" s="83">
        <v>157.89473684210535</v>
      </c>
      <c r="S137" s="83" t="s">
        <v>1130</v>
      </c>
      <c r="T137" s="83" t="s">
        <v>1144</v>
      </c>
      <c r="U137" s="83" t="s">
        <v>1314</v>
      </c>
      <c r="V137" s="83"/>
      <c r="W137" s="83"/>
      <c r="X137" s="83"/>
      <c r="Y137" s="83"/>
      <c r="Z137" s="83"/>
      <c r="AA137" s="83"/>
      <c r="AB137" s="83"/>
      <c r="AC137" s="83"/>
      <c r="AD137" s="83"/>
      <c r="AE137" s="83"/>
      <c r="AF137" s="83"/>
      <c r="AG137" s="83"/>
      <c r="AH137" s="83"/>
      <c r="AI137" s="83"/>
      <c r="AJ137" s="83"/>
      <c r="AK137" s="83"/>
      <c r="AL137" s="83"/>
      <c r="AM137" s="83"/>
      <c r="AN137" s="83"/>
      <c r="AO137" s="83"/>
      <c r="AP137" s="83"/>
      <c r="AQ137" s="83"/>
      <c r="AR137" s="83"/>
      <c r="AS137" s="34"/>
      <c r="AT137" s="34"/>
      <c r="AU137" s="34"/>
      <c r="AV137" s="34"/>
      <c r="AW137" s="34"/>
      <c r="AX137" s="34"/>
      <c r="AY137" s="34"/>
      <c r="AZ137" s="34"/>
      <c r="BA137" s="34"/>
    </row>
    <row r="138" spans="1:53">
      <c r="A138" s="61">
        <v>32</v>
      </c>
      <c r="B138" s="61" t="s">
        <v>1296</v>
      </c>
      <c r="C138" s="61" t="s">
        <v>1127</v>
      </c>
      <c r="D138" s="61" t="s">
        <v>1128</v>
      </c>
      <c r="E138" s="83" t="s">
        <v>1315</v>
      </c>
      <c r="F138" s="61">
        <v>2017</v>
      </c>
      <c r="G138" s="83" t="s">
        <v>1129</v>
      </c>
      <c r="H138" s="61">
        <v>2017</v>
      </c>
      <c r="I138" s="61">
        <v>39.1</v>
      </c>
      <c r="J138" s="84" t="s">
        <v>1096</v>
      </c>
      <c r="K138" s="61">
        <v>99</v>
      </c>
      <c r="L138" s="61">
        <v>2030</v>
      </c>
      <c r="M138" s="61">
        <v>10</v>
      </c>
      <c r="N138" s="61">
        <v>35.190000000000005</v>
      </c>
      <c r="O138" s="84" t="s">
        <v>1096</v>
      </c>
      <c r="P138" s="84" t="s">
        <v>1096</v>
      </c>
      <c r="Q138" s="61">
        <v>35.9</v>
      </c>
      <c r="R138" s="83">
        <v>81.841432225064082</v>
      </c>
      <c r="S138" s="83" t="s">
        <v>1130</v>
      </c>
      <c r="T138" s="83" t="s">
        <v>1146</v>
      </c>
      <c r="U138" s="83" t="s">
        <v>1316</v>
      </c>
      <c r="V138" s="83"/>
      <c r="W138" s="83"/>
      <c r="X138" s="83"/>
      <c r="Y138" s="83"/>
      <c r="Z138" s="83"/>
      <c r="AA138" s="83"/>
      <c r="AB138" s="83"/>
      <c r="AC138" s="83"/>
      <c r="AD138" s="83"/>
      <c r="AE138" s="83"/>
      <c r="AF138" s="83"/>
      <c r="AG138" s="83"/>
      <c r="AH138" s="83"/>
      <c r="AI138" s="83"/>
      <c r="AJ138" s="83"/>
      <c r="AK138" s="83"/>
      <c r="AL138" s="83"/>
      <c r="AM138" s="83"/>
      <c r="AN138" s="83"/>
      <c r="AO138" s="83"/>
      <c r="AP138" s="83"/>
      <c r="AQ138" s="83"/>
      <c r="AR138" s="83"/>
      <c r="AS138" s="34"/>
      <c r="AT138" s="34"/>
      <c r="AU138" s="34"/>
      <c r="AV138" s="34"/>
      <c r="AW138" s="34"/>
      <c r="AX138" s="34"/>
      <c r="AY138" s="34"/>
      <c r="AZ138" s="34"/>
      <c r="BA138" s="34"/>
    </row>
    <row r="139" spans="1:53">
      <c r="A139" s="61">
        <v>39</v>
      </c>
      <c r="B139" s="61" t="s">
        <v>1296</v>
      </c>
      <c r="C139" s="61" t="s">
        <v>1127</v>
      </c>
      <c r="D139" s="61" t="s">
        <v>1317</v>
      </c>
      <c r="E139" s="83" t="s">
        <v>1304</v>
      </c>
      <c r="F139" s="61">
        <v>2013</v>
      </c>
      <c r="G139" s="83" t="s">
        <v>1129</v>
      </c>
      <c r="H139" s="61">
        <v>2012</v>
      </c>
      <c r="I139" s="61">
        <v>4.1500000000000002E-2</v>
      </c>
      <c r="J139" s="84" t="s">
        <v>1096</v>
      </c>
      <c r="K139" s="61">
        <v>100</v>
      </c>
      <c r="L139" s="61">
        <v>2020</v>
      </c>
      <c r="M139" s="61">
        <v>20</v>
      </c>
      <c r="N139" s="61">
        <v>3.32E-2</v>
      </c>
      <c r="O139" s="84" t="s">
        <v>1096</v>
      </c>
      <c r="P139" s="84" t="s">
        <v>1096</v>
      </c>
      <c r="Q139" s="61">
        <v>3.4799999999999998E-2</v>
      </c>
      <c r="R139" s="83">
        <v>80.722891566265105</v>
      </c>
      <c r="S139" s="83" t="s">
        <v>1130</v>
      </c>
      <c r="T139" s="83" t="s">
        <v>1146</v>
      </c>
      <c r="U139" s="83" t="s">
        <v>1318</v>
      </c>
      <c r="V139" s="83"/>
      <c r="W139" s="83"/>
      <c r="X139" s="83"/>
      <c r="Y139" s="83"/>
      <c r="Z139" s="83"/>
      <c r="AA139" s="83"/>
      <c r="AB139" s="83"/>
      <c r="AC139" s="83"/>
      <c r="AD139" s="83"/>
      <c r="AE139" s="83"/>
      <c r="AF139" s="83"/>
      <c r="AG139" s="83"/>
      <c r="AH139" s="83"/>
      <c r="AI139" s="83"/>
      <c r="AJ139" s="83"/>
      <c r="AK139" s="83"/>
      <c r="AL139" s="83"/>
      <c r="AM139" s="83"/>
      <c r="AN139" s="83"/>
      <c r="AO139" s="83"/>
      <c r="AP139" s="83"/>
      <c r="AQ139" s="83"/>
      <c r="AR139" s="83"/>
      <c r="AS139" s="34"/>
      <c r="AT139" s="34"/>
      <c r="AU139" s="34"/>
      <c r="AV139" s="34"/>
      <c r="AW139" s="34"/>
      <c r="AX139" s="34"/>
      <c r="AY139" s="34"/>
      <c r="AZ139" s="34"/>
      <c r="BA139" s="34"/>
    </row>
    <row r="140" spans="1:53">
      <c r="A140" s="61">
        <v>44</v>
      </c>
      <c r="B140" s="61" t="s">
        <v>1296</v>
      </c>
      <c r="C140" s="61" t="s">
        <v>1164</v>
      </c>
      <c r="D140" s="61" t="s">
        <v>1165</v>
      </c>
      <c r="E140" s="83" t="s">
        <v>1319</v>
      </c>
      <c r="F140" s="61">
        <v>2011</v>
      </c>
      <c r="G140" s="83" t="s">
        <v>1201</v>
      </c>
      <c r="H140" s="61">
        <v>2005</v>
      </c>
      <c r="I140" s="61">
        <v>1.51</v>
      </c>
      <c r="J140" s="84" t="s">
        <v>1096</v>
      </c>
      <c r="K140" s="61">
        <v>82</v>
      </c>
      <c r="L140" s="61">
        <v>2020</v>
      </c>
      <c r="M140" s="61">
        <v>30</v>
      </c>
      <c r="N140" s="61">
        <v>1.0569999999999999</v>
      </c>
      <c r="O140" s="84" t="s">
        <v>1096</v>
      </c>
      <c r="P140" s="84" t="s">
        <v>1096</v>
      </c>
      <c r="Q140" s="61">
        <v>1.1476</v>
      </c>
      <c r="R140" s="83">
        <v>80</v>
      </c>
      <c r="S140" s="83" t="s">
        <v>1130</v>
      </c>
      <c r="T140" s="83" t="s">
        <v>1131</v>
      </c>
      <c r="U140" s="83" t="s">
        <v>1320</v>
      </c>
      <c r="V140" s="83"/>
      <c r="W140" s="83"/>
      <c r="X140" s="83"/>
      <c r="Y140" s="83"/>
      <c r="Z140" s="83"/>
      <c r="AA140" s="83"/>
      <c r="AB140" s="83"/>
      <c r="AC140" s="83"/>
      <c r="AD140" s="83"/>
      <c r="AE140" s="83"/>
      <c r="AF140" s="83"/>
      <c r="AG140" s="83"/>
      <c r="AH140" s="83"/>
      <c r="AI140" s="83"/>
      <c r="AJ140" s="83"/>
      <c r="AK140" s="83"/>
      <c r="AL140" s="83"/>
      <c r="AM140" s="83"/>
      <c r="AN140" s="83"/>
      <c r="AO140" s="83"/>
      <c r="AP140" s="83"/>
      <c r="AQ140" s="83"/>
      <c r="AR140" s="83"/>
      <c r="AS140" s="34"/>
      <c r="AT140" s="34"/>
      <c r="AU140" s="34"/>
      <c r="AV140" s="34"/>
      <c r="AW140" s="34"/>
      <c r="AX140" s="34"/>
      <c r="AY140" s="34"/>
      <c r="AZ140" s="34"/>
      <c r="BA140" s="34"/>
    </row>
    <row r="141" spans="1:53">
      <c r="A141" s="61">
        <v>45</v>
      </c>
      <c r="B141" s="61" t="s">
        <v>1296</v>
      </c>
      <c r="C141" s="61" t="s">
        <v>1141</v>
      </c>
      <c r="D141" s="61" t="s">
        <v>1192</v>
      </c>
      <c r="E141" s="83" t="s">
        <v>1321</v>
      </c>
      <c r="F141" s="61">
        <v>2020</v>
      </c>
      <c r="G141" s="83" t="s">
        <v>1162</v>
      </c>
      <c r="H141" s="61">
        <v>2019</v>
      </c>
      <c r="I141" s="61"/>
      <c r="J141" s="84" t="s">
        <v>1096</v>
      </c>
      <c r="K141" s="61"/>
      <c r="L141" s="61"/>
      <c r="M141" s="61"/>
      <c r="N141" s="61">
        <v>0</v>
      </c>
      <c r="O141" s="84" t="s">
        <v>1096</v>
      </c>
      <c r="P141" s="84" t="s">
        <v>1096</v>
      </c>
      <c r="Q141" s="61"/>
      <c r="R141" s="83"/>
      <c r="S141" s="83" t="s">
        <v>1154</v>
      </c>
      <c r="T141" s="83" t="s">
        <v>1131</v>
      </c>
      <c r="U141" s="83" t="s">
        <v>1322</v>
      </c>
      <c r="V141" s="83"/>
      <c r="W141" s="83"/>
      <c r="X141" s="83"/>
      <c r="Y141" s="83"/>
      <c r="Z141" s="83"/>
      <c r="AA141" s="83"/>
      <c r="AB141" s="83"/>
      <c r="AC141" s="83"/>
      <c r="AD141" s="83"/>
      <c r="AE141" s="83"/>
      <c r="AF141" s="83"/>
      <c r="AG141" s="83"/>
      <c r="AH141" s="83"/>
      <c r="AI141" s="83"/>
      <c r="AJ141" s="83"/>
      <c r="AK141" s="83"/>
      <c r="AL141" s="83"/>
      <c r="AM141" s="83"/>
      <c r="AN141" s="83"/>
      <c r="AO141" s="83"/>
      <c r="AP141" s="83"/>
      <c r="AQ141" s="83"/>
      <c r="AR141" s="83"/>
      <c r="AS141" s="34"/>
      <c r="AT141" s="34"/>
      <c r="AU141" s="34"/>
      <c r="AV141" s="34"/>
      <c r="AW141" s="34"/>
      <c r="AX141" s="34"/>
      <c r="AY141" s="34"/>
      <c r="AZ141" s="34"/>
      <c r="BA141" s="34"/>
    </row>
    <row r="142" spans="1:53">
      <c r="A142" s="61">
        <v>52</v>
      </c>
      <c r="B142" s="61" t="s">
        <v>1296</v>
      </c>
      <c r="C142" s="61" t="s">
        <v>1127</v>
      </c>
      <c r="D142" s="61" t="s">
        <v>1128</v>
      </c>
      <c r="E142" s="83" t="s">
        <v>1299</v>
      </c>
      <c r="F142" s="61">
        <v>2019</v>
      </c>
      <c r="G142" s="83" t="s">
        <v>1129</v>
      </c>
      <c r="H142" s="61">
        <v>2018</v>
      </c>
      <c r="I142" s="61">
        <v>6.04754E-5</v>
      </c>
      <c r="J142" s="84" t="s">
        <v>1096</v>
      </c>
      <c r="K142" s="61">
        <v>0</v>
      </c>
      <c r="L142" s="61">
        <v>2023</v>
      </c>
      <c r="M142" s="61">
        <v>10</v>
      </c>
      <c r="N142" s="61">
        <v>5.4427859999999998E-5</v>
      </c>
      <c r="O142" s="84" t="s">
        <v>1096</v>
      </c>
      <c r="P142" s="84" t="s">
        <v>1096</v>
      </c>
      <c r="Q142" s="61">
        <v>5.5643999999999998E-5</v>
      </c>
      <c r="R142" s="83">
        <v>79.890335574464999</v>
      </c>
      <c r="S142" s="83" t="s">
        <v>1154</v>
      </c>
      <c r="T142" s="83" t="s">
        <v>1146</v>
      </c>
      <c r="U142" s="83" t="s">
        <v>1323</v>
      </c>
      <c r="V142" s="83"/>
      <c r="W142" s="83"/>
      <c r="X142" s="83"/>
      <c r="Y142" s="83"/>
      <c r="Z142" s="83"/>
      <c r="AA142" s="83"/>
      <c r="AB142" s="83"/>
      <c r="AC142" s="83"/>
      <c r="AD142" s="83"/>
      <c r="AE142" s="83"/>
      <c r="AF142" s="83"/>
      <c r="AG142" s="83"/>
      <c r="AH142" s="83"/>
      <c r="AI142" s="83"/>
      <c r="AJ142" s="83"/>
      <c r="AK142" s="83"/>
      <c r="AL142" s="83"/>
      <c r="AM142" s="83"/>
      <c r="AN142" s="83"/>
      <c r="AO142" s="83"/>
      <c r="AP142" s="83"/>
      <c r="AQ142" s="83"/>
      <c r="AR142" s="83"/>
      <c r="AS142" s="34"/>
      <c r="AT142" s="34"/>
      <c r="AU142" s="34"/>
      <c r="AV142" s="34"/>
      <c r="AW142" s="34"/>
      <c r="AX142" s="34"/>
      <c r="AY142" s="34"/>
      <c r="AZ142" s="34"/>
      <c r="BA142" s="34"/>
    </row>
    <row r="143" spans="1:53">
      <c r="A143" s="61">
        <v>54</v>
      </c>
      <c r="B143" s="61" t="s">
        <v>1296</v>
      </c>
      <c r="C143" s="61" t="s">
        <v>1164</v>
      </c>
      <c r="D143" s="61" t="s">
        <v>1165</v>
      </c>
      <c r="E143" s="83" t="s">
        <v>1324</v>
      </c>
      <c r="F143" s="61">
        <v>2010</v>
      </c>
      <c r="G143" s="83" t="s">
        <v>1129</v>
      </c>
      <c r="H143" s="61">
        <v>2010</v>
      </c>
      <c r="I143" s="61">
        <v>100</v>
      </c>
      <c r="J143" s="84" t="s">
        <v>1096</v>
      </c>
      <c r="K143" s="61">
        <v>75</v>
      </c>
      <c r="L143" s="61">
        <v>2020</v>
      </c>
      <c r="M143" s="61">
        <v>10</v>
      </c>
      <c r="N143" s="61">
        <v>90</v>
      </c>
      <c r="O143" s="84" t="s">
        <v>1096</v>
      </c>
      <c r="P143" s="84" t="s">
        <v>1096</v>
      </c>
      <c r="Q143" s="61">
        <v>61</v>
      </c>
      <c r="R143" s="83">
        <v>390</v>
      </c>
      <c r="S143" s="83" t="s">
        <v>1143</v>
      </c>
      <c r="T143" s="83" t="s">
        <v>1131</v>
      </c>
      <c r="U143" s="83" t="s">
        <v>1325</v>
      </c>
      <c r="V143" s="83"/>
      <c r="W143" s="83"/>
      <c r="X143" s="83"/>
      <c r="Y143" s="83"/>
      <c r="Z143" s="83"/>
      <c r="AA143" s="83"/>
      <c r="AB143" s="83"/>
      <c r="AC143" s="83"/>
      <c r="AD143" s="83"/>
      <c r="AE143" s="83"/>
      <c r="AF143" s="83"/>
      <c r="AG143" s="83"/>
      <c r="AH143" s="83"/>
      <c r="AI143" s="83"/>
      <c r="AJ143" s="83"/>
      <c r="AK143" s="83"/>
      <c r="AL143" s="83"/>
      <c r="AM143" s="83"/>
      <c r="AN143" s="83"/>
      <c r="AO143" s="83"/>
      <c r="AP143" s="83"/>
      <c r="AQ143" s="83"/>
      <c r="AR143" s="83"/>
      <c r="AS143" s="34"/>
      <c r="AT143" s="34"/>
      <c r="AU143" s="34"/>
      <c r="AV143" s="34"/>
      <c r="AW143" s="34"/>
      <c r="AX143" s="34"/>
      <c r="AY143" s="34"/>
      <c r="AZ143" s="34"/>
      <c r="BA143" s="34"/>
    </row>
    <row r="144" spans="1:53">
      <c r="A144" s="61">
        <v>62</v>
      </c>
      <c r="B144" s="61" t="s">
        <v>1296</v>
      </c>
      <c r="C144" s="61" t="s">
        <v>1141</v>
      </c>
      <c r="D144" s="61" t="s">
        <v>1326</v>
      </c>
      <c r="E144" s="83" t="s">
        <v>1327</v>
      </c>
      <c r="F144" s="61">
        <v>2018</v>
      </c>
      <c r="G144" s="83" t="s">
        <v>1129</v>
      </c>
      <c r="H144" s="61">
        <v>2015</v>
      </c>
      <c r="I144" s="61">
        <v>8.14</v>
      </c>
      <c r="J144" s="84" t="s">
        <v>1096</v>
      </c>
      <c r="K144" s="61">
        <v>80.44</v>
      </c>
      <c r="L144" s="61">
        <v>2030</v>
      </c>
      <c r="M144" s="61">
        <v>31</v>
      </c>
      <c r="N144" s="61">
        <v>5.6166</v>
      </c>
      <c r="O144" s="84" t="s">
        <v>1096</v>
      </c>
      <c r="P144" s="84" t="s">
        <v>1096</v>
      </c>
      <c r="Q144" s="61">
        <v>8.07</v>
      </c>
      <c r="R144" s="83">
        <v>2.774035032099559</v>
      </c>
      <c r="S144" s="83" t="s">
        <v>1130</v>
      </c>
      <c r="T144" s="83" t="s">
        <v>1302</v>
      </c>
      <c r="U144" s="83" t="s">
        <v>1328</v>
      </c>
      <c r="V144" s="83"/>
      <c r="W144" s="83"/>
      <c r="X144" s="83"/>
      <c r="Y144" s="83"/>
      <c r="Z144" s="83"/>
      <c r="AA144" s="83"/>
      <c r="AB144" s="83"/>
      <c r="AC144" s="83"/>
      <c r="AD144" s="83"/>
      <c r="AE144" s="83"/>
      <c r="AF144" s="83"/>
      <c r="AG144" s="83"/>
      <c r="AH144" s="83"/>
      <c r="AI144" s="83"/>
      <c r="AJ144" s="83"/>
      <c r="AK144" s="83"/>
      <c r="AL144" s="83"/>
      <c r="AM144" s="83"/>
      <c r="AN144" s="83"/>
      <c r="AO144" s="83"/>
      <c r="AP144" s="83"/>
      <c r="AQ144" s="83"/>
      <c r="AR144" s="83"/>
      <c r="AS144" s="34"/>
      <c r="AT144" s="34"/>
      <c r="AU144" s="34"/>
      <c r="AV144" s="34"/>
      <c r="AW144" s="34"/>
      <c r="AX144" s="34"/>
      <c r="AY144" s="34"/>
      <c r="AZ144" s="34"/>
      <c r="BA144" s="34"/>
    </row>
    <row r="145" spans="1:53">
      <c r="A145" s="61">
        <v>63</v>
      </c>
      <c r="B145" s="61" t="s">
        <v>1296</v>
      </c>
      <c r="C145" s="61" t="s">
        <v>1127</v>
      </c>
      <c r="D145" s="61" t="s">
        <v>1133</v>
      </c>
      <c r="E145" s="83" t="s">
        <v>1299</v>
      </c>
      <c r="F145" s="61">
        <v>2013</v>
      </c>
      <c r="G145" s="83" t="s">
        <v>1129</v>
      </c>
      <c r="H145" s="61">
        <v>2013</v>
      </c>
      <c r="I145" s="61">
        <v>15.24</v>
      </c>
      <c r="J145" s="84" t="s">
        <v>1096</v>
      </c>
      <c r="K145" s="61">
        <v>100</v>
      </c>
      <c r="L145" s="61">
        <v>2020</v>
      </c>
      <c r="M145" s="61">
        <v>15</v>
      </c>
      <c r="N145" s="61">
        <v>12.954000000000001</v>
      </c>
      <c r="O145" s="84" t="s">
        <v>1096</v>
      </c>
      <c r="P145" s="84" t="s">
        <v>1096</v>
      </c>
      <c r="Q145" s="61">
        <v>9.6999999999999993</v>
      </c>
      <c r="R145" s="83">
        <v>242.34470691163614</v>
      </c>
      <c r="S145" s="83" t="s">
        <v>1143</v>
      </c>
      <c r="T145" s="83" t="s">
        <v>1131</v>
      </c>
      <c r="U145" s="83" t="s">
        <v>1329</v>
      </c>
      <c r="V145" s="83"/>
      <c r="W145" s="83"/>
      <c r="X145" s="83"/>
      <c r="Y145" s="83"/>
      <c r="Z145" s="83"/>
      <c r="AA145" s="83"/>
      <c r="AB145" s="83"/>
      <c r="AC145" s="83"/>
      <c r="AD145" s="83"/>
      <c r="AE145" s="83"/>
      <c r="AF145" s="83"/>
      <c r="AG145" s="83"/>
      <c r="AH145" s="83"/>
      <c r="AI145" s="83"/>
      <c r="AJ145" s="83"/>
      <c r="AK145" s="83"/>
      <c r="AL145" s="83"/>
      <c r="AM145" s="83"/>
      <c r="AN145" s="83"/>
      <c r="AO145" s="83"/>
      <c r="AP145" s="83"/>
      <c r="AQ145" s="83"/>
      <c r="AR145" s="83"/>
      <c r="AS145" s="34"/>
      <c r="AT145" s="34"/>
      <c r="AU145" s="34"/>
      <c r="AV145" s="34"/>
      <c r="AW145" s="34"/>
      <c r="AX145" s="34"/>
      <c r="AY145" s="34"/>
      <c r="AZ145" s="34"/>
      <c r="BA145" s="34"/>
    </row>
    <row r="146" spans="1:53">
      <c r="A146" s="61">
        <v>71</v>
      </c>
      <c r="B146" s="61" t="s">
        <v>1296</v>
      </c>
      <c r="C146" s="61" t="s">
        <v>1157</v>
      </c>
      <c r="D146" s="61" t="s">
        <v>1136</v>
      </c>
      <c r="E146" s="83" t="s">
        <v>1324</v>
      </c>
      <c r="F146" s="61">
        <v>2015</v>
      </c>
      <c r="G146" s="83" t="s">
        <v>1330</v>
      </c>
      <c r="H146" s="61">
        <v>2015</v>
      </c>
      <c r="I146" s="61">
        <v>1.89</v>
      </c>
      <c r="J146" s="84" t="s">
        <v>1096</v>
      </c>
      <c r="K146" s="61">
        <v>95</v>
      </c>
      <c r="L146" s="61">
        <v>2020</v>
      </c>
      <c r="M146" s="61">
        <v>25</v>
      </c>
      <c r="N146" s="61">
        <v>1.4175</v>
      </c>
      <c r="O146" s="84" t="s">
        <v>1096</v>
      </c>
      <c r="P146" s="84" t="s">
        <v>1096</v>
      </c>
      <c r="Q146" s="61">
        <v>1.94</v>
      </c>
      <c r="R146" s="83">
        <v>-10.582010582010593</v>
      </c>
      <c r="S146" s="83" t="s">
        <v>1130</v>
      </c>
      <c r="T146" s="83" t="s">
        <v>1144</v>
      </c>
      <c r="U146" s="83" t="s">
        <v>1331</v>
      </c>
      <c r="V146" s="83"/>
      <c r="W146" s="83"/>
      <c r="X146" s="83"/>
      <c r="Y146" s="83"/>
      <c r="Z146" s="83"/>
      <c r="AA146" s="83"/>
      <c r="AB146" s="83"/>
      <c r="AC146" s="83"/>
      <c r="AD146" s="83"/>
      <c r="AE146" s="83"/>
      <c r="AF146" s="83"/>
      <c r="AG146" s="83"/>
      <c r="AH146" s="83"/>
      <c r="AI146" s="83"/>
      <c r="AJ146" s="83"/>
      <c r="AK146" s="83"/>
      <c r="AL146" s="83"/>
      <c r="AM146" s="83"/>
      <c r="AN146" s="83"/>
      <c r="AO146" s="83"/>
      <c r="AP146" s="83"/>
      <c r="AQ146" s="83"/>
      <c r="AR146" s="83"/>
      <c r="AS146" s="34"/>
      <c r="AT146" s="34"/>
      <c r="AU146" s="34"/>
      <c r="AV146" s="34"/>
      <c r="AW146" s="34"/>
      <c r="AX146" s="34"/>
      <c r="AY146" s="34"/>
      <c r="AZ146" s="34"/>
      <c r="BA146" s="34"/>
    </row>
    <row r="147" spans="1:53">
      <c r="A147" s="61">
        <v>71</v>
      </c>
      <c r="B147" s="61" t="s">
        <v>1296</v>
      </c>
      <c r="C147" s="61" t="s">
        <v>1141</v>
      </c>
      <c r="D147" s="61" t="s">
        <v>1332</v>
      </c>
      <c r="E147" s="83" t="s">
        <v>1333</v>
      </c>
      <c r="F147" s="61">
        <v>2015</v>
      </c>
      <c r="G147" s="83" t="s">
        <v>1334</v>
      </c>
      <c r="H147" s="61">
        <v>2015</v>
      </c>
      <c r="I147" s="61">
        <v>4.78</v>
      </c>
      <c r="J147" s="84" t="s">
        <v>1096</v>
      </c>
      <c r="K147" s="61">
        <v>80</v>
      </c>
      <c r="L147" s="61">
        <v>2020</v>
      </c>
      <c r="M147" s="61">
        <v>35</v>
      </c>
      <c r="N147" s="61">
        <v>3.1070000000000002</v>
      </c>
      <c r="O147" s="84" t="s">
        <v>1096</v>
      </c>
      <c r="P147" s="84" t="s">
        <v>1096</v>
      </c>
      <c r="Q147" s="61">
        <v>4.0599999999999996</v>
      </c>
      <c r="R147" s="83">
        <v>43.036461446503324</v>
      </c>
      <c r="S147" s="83" t="s">
        <v>1130</v>
      </c>
      <c r="T147" s="83" t="s">
        <v>1144</v>
      </c>
      <c r="U147" s="83" t="s">
        <v>1335</v>
      </c>
      <c r="V147" s="83"/>
      <c r="W147" s="83"/>
      <c r="X147" s="83"/>
      <c r="Y147" s="83"/>
      <c r="Z147" s="83"/>
      <c r="AA147" s="83"/>
      <c r="AB147" s="83"/>
      <c r="AC147" s="83"/>
      <c r="AD147" s="83"/>
      <c r="AE147" s="83"/>
      <c r="AF147" s="83"/>
      <c r="AG147" s="83"/>
      <c r="AH147" s="83"/>
      <c r="AI147" s="83"/>
      <c r="AJ147" s="83"/>
      <c r="AK147" s="83"/>
      <c r="AL147" s="83"/>
      <c r="AM147" s="83"/>
      <c r="AN147" s="83"/>
      <c r="AO147" s="83"/>
      <c r="AP147" s="83"/>
      <c r="AQ147" s="83"/>
      <c r="AR147" s="83"/>
      <c r="AS147" s="34"/>
      <c r="AT147" s="34"/>
      <c r="AU147" s="34"/>
      <c r="AV147" s="34"/>
      <c r="AW147" s="34"/>
      <c r="AX147" s="34"/>
      <c r="AY147" s="34"/>
      <c r="AZ147" s="34"/>
      <c r="BA147" s="34"/>
    </row>
    <row r="148" spans="1:53">
      <c r="A148" s="61">
        <v>72</v>
      </c>
      <c r="B148" s="61" t="s">
        <v>1296</v>
      </c>
      <c r="C148" s="61" t="s">
        <v>1127</v>
      </c>
      <c r="D148" s="61" t="s">
        <v>1133</v>
      </c>
      <c r="E148" s="83" t="s">
        <v>1336</v>
      </c>
      <c r="F148" s="61">
        <v>2015</v>
      </c>
      <c r="G148" s="83" t="s">
        <v>1129</v>
      </c>
      <c r="H148" s="61">
        <v>2014</v>
      </c>
      <c r="I148" s="61">
        <v>4.5250000000000004</v>
      </c>
      <c r="J148" s="84" t="s">
        <v>1096</v>
      </c>
      <c r="K148" s="61">
        <v>100</v>
      </c>
      <c r="L148" s="61">
        <v>2020</v>
      </c>
      <c r="M148" s="61">
        <v>15</v>
      </c>
      <c r="N148" s="61">
        <v>3.8462500000000004</v>
      </c>
      <c r="O148" s="84" t="s">
        <v>1096</v>
      </c>
      <c r="P148" s="84" t="s">
        <v>1096</v>
      </c>
      <c r="Q148" s="61">
        <v>3.8410000000000002</v>
      </c>
      <c r="R148" s="83">
        <v>100.77348066298346</v>
      </c>
      <c r="S148" s="83" t="s">
        <v>1143</v>
      </c>
      <c r="T148" s="83" t="s">
        <v>1131</v>
      </c>
      <c r="U148" s="83" t="s">
        <v>1337</v>
      </c>
      <c r="V148" s="83"/>
      <c r="W148" s="83"/>
      <c r="X148" s="83"/>
      <c r="Y148" s="83"/>
      <c r="Z148" s="83"/>
      <c r="AA148" s="83"/>
      <c r="AB148" s="83"/>
      <c r="AC148" s="83"/>
      <c r="AD148" s="83"/>
      <c r="AE148" s="83"/>
      <c r="AF148" s="83"/>
      <c r="AG148" s="83"/>
      <c r="AH148" s="83"/>
      <c r="AI148" s="83"/>
      <c r="AJ148" s="83"/>
      <c r="AK148" s="83"/>
      <c r="AL148" s="83"/>
      <c r="AM148" s="83"/>
      <c r="AN148" s="83"/>
      <c r="AO148" s="83"/>
      <c r="AP148" s="83"/>
      <c r="AQ148" s="83"/>
      <c r="AR148" s="83"/>
      <c r="AS148" s="34"/>
      <c r="AT148" s="34"/>
      <c r="AU148" s="34"/>
      <c r="AV148" s="34"/>
      <c r="AW148" s="34"/>
      <c r="AX148" s="34"/>
      <c r="AY148" s="34"/>
      <c r="AZ148" s="34"/>
      <c r="BA148" s="34"/>
    </row>
    <row r="149" spans="1:53">
      <c r="A149" s="61">
        <v>73</v>
      </c>
      <c r="B149" s="61" t="s">
        <v>1296</v>
      </c>
      <c r="C149" s="61" t="s">
        <v>1164</v>
      </c>
      <c r="D149" s="61" t="s">
        <v>1165</v>
      </c>
      <c r="E149" s="83" t="s">
        <v>1338</v>
      </c>
      <c r="F149" s="61">
        <v>2018</v>
      </c>
      <c r="G149" s="83" t="s">
        <v>1283</v>
      </c>
      <c r="H149" s="61">
        <v>2017</v>
      </c>
      <c r="I149" s="61">
        <v>0.06</v>
      </c>
      <c r="J149" s="84" t="s">
        <v>1096</v>
      </c>
      <c r="K149" s="61">
        <v>100</v>
      </c>
      <c r="L149" s="61">
        <v>2025</v>
      </c>
      <c r="M149" s="61">
        <v>13</v>
      </c>
      <c r="N149" s="61">
        <v>5.2199999999999996E-2</v>
      </c>
      <c r="O149" s="84" t="s">
        <v>1096</v>
      </c>
      <c r="P149" s="84" t="s">
        <v>1096</v>
      </c>
      <c r="Q149" s="61"/>
      <c r="R149" s="83">
        <v>769.23076923076906</v>
      </c>
      <c r="S149" s="83" t="s">
        <v>1154</v>
      </c>
      <c r="T149" s="83" t="s">
        <v>1146</v>
      </c>
      <c r="U149" s="83" t="s">
        <v>1339</v>
      </c>
      <c r="V149" s="83"/>
      <c r="W149" s="83"/>
      <c r="X149" s="83"/>
      <c r="Y149" s="83"/>
      <c r="Z149" s="83"/>
      <c r="AA149" s="83"/>
      <c r="AB149" s="83"/>
      <c r="AC149" s="83"/>
      <c r="AD149" s="83"/>
      <c r="AE149" s="83"/>
      <c r="AF149" s="83"/>
      <c r="AG149" s="83"/>
      <c r="AH149" s="83"/>
      <c r="AI149" s="83"/>
      <c r="AJ149" s="83"/>
      <c r="AK149" s="83"/>
      <c r="AL149" s="83"/>
      <c r="AM149" s="83"/>
      <c r="AN149" s="83"/>
      <c r="AO149" s="83"/>
      <c r="AP149" s="83"/>
      <c r="AQ149" s="83"/>
      <c r="AR149" s="83"/>
      <c r="AS149" s="34"/>
      <c r="AT149" s="34"/>
      <c r="AU149" s="34"/>
      <c r="AV149" s="34"/>
      <c r="AW149" s="34"/>
      <c r="AX149" s="34"/>
      <c r="AY149" s="34"/>
      <c r="AZ149" s="34"/>
      <c r="BA149" s="34"/>
    </row>
    <row r="150" spans="1:53">
      <c r="A150" s="61">
        <v>73</v>
      </c>
      <c r="B150" s="61" t="s">
        <v>1296</v>
      </c>
      <c r="C150" s="61" t="s">
        <v>1164</v>
      </c>
      <c r="D150" s="61" t="s">
        <v>1165</v>
      </c>
      <c r="E150" s="83" t="s">
        <v>1340</v>
      </c>
      <c r="F150" s="61">
        <v>2017</v>
      </c>
      <c r="G150" s="83" t="s">
        <v>1283</v>
      </c>
      <c r="H150" s="61">
        <v>2018</v>
      </c>
      <c r="I150" s="61">
        <v>0.113</v>
      </c>
      <c r="J150" s="84" t="s">
        <v>1096</v>
      </c>
      <c r="K150" s="61"/>
      <c r="L150" s="61">
        <v>2025</v>
      </c>
      <c r="M150" s="61">
        <v>21</v>
      </c>
      <c r="N150" s="61">
        <v>8.9270000000000002E-2</v>
      </c>
      <c r="O150" s="84" t="s">
        <v>1096</v>
      </c>
      <c r="P150" s="84" t="s">
        <v>1096</v>
      </c>
      <c r="Q150" s="61"/>
      <c r="R150" s="83">
        <v>476.1904761904762</v>
      </c>
      <c r="S150" s="83" t="s">
        <v>1130</v>
      </c>
      <c r="T150" s="83" t="s">
        <v>1146</v>
      </c>
      <c r="U150" s="83" t="s">
        <v>1341</v>
      </c>
      <c r="V150" s="83"/>
      <c r="W150" s="83"/>
      <c r="X150" s="83"/>
      <c r="Y150" s="83"/>
      <c r="Z150" s="83"/>
      <c r="AA150" s="83"/>
      <c r="AB150" s="83"/>
      <c r="AC150" s="83"/>
      <c r="AD150" s="83"/>
      <c r="AE150" s="83"/>
      <c r="AF150" s="83"/>
      <c r="AG150" s="83"/>
      <c r="AH150" s="83"/>
      <c r="AI150" s="83"/>
      <c r="AJ150" s="83"/>
      <c r="AK150" s="83"/>
      <c r="AL150" s="83"/>
      <c r="AM150" s="83"/>
      <c r="AN150" s="83"/>
      <c r="AO150" s="83"/>
      <c r="AP150" s="83"/>
      <c r="AQ150" s="83"/>
      <c r="AR150" s="83"/>
      <c r="AS150" s="34"/>
      <c r="AT150" s="34"/>
      <c r="AU150" s="34"/>
      <c r="AV150" s="34"/>
      <c r="AW150" s="34"/>
      <c r="AX150" s="34"/>
      <c r="AY150" s="34"/>
      <c r="AZ150" s="34"/>
      <c r="BA150" s="34"/>
    </row>
    <row r="151" spans="1:53">
      <c r="A151" s="61">
        <v>73</v>
      </c>
      <c r="B151" s="61" t="s">
        <v>1296</v>
      </c>
      <c r="C151" s="61" t="s">
        <v>1127</v>
      </c>
      <c r="D151" s="61" t="s">
        <v>1128</v>
      </c>
      <c r="E151" s="83" t="s">
        <v>1327</v>
      </c>
      <c r="F151" s="61">
        <v>2020</v>
      </c>
      <c r="G151" s="83" t="s">
        <v>1201</v>
      </c>
      <c r="H151" s="61">
        <v>2013</v>
      </c>
      <c r="I151" s="61">
        <v>0.66500000000000004</v>
      </c>
      <c r="J151" s="84" t="s">
        <v>1096</v>
      </c>
      <c r="K151" s="61">
        <v>77</v>
      </c>
      <c r="L151" s="61">
        <v>2025</v>
      </c>
      <c r="M151" s="61">
        <v>4.6500000000000004</v>
      </c>
      <c r="N151" s="61">
        <v>0.63407750000000007</v>
      </c>
      <c r="O151" s="84" t="s">
        <v>1096</v>
      </c>
      <c r="P151" s="84" t="s">
        <v>1096</v>
      </c>
      <c r="Q151" s="61"/>
      <c r="R151" s="83">
        <v>2150.5376344086048</v>
      </c>
      <c r="S151" s="83" t="s">
        <v>1154</v>
      </c>
      <c r="T151" s="83" t="s">
        <v>1146</v>
      </c>
      <c r="U151" s="83" t="s">
        <v>1342</v>
      </c>
      <c r="V151" s="83"/>
      <c r="W151" s="83"/>
      <c r="X151" s="83"/>
      <c r="Y151" s="83"/>
      <c r="Z151" s="83"/>
      <c r="AA151" s="83"/>
      <c r="AB151" s="83"/>
      <c r="AC151" s="83"/>
      <c r="AD151" s="83"/>
      <c r="AE151" s="83"/>
      <c r="AF151" s="83"/>
      <c r="AG151" s="83"/>
      <c r="AH151" s="83"/>
      <c r="AI151" s="83"/>
      <c r="AJ151" s="83"/>
      <c r="AK151" s="83"/>
      <c r="AL151" s="83"/>
      <c r="AM151" s="83"/>
      <c r="AN151" s="83"/>
      <c r="AO151" s="83"/>
      <c r="AP151" s="83"/>
      <c r="AQ151" s="83"/>
      <c r="AR151" s="83"/>
      <c r="AS151" s="34"/>
      <c r="AT151" s="34"/>
      <c r="AU151" s="34"/>
      <c r="AV151" s="34"/>
      <c r="AW151" s="34"/>
      <c r="AX151" s="34"/>
      <c r="AY151" s="34"/>
      <c r="AZ151" s="34"/>
      <c r="BA151" s="34"/>
    </row>
    <row r="152" spans="1:53">
      <c r="A152" s="61">
        <v>74</v>
      </c>
      <c r="B152" s="61" t="s">
        <v>1296</v>
      </c>
      <c r="C152" s="61" t="s">
        <v>1127</v>
      </c>
      <c r="D152" s="61" t="s">
        <v>1133</v>
      </c>
      <c r="E152" s="83" t="s">
        <v>1343</v>
      </c>
      <c r="F152" s="61">
        <v>2018</v>
      </c>
      <c r="G152" s="83" t="s">
        <v>1129</v>
      </c>
      <c r="H152" s="61">
        <v>2015</v>
      </c>
      <c r="I152" s="61">
        <v>0.43099999999999999</v>
      </c>
      <c r="J152" s="84" t="s">
        <v>1096</v>
      </c>
      <c r="K152" s="61">
        <v>100</v>
      </c>
      <c r="L152" s="61">
        <v>2025</v>
      </c>
      <c r="M152" s="61">
        <v>55</v>
      </c>
      <c r="N152" s="61">
        <v>0.19394999999999998</v>
      </c>
      <c r="O152" s="84" t="s">
        <v>1096</v>
      </c>
      <c r="P152" s="84" t="s">
        <v>1096</v>
      </c>
      <c r="Q152" s="61">
        <v>0.25</v>
      </c>
      <c r="R152" s="83">
        <v>76.355199325036907</v>
      </c>
      <c r="S152" s="83" t="s">
        <v>1130</v>
      </c>
      <c r="T152" s="83" t="s">
        <v>1144</v>
      </c>
      <c r="U152" s="83" t="s">
        <v>1344</v>
      </c>
      <c r="V152" s="83"/>
      <c r="W152" s="83"/>
      <c r="X152" s="83"/>
      <c r="Y152" s="83"/>
      <c r="Z152" s="83"/>
      <c r="AA152" s="83"/>
      <c r="AB152" s="83"/>
      <c r="AC152" s="83"/>
      <c r="AD152" s="83"/>
      <c r="AE152" s="83"/>
      <c r="AF152" s="83"/>
      <c r="AG152" s="83"/>
      <c r="AH152" s="83"/>
      <c r="AI152" s="83"/>
      <c r="AJ152" s="83"/>
      <c r="AK152" s="83"/>
      <c r="AL152" s="83"/>
      <c r="AM152" s="83"/>
      <c r="AN152" s="83"/>
      <c r="AO152" s="83"/>
      <c r="AP152" s="83"/>
      <c r="AQ152" s="83"/>
      <c r="AR152" s="83"/>
      <c r="AS152" s="34"/>
      <c r="AT152" s="34"/>
      <c r="AU152" s="34"/>
      <c r="AV152" s="34"/>
      <c r="AW152" s="34"/>
      <c r="AX152" s="34"/>
      <c r="AY152" s="34"/>
      <c r="AZ152" s="34"/>
      <c r="BA152" s="34"/>
    </row>
    <row r="153" spans="1:53">
      <c r="A153" s="61">
        <v>78</v>
      </c>
      <c r="B153" s="61" t="s">
        <v>1296</v>
      </c>
      <c r="C153" s="61" t="s">
        <v>1157</v>
      </c>
      <c r="D153" s="61" t="s">
        <v>1345</v>
      </c>
      <c r="E153" s="83" t="s">
        <v>1346</v>
      </c>
      <c r="F153" s="61">
        <v>2012</v>
      </c>
      <c r="G153" s="83" t="s">
        <v>1129</v>
      </c>
      <c r="H153" s="61">
        <v>2010</v>
      </c>
      <c r="I153" s="61">
        <v>8706</v>
      </c>
      <c r="J153" s="84" t="s">
        <v>1096</v>
      </c>
      <c r="K153" s="61">
        <v>100</v>
      </c>
      <c r="L153" s="61">
        <v>2020</v>
      </c>
      <c r="M153" s="61">
        <v>30</v>
      </c>
      <c r="N153" s="61">
        <v>6094.2</v>
      </c>
      <c r="O153" s="84" t="s">
        <v>1096</v>
      </c>
      <c r="P153" s="84" t="s">
        <v>1096</v>
      </c>
      <c r="Q153" s="61">
        <v>5917</v>
      </c>
      <c r="R153" s="83">
        <v>106.78459300099547</v>
      </c>
      <c r="S153" s="83" t="s">
        <v>1143</v>
      </c>
      <c r="T153" s="83" t="s">
        <v>1144</v>
      </c>
      <c r="U153" s="83" t="s">
        <v>1347</v>
      </c>
      <c r="V153" s="83"/>
      <c r="W153" s="83"/>
      <c r="X153" s="83"/>
      <c r="Y153" s="83"/>
      <c r="Z153" s="83"/>
      <c r="AA153" s="83"/>
      <c r="AB153" s="83"/>
      <c r="AC153" s="83"/>
      <c r="AD153" s="83"/>
      <c r="AE153" s="83"/>
      <c r="AF153" s="83"/>
      <c r="AG153" s="83"/>
      <c r="AH153" s="83"/>
      <c r="AI153" s="83"/>
      <c r="AJ153" s="83"/>
      <c r="AK153" s="83"/>
      <c r="AL153" s="83"/>
      <c r="AM153" s="83"/>
      <c r="AN153" s="83"/>
      <c r="AO153" s="83"/>
      <c r="AP153" s="83"/>
      <c r="AQ153" s="83"/>
      <c r="AR153" s="83"/>
      <c r="AS153" s="34"/>
      <c r="AT153" s="34"/>
      <c r="AU153" s="34"/>
      <c r="AV153" s="34"/>
      <c r="AW153" s="34"/>
      <c r="AX153" s="34"/>
      <c r="AY153" s="34"/>
      <c r="AZ153" s="34"/>
      <c r="BA153" s="34"/>
    </row>
    <row r="154" spans="1:53">
      <c r="A154" s="61">
        <v>29</v>
      </c>
      <c r="B154" s="61" t="s">
        <v>1296</v>
      </c>
      <c r="C154" s="61" t="s">
        <v>1157</v>
      </c>
      <c r="D154" s="61" t="s">
        <v>1345</v>
      </c>
      <c r="E154" s="83" t="s">
        <v>1348</v>
      </c>
      <c r="F154" s="61">
        <v>2013</v>
      </c>
      <c r="G154" s="83" t="s">
        <v>1129</v>
      </c>
      <c r="H154" s="61">
        <v>2010</v>
      </c>
      <c r="I154" s="61">
        <v>452</v>
      </c>
      <c r="J154" s="84" t="s">
        <v>1096</v>
      </c>
      <c r="K154" s="61">
        <v>100</v>
      </c>
      <c r="L154" s="61">
        <v>2020</v>
      </c>
      <c r="M154" s="61">
        <v>25</v>
      </c>
      <c r="N154" s="61">
        <v>339</v>
      </c>
      <c r="O154" s="84" t="s">
        <v>1096</v>
      </c>
      <c r="P154" s="84" t="s">
        <v>1096</v>
      </c>
      <c r="Q154" s="61">
        <v>345</v>
      </c>
      <c r="R154" s="83">
        <v>94.690265486725664</v>
      </c>
      <c r="S154" s="83" t="s">
        <v>1130</v>
      </c>
      <c r="T154" s="83" t="s">
        <v>1144</v>
      </c>
      <c r="U154" s="83" t="s">
        <v>1349</v>
      </c>
      <c r="V154" s="83"/>
      <c r="W154" s="83"/>
      <c r="X154" s="83"/>
      <c r="Y154" s="83"/>
      <c r="Z154" s="83"/>
      <c r="AA154" s="83"/>
      <c r="AB154" s="83"/>
      <c r="AC154" s="83"/>
      <c r="AD154" s="83"/>
      <c r="AE154" s="83"/>
      <c r="AF154" s="83"/>
      <c r="AG154" s="83"/>
      <c r="AH154" s="83"/>
      <c r="AI154" s="83"/>
      <c r="AJ154" s="83"/>
      <c r="AK154" s="83"/>
      <c r="AL154" s="83"/>
      <c r="AM154" s="83"/>
      <c r="AN154" s="83"/>
      <c r="AO154" s="83"/>
      <c r="AP154" s="83"/>
      <c r="AQ154" s="83"/>
      <c r="AR154" s="83"/>
      <c r="AS154" s="34"/>
      <c r="AT154" s="34"/>
      <c r="AU154" s="34"/>
      <c r="AV154" s="34"/>
      <c r="AW154" s="34"/>
      <c r="AX154" s="34"/>
      <c r="AY154" s="34"/>
      <c r="AZ154" s="34"/>
      <c r="BA154" s="34"/>
    </row>
    <row r="155" spans="1:53">
      <c r="A155" s="61">
        <v>58</v>
      </c>
      <c r="B155" s="61" t="s">
        <v>1296</v>
      </c>
      <c r="C155" s="61" t="s">
        <v>1127</v>
      </c>
      <c r="D155" s="61" t="s">
        <v>1128</v>
      </c>
      <c r="E155" s="83" t="s">
        <v>1327</v>
      </c>
      <c r="F155" s="61">
        <v>2016</v>
      </c>
      <c r="G155" s="83" t="s">
        <v>1129</v>
      </c>
      <c r="H155" s="61">
        <v>2015</v>
      </c>
      <c r="I155" s="61">
        <v>0.17</v>
      </c>
      <c r="J155" s="84" t="s">
        <v>1096</v>
      </c>
      <c r="K155" s="61">
        <v>100</v>
      </c>
      <c r="L155" s="61">
        <v>2020</v>
      </c>
      <c r="M155" s="61">
        <v>15</v>
      </c>
      <c r="N155" s="61">
        <v>0.14450000000000002</v>
      </c>
      <c r="O155" s="84" t="s">
        <v>1096</v>
      </c>
      <c r="P155" s="84" t="s">
        <v>1096</v>
      </c>
      <c r="Q155" s="61">
        <v>0.185</v>
      </c>
      <c r="R155" s="83">
        <v>-58.82352941176466</v>
      </c>
      <c r="S155" s="83" t="s">
        <v>1130</v>
      </c>
      <c r="T155" s="83" t="s">
        <v>1131</v>
      </c>
      <c r="U155" s="83" t="s">
        <v>1350</v>
      </c>
      <c r="V155" s="83"/>
      <c r="W155" s="83"/>
      <c r="X155" s="83"/>
      <c r="Y155" s="83"/>
      <c r="Z155" s="83"/>
      <c r="AA155" s="83"/>
      <c r="AB155" s="83"/>
      <c r="AC155" s="83"/>
      <c r="AD155" s="83"/>
      <c r="AE155" s="83"/>
      <c r="AF155" s="83"/>
      <c r="AG155" s="83"/>
      <c r="AH155" s="83"/>
      <c r="AI155" s="83"/>
      <c r="AJ155" s="83"/>
      <c r="AK155" s="83"/>
      <c r="AL155" s="83"/>
      <c r="AM155" s="83"/>
      <c r="AN155" s="83"/>
      <c r="AO155" s="83"/>
      <c r="AP155" s="83"/>
      <c r="AQ155" s="83"/>
      <c r="AR155" s="83"/>
      <c r="AS155" s="34"/>
      <c r="AT155" s="34"/>
      <c r="AU155" s="34"/>
      <c r="AV155" s="34"/>
      <c r="AW155" s="34"/>
      <c r="AX155" s="34"/>
      <c r="AY155" s="34"/>
      <c r="AZ155" s="34"/>
      <c r="BA155" s="34"/>
    </row>
    <row r="156" spans="1:53">
      <c r="A156" s="61">
        <v>92</v>
      </c>
      <c r="B156" s="61" t="s">
        <v>1296</v>
      </c>
      <c r="C156" s="61" t="s">
        <v>1164</v>
      </c>
      <c r="D156" s="61" t="s">
        <v>1165</v>
      </c>
      <c r="E156" s="83" t="s">
        <v>1351</v>
      </c>
      <c r="F156" s="61">
        <v>2018</v>
      </c>
      <c r="G156" s="83" t="s">
        <v>1129</v>
      </c>
      <c r="H156" s="61">
        <v>2017</v>
      </c>
      <c r="I156" s="61">
        <v>1.237E-3</v>
      </c>
      <c r="J156" s="84" t="s">
        <v>1096</v>
      </c>
      <c r="K156" s="61">
        <v>93</v>
      </c>
      <c r="L156" s="61">
        <v>2020</v>
      </c>
      <c r="M156" s="61">
        <v>1.5</v>
      </c>
      <c r="N156" s="61">
        <v>1.2184450000000001E-3</v>
      </c>
      <c r="O156" s="84" t="s">
        <v>1096</v>
      </c>
      <c r="P156" s="84" t="s">
        <v>1096</v>
      </c>
      <c r="Q156" s="61">
        <v>1.2449999999999999E-2</v>
      </c>
      <c r="R156" s="83">
        <v>-60431.150633252619</v>
      </c>
      <c r="S156" s="83" t="s">
        <v>1130</v>
      </c>
      <c r="T156" s="83" t="s">
        <v>1131</v>
      </c>
      <c r="U156" s="83" t="s">
        <v>1352</v>
      </c>
      <c r="V156" s="83"/>
      <c r="W156" s="83"/>
      <c r="X156" s="83"/>
      <c r="Y156" s="83"/>
      <c r="Z156" s="83"/>
      <c r="AA156" s="83"/>
      <c r="AB156" s="83"/>
      <c r="AC156" s="83"/>
      <c r="AD156" s="83"/>
      <c r="AE156" s="83"/>
      <c r="AF156" s="83"/>
      <c r="AG156" s="83"/>
      <c r="AH156" s="83"/>
      <c r="AI156" s="83"/>
      <c r="AJ156" s="83"/>
      <c r="AK156" s="83"/>
      <c r="AL156" s="83"/>
      <c r="AM156" s="83"/>
      <c r="AN156" s="83"/>
      <c r="AO156" s="83"/>
      <c r="AP156" s="83"/>
      <c r="AQ156" s="83"/>
      <c r="AR156" s="83"/>
      <c r="AS156" s="34"/>
      <c r="AT156" s="34"/>
      <c r="AU156" s="34"/>
      <c r="AV156" s="34"/>
      <c r="AW156" s="34"/>
      <c r="AX156" s="34"/>
      <c r="AY156" s="34"/>
      <c r="AZ156" s="34"/>
      <c r="BA156" s="34"/>
    </row>
    <row r="157" spans="1:53">
      <c r="A157" s="61">
        <v>94</v>
      </c>
      <c r="B157" s="61" t="s">
        <v>1296</v>
      </c>
      <c r="C157" s="61" t="s">
        <v>1127</v>
      </c>
      <c r="D157" s="61" t="s">
        <v>1133</v>
      </c>
      <c r="E157" s="83" t="s">
        <v>1353</v>
      </c>
      <c r="F157" s="61">
        <v>2010</v>
      </c>
      <c r="G157" s="83" t="s">
        <v>1201</v>
      </c>
      <c r="H157" s="61">
        <v>2007</v>
      </c>
      <c r="I157" s="61">
        <v>1.94</v>
      </c>
      <c r="J157" s="84" t="s">
        <v>1096</v>
      </c>
      <c r="K157" s="61">
        <v>95</v>
      </c>
      <c r="L157" s="61">
        <v>2020</v>
      </c>
      <c r="M157" s="61">
        <v>20</v>
      </c>
      <c r="N157" s="61">
        <v>1.552</v>
      </c>
      <c r="O157" s="84" t="s">
        <v>1096</v>
      </c>
      <c r="P157" s="84" t="s">
        <v>1096</v>
      </c>
      <c r="Q157" s="61">
        <v>1.6</v>
      </c>
      <c r="R157" s="83">
        <v>87.62886597938143</v>
      </c>
      <c r="S157" s="83" t="s">
        <v>1130</v>
      </c>
      <c r="T157" s="83" t="s">
        <v>1144</v>
      </c>
      <c r="U157" s="83" t="s">
        <v>1354</v>
      </c>
      <c r="V157" s="83"/>
      <c r="W157" s="83"/>
      <c r="X157" s="83"/>
      <c r="Y157" s="83"/>
      <c r="Z157" s="83"/>
      <c r="AA157" s="83"/>
      <c r="AB157" s="83"/>
      <c r="AC157" s="83"/>
      <c r="AD157" s="83"/>
      <c r="AE157" s="83"/>
      <c r="AF157" s="83"/>
      <c r="AG157" s="83"/>
      <c r="AH157" s="83"/>
      <c r="AI157" s="83"/>
      <c r="AJ157" s="83"/>
      <c r="AK157" s="83"/>
      <c r="AL157" s="83"/>
      <c r="AM157" s="83"/>
      <c r="AN157" s="83"/>
      <c r="AO157" s="83"/>
      <c r="AP157" s="83"/>
      <c r="AQ157" s="83"/>
      <c r="AR157" s="83"/>
      <c r="AS157" s="34"/>
      <c r="AT157" s="34"/>
      <c r="AU157" s="34"/>
      <c r="AV157" s="34"/>
      <c r="AW157" s="34"/>
      <c r="AX157" s="34"/>
      <c r="AY157" s="34"/>
      <c r="AZ157" s="34"/>
      <c r="BA157" s="34"/>
    </row>
    <row r="158" spans="1:53">
      <c r="A158" s="61">
        <v>94</v>
      </c>
      <c r="B158" s="61" t="s">
        <v>1296</v>
      </c>
      <c r="C158" s="61" t="s">
        <v>1164</v>
      </c>
      <c r="D158" s="61" t="s">
        <v>1165</v>
      </c>
      <c r="E158" s="83" t="s">
        <v>1355</v>
      </c>
      <c r="F158" s="61">
        <v>2008</v>
      </c>
      <c r="G158" s="83" t="s">
        <v>1201</v>
      </c>
      <c r="H158" s="61">
        <v>2005</v>
      </c>
      <c r="I158" s="61">
        <v>1.54</v>
      </c>
      <c r="J158" s="84" t="s">
        <v>1096</v>
      </c>
      <c r="K158" s="61">
        <v>59</v>
      </c>
      <c r="L158" s="61">
        <v>2020</v>
      </c>
      <c r="M158" s="61">
        <v>20</v>
      </c>
      <c r="N158" s="61">
        <v>1.2320000000000002</v>
      </c>
      <c r="O158" s="84" t="s">
        <v>1096</v>
      </c>
      <c r="P158" s="84" t="s">
        <v>1096</v>
      </c>
      <c r="Q158" s="61">
        <v>1.34</v>
      </c>
      <c r="R158" s="83">
        <v>64.935064935064958</v>
      </c>
      <c r="S158" s="83" t="s">
        <v>1130</v>
      </c>
      <c r="T158" s="83" t="s">
        <v>1144</v>
      </c>
      <c r="U158" s="83" t="s">
        <v>1356</v>
      </c>
      <c r="V158" s="83"/>
      <c r="W158" s="83"/>
      <c r="X158" s="83"/>
      <c r="Y158" s="83"/>
      <c r="Z158" s="83"/>
      <c r="AA158" s="83"/>
      <c r="AB158" s="83"/>
      <c r="AC158" s="83"/>
      <c r="AD158" s="83"/>
      <c r="AE158" s="83"/>
      <c r="AF158" s="83"/>
      <c r="AG158" s="83"/>
      <c r="AH158" s="83"/>
      <c r="AI158" s="83"/>
      <c r="AJ158" s="83"/>
      <c r="AK158" s="83"/>
      <c r="AL158" s="83"/>
      <c r="AM158" s="83"/>
      <c r="AN158" s="83"/>
      <c r="AO158" s="83"/>
      <c r="AP158" s="83"/>
      <c r="AQ158" s="83"/>
      <c r="AR158" s="83"/>
      <c r="AS158" s="34"/>
      <c r="AT158" s="34"/>
      <c r="AU158" s="34"/>
      <c r="AV158" s="34"/>
      <c r="AW158" s="34"/>
      <c r="AX158" s="34"/>
      <c r="AY158" s="34"/>
      <c r="AZ158" s="34"/>
      <c r="BA158" s="34"/>
    </row>
    <row r="159" spans="1:53">
      <c r="A159" s="61">
        <v>96</v>
      </c>
      <c r="B159" s="61" t="s">
        <v>1296</v>
      </c>
      <c r="C159" s="61" t="s">
        <v>1127</v>
      </c>
      <c r="D159" s="61" t="s">
        <v>1128</v>
      </c>
      <c r="E159" s="83" t="s">
        <v>1357</v>
      </c>
      <c r="F159" s="61">
        <v>2010</v>
      </c>
      <c r="G159" s="83" t="s">
        <v>1129</v>
      </c>
      <c r="H159" s="61">
        <v>2009</v>
      </c>
      <c r="I159" s="61">
        <v>0.118996</v>
      </c>
      <c r="J159" s="84" t="s">
        <v>1096</v>
      </c>
      <c r="K159" s="61">
        <v>100</v>
      </c>
      <c r="L159" s="61">
        <v>2020</v>
      </c>
      <c r="M159" s="61">
        <v>50</v>
      </c>
      <c r="N159" s="61">
        <v>5.9498000000000002E-2</v>
      </c>
      <c r="O159" s="84" t="s">
        <v>1096</v>
      </c>
      <c r="P159" s="84" t="s">
        <v>1096</v>
      </c>
      <c r="Q159" s="61">
        <v>5.5084143600000003E-2</v>
      </c>
      <c r="R159" s="83">
        <v>107.41849541161046</v>
      </c>
      <c r="S159" s="83" t="s">
        <v>1265</v>
      </c>
      <c r="T159" s="83" t="s">
        <v>1144</v>
      </c>
      <c r="U159" s="83" t="s">
        <v>1358</v>
      </c>
      <c r="V159" s="83"/>
      <c r="W159" s="83"/>
      <c r="X159" s="83"/>
      <c r="Y159" s="83"/>
      <c r="Z159" s="83"/>
      <c r="AA159" s="83"/>
      <c r="AB159" s="83"/>
      <c r="AC159" s="83"/>
      <c r="AD159" s="83"/>
      <c r="AE159" s="83"/>
      <c r="AF159" s="83"/>
      <c r="AG159" s="83"/>
      <c r="AH159" s="83"/>
      <c r="AI159" s="83"/>
      <c r="AJ159" s="83"/>
      <c r="AK159" s="83"/>
      <c r="AL159" s="83"/>
      <c r="AM159" s="83"/>
      <c r="AN159" s="83"/>
      <c r="AO159" s="83"/>
      <c r="AP159" s="83"/>
      <c r="AQ159" s="83"/>
      <c r="AR159" s="83"/>
      <c r="AS159" s="34"/>
      <c r="AT159" s="34"/>
      <c r="AU159" s="34"/>
      <c r="AV159" s="34"/>
      <c r="AW159" s="34"/>
      <c r="AX159" s="34"/>
      <c r="AY159" s="34"/>
      <c r="AZ159" s="34"/>
      <c r="BA159" s="34"/>
    </row>
    <row r="160" spans="1:53">
      <c r="A160" s="61">
        <v>96</v>
      </c>
      <c r="B160" s="61" t="s">
        <v>1296</v>
      </c>
      <c r="C160" s="61" t="s">
        <v>1127</v>
      </c>
      <c r="D160" s="61" t="s">
        <v>1128</v>
      </c>
      <c r="E160" s="83" t="s">
        <v>1359</v>
      </c>
      <c r="F160" s="61">
        <v>2016</v>
      </c>
      <c r="G160" s="83" t="s">
        <v>1129</v>
      </c>
      <c r="H160" s="61">
        <v>2016</v>
      </c>
      <c r="I160" s="61">
        <v>5.1919E-2</v>
      </c>
      <c r="J160" s="84" t="s">
        <v>1096</v>
      </c>
      <c r="K160" s="61">
        <v>100</v>
      </c>
      <c r="L160" s="61">
        <v>2025</v>
      </c>
      <c r="M160" s="61">
        <v>50</v>
      </c>
      <c r="N160" s="61">
        <v>2.59595E-2</v>
      </c>
      <c r="O160" s="84" t="s">
        <v>1096</v>
      </c>
      <c r="P160" s="84" t="s">
        <v>1096</v>
      </c>
      <c r="Q160" s="61">
        <v>2.4570000000000002E-2</v>
      </c>
      <c r="R160" s="83">
        <v>105.35256842389104</v>
      </c>
      <c r="S160" s="83" t="s">
        <v>1143</v>
      </c>
      <c r="T160" s="83" t="s">
        <v>1144</v>
      </c>
      <c r="U160" s="83" t="s">
        <v>1360</v>
      </c>
      <c r="V160" s="83"/>
      <c r="W160" s="83"/>
      <c r="X160" s="83"/>
      <c r="Y160" s="83"/>
      <c r="Z160" s="83"/>
      <c r="AA160" s="83"/>
      <c r="AB160" s="83"/>
      <c r="AC160" s="83"/>
      <c r="AD160" s="83"/>
      <c r="AE160" s="83"/>
      <c r="AF160" s="83"/>
      <c r="AG160" s="83"/>
      <c r="AH160" s="83"/>
      <c r="AI160" s="83"/>
      <c r="AJ160" s="83"/>
      <c r="AK160" s="83"/>
      <c r="AL160" s="83"/>
      <c r="AM160" s="83"/>
      <c r="AN160" s="83"/>
      <c r="AO160" s="83"/>
      <c r="AP160" s="83"/>
      <c r="AQ160" s="83"/>
      <c r="AR160" s="83"/>
      <c r="AS160" s="34"/>
      <c r="AT160" s="34"/>
      <c r="AU160" s="34"/>
      <c r="AV160" s="34"/>
      <c r="AW160" s="34"/>
      <c r="AX160" s="34"/>
      <c r="AY160" s="34"/>
      <c r="AZ160" s="34"/>
      <c r="BA160" s="34"/>
    </row>
    <row r="161" spans="1:53">
      <c r="A161" s="61">
        <v>98</v>
      </c>
      <c r="B161" s="61" t="s">
        <v>1296</v>
      </c>
      <c r="C161" s="61" t="s">
        <v>1127</v>
      </c>
      <c r="D161" s="61" t="s">
        <v>1128</v>
      </c>
      <c r="E161" s="83" t="s">
        <v>1304</v>
      </c>
      <c r="F161" s="61">
        <v>2012</v>
      </c>
      <c r="G161" s="83" t="s">
        <v>1201</v>
      </c>
      <c r="H161" s="61">
        <v>2011</v>
      </c>
      <c r="I161" s="61">
        <v>3.9601999999999998E-2</v>
      </c>
      <c r="J161" s="84" t="s">
        <v>1096</v>
      </c>
      <c r="K161" s="61">
        <v>50</v>
      </c>
      <c r="L161" s="61">
        <v>2020</v>
      </c>
      <c r="M161" s="61">
        <v>20</v>
      </c>
      <c r="N161" s="61">
        <v>3.1681599999999997E-2</v>
      </c>
      <c r="O161" s="84" t="s">
        <v>1096</v>
      </c>
      <c r="P161" s="84" t="s">
        <v>1096</v>
      </c>
      <c r="Q161" s="61">
        <v>3.3162999999999998E-2</v>
      </c>
      <c r="R161" s="83">
        <v>81.296399171758992</v>
      </c>
      <c r="S161" s="83" t="s">
        <v>1130</v>
      </c>
      <c r="T161" s="83" t="s">
        <v>1131</v>
      </c>
      <c r="U161" s="83" t="s">
        <v>1361</v>
      </c>
      <c r="V161" s="83"/>
      <c r="W161" s="83"/>
      <c r="X161" s="83"/>
      <c r="Y161" s="83"/>
      <c r="Z161" s="83"/>
      <c r="AA161" s="83"/>
      <c r="AB161" s="83"/>
      <c r="AC161" s="83"/>
      <c r="AD161" s="83"/>
      <c r="AE161" s="83"/>
      <c r="AF161" s="83"/>
      <c r="AG161" s="83"/>
      <c r="AH161" s="83"/>
      <c r="AI161" s="83"/>
      <c r="AJ161" s="83"/>
      <c r="AK161" s="83"/>
      <c r="AL161" s="83"/>
      <c r="AM161" s="83"/>
      <c r="AN161" s="83"/>
      <c r="AO161" s="83"/>
      <c r="AP161" s="83"/>
      <c r="AQ161" s="83"/>
      <c r="AR161" s="83"/>
      <c r="AS161" s="34"/>
      <c r="AT161" s="34"/>
      <c r="AU161" s="34"/>
      <c r="AV161" s="34"/>
      <c r="AW161" s="34"/>
      <c r="AX161" s="34"/>
      <c r="AY161" s="34"/>
      <c r="AZ161" s="34"/>
      <c r="BA161" s="34"/>
    </row>
    <row r="162" spans="1:53">
      <c r="A162" s="61"/>
      <c r="B162" s="61"/>
      <c r="C162" s="61"/>
      <c r="D162" s="61"/>
      <c r="E162" s="83"/>
      <c r="F162" s="61"/>
      <c r="G162" s="83"/>
      <c r="H162" s="83"/>
      <c r="I162" s="83"/>
      <c r="J162" s="83"/>
      <c r="K162" s="61"/>
      <c r="L162" s="61"/>
      <c r="M162" s="61"/>
      <c r="N162" s="61"/>
      <c r="O162" s="61"/>
      <c r="P162" s="61"/>
      <c r="Q162" s="61"/>
      <c r="R162" s="83"/>
      <c r="S162" s="83"/>
      <c r="T162" s="83"/>
      <c r="U162" s="83"/>
      <c r="V162" s="83"/>
      <c r="W162" s="83"/>
      <c r="X162" s="83"/>
      <c r="Y162" s="83"/>
      <c r="Z162" s="83"/>
      <c r="AA162" s="83"/>
      <c r="AB162" s="83"/>
      <c r="AC162" s="83"/>
      <c r="AD162" s="83"/>
      <c r="AE162" s="83"/>
      <c r="AF162" s="83"/>
      <c r="AG162" s="83"/>
      <c r="AH162" s="83"/>
      <c r="AI162" s="83"/>
      <c r="AJ162" s="83"/>
      <c r="AK162" s="83"/>
      <c r="AL162" s="83"/>
      <c r="AM162" s="83"/>
      <c r="AN162" s="83"/>
      <c r="AO162" s="83"/>
      <c r="AP162" s="83"/>
      <c r="AQ162" s="83"/>
      <c r="AR162" s="83"/>
      <c r="AS162" s="34"/>
      <c r="AT162" s="34"/>
      <c r="AU162" s="34"/>
      <c r="AV162" s="34"/>
      <c r="AW162" s="34"/>
      <c r="AX162" s="34"/>
      <c r="AY162" s="34"/>
      <c r="AZ162" s="34"/>
      <c r="BA162" s="34"/>
    </row>
    <row r="163" spans="1:53">
      <c r="A163" s="61"/>
      <c r="B163" s="61"/>
      <c r="C163" s="61"/>
      <c r="D163" s="61"/>
      <c r="E163" s="83"/>
      <c r="F163" s="61"/>
      <c r="G163" s="83"/>
      <c r="H163" s="83"/>
      <c r="I163" s="83"/>
      <c r="J163" s="83"/>
      <c r="K163" s="61"/>
      <c r="L163" s="61"/>
      <c r="M163" s="61"/>
      <c r="N163" s="61"/>
      <c r="O163" s="61"/>
      <c r="P163" s="61"/>
      <c r="Q163" s="61"/>
      <c r="R163" s="83"/>
      <c r="S163" s="83"/>
      <c r="T163" s="83"/>
      <c r="U163" s="83"/>
      <c r="V163" s="83"/>
      <c r="W163" s="83"/>
      <c r="X163" s="83"/>
      <c r="Y163" s="83"/>
      <c r="Z163" s="83"/>
      <c r="AA163" s="83"/>
      <c r="AB163" s="83"/>
      <c r="AC163" s="83"/>
      <c r="AD163" s="83"/>
      <c r="AE163" s="83"/>
      <c r="AF163" s="83"/>
      <c r="AG163" s="83"/>
      <c r="AH163" s="83"/>
      <c r="AI163" s="83"/>
      <c r="AJ163" s="83"/>
      <c r="AK163" s="83"/>
      <c r="AL163" s="83"/>
      <c r="AM163" s="83"/>
      <c r="AN163" s="83"/>
      <c r="AO163" s="83"/>
      <c r="AP163" s="83"/>
      <c r="AQ163" s="83"/>
      <c r="AR163" s="83"/>
      <c r="AS163" s="34"/>
      <c r="AT163" s="34"/>
      <c r="AU163" s="34"/>
      <c r="AV163" s="34"/>
      <c r="AW163" s="34"/>
      <c r="AX163" s="34"/>
      <c r="AY163" s="34"/>
      <c r="AZ163" s="34"/>
      <c r="BA163" s="34"/>
    </row>
    <row r="164" spans="1:53">
      <c r="A164" s="61"/>
      <c r="B164" s="61"/>
      <c r="C164" s="61"/>
      <c r="D164" s="61"/>
      <c r="E164" s="83"/>
      <c r="F164" s="61"/>
      <c r="G164" s="83"/>
      <c r="H164" s="83"/>
      <c r="I164" s="83"/>
      <c r="J164" s="83"/>
      <c r="K164" s="61"/>
      <c r="L164" s="61"/>
      <c r="M164" s="61"/>
      <c r="N164" s="61"/>
      <c r="O164" s="61"/>
      <c r="P164" s="61"/>
      <c r="Q164" s="61"/>
      <c r="R164" s="83"/>
      <c r="S164" s="83"/>
      <c r="T164" s="83"/>
      <c r="U164" s="83"/>
      <c r="V164" s="83"/>
      <c r="W164" s="83"/>
      <c r="X164" s="83"/>
      <c r="Y164" s="83"/>
      <c r="Z164" s="83"/>
      <c r="AA164" s="83"/>
      <c r="AB164" s="83"/>
      <c r="AC164" s="83"/>
      <c r="AD164" s="83"/>
      <c r="AE164" s="83"/>
      <c r="AF164" s="83"/>
      <c r="AG164" s="83"/>
      <c r="AH164" s="83"/>
      <c r="AI164" s="83"/>
      <c r="AJ164" s="83"/>
      <c r="AK164" s="83"/>
      <c r="AL164" s="83"/>
      <c r="AM164" s="83"/>
      <c r="AN164" s="83"/>
      <c r="AO164" s="83"/>
      <c r="AP164" s="83"/>
      <c r="AQ164" s="83"/>
      <c r="AR164" s="83"/>
      <c r="AS164" s="34"/>
      <c r="AT164" s="34"/>
      <c r="AU164" s="34"/>
      <c r="AV164" s="34"/>
      <c r="AW164" s="34"/>
      <c r="AX164" s="34"/>
      <c r="AY164" s="34"/>
      <c r="AZ164" s="34"/>
      <c r="BA164" s="34"/>
    </row>
    <row r="165" spans="1:53">
      <c r="A165" s="61"/>
      <c r="B165" s="61"/>
      <c r="C165" s="61"/>
      <c r="D165" s="61"/>
      <c r="E165" s="83"/>
      <c r="F165" s="61"/>
      <c r="G165" s="83"/>
      <c r="H165" s="83"/>
      <c r="I165" s="83"/>
      <c r="J165" s="83"/>
      <c r="K165" s="61"/>
      <c r="L165" s="61"/>
      <c r="M165" s="61"/>
      <c r="N165" s="61"/>
      <c r="O165" s="61"/>
      <c r="P165" s="61"/>
      <c r="Q165" s="61"/>
      <c r="R165" s="83"/>
      <c r="S165" s="83"/>
      <c r="T165" s="83"/>
      <c r="U165" s="83"/>
      <c r="V165" s="83"/>
      <c r="W165" s="83"/>
      <c r="X165" s="83"/>
      <c r="Y165" s="83"/>
      <c r="Z165" s="83"/>
      <c r="AA165" s="83"/>
      <c r="AB165" s="83"/>
      <c r="AC165" s="83"/>
      <c r="AD165" s="83"/>
      <c r="AE165" s="83"/>
      <c r="AF165" s="83"/>
      <c r="AG165" s="83"/>
      <c r="AH165" s="83"/>
      <c r="AI165" s="83"/>
      <c r="AJ165" s="83"/>
      <c r="AK165" s="83"/>
      <c r="AL165" s="83"/>
      <c r="AM165" s="83"/>
      <c r="AN165" s="83"/>
      <c r="AO165" s="83"/>
      <c r="AP165" s="83"/>
      <c r="AQ165" s="83"/>
      <c r="AR165" s="83"/>
      <c r="AS165" s="34"/>
      <c r="AT165" s="34"/>
      <c r="AU165" s="34"/>
      <c r="AV165" s="34"/>
      <c r="AW165" s="34"/>
      <c r="AX165" s="34"/>
      <c r="AY165" s="34"/>
      <c r="AZ165" s="34"/>
      <c r="BA165" s="34"/>
    </row>
    <row r="166" spans="1:53">
      <c r="A166" s="61"/>
      <c r="B166" s="61"/>
      <c r="C166" s="61"/>
      <c r="D166" s="61"/>
      <c r="E166" s="83"/>
      <c r="F166" s="61"/>
      <c r="G166" s="83"/>
      <c r="H166" s="83"/>
      <c r="I166" s="83"/>
      <c r="J166" s="83"/>
      <c r="K166" s="61"/>
      <c r="L166" s="61"/>
      <c r="M166" s="61"/>
      <c r="N166" s="61"/>
      <c r="O166" s="61"/>
      <c r="P166" s="61"/>
      <c r="Q166" s="61"/>
      <c r="R166" s="83"/>
      <c r="S166" s="83"/>
      <c r="T166" s="83"/>
      <c r="U166" s="83"/>
      <c r="V166" s="83"/>
      <c r="W166" s="83"/>
      <c r="X166" s="83"/>
      <c r="Y166" s="83"/>
      <c r="Z166" s="83"/>
      <c r="AA166" s="83"/>
      <c r="AB166" s="83"/>
      <c r="AC166" s="83"/>
      <c r="AD166" s="83"/>
      <c r="AE166" s="83"/>
      <c r="AF166" s="83"/>
      <c r="AG166" s="83"/>
      <c r="AH166" s="83"/>
      <c r="AI166" s="83"/>
      <c r="AJ166" s="83"/>
      <c r="AK166" s="83"/>
      <c r="AL166" s="83"/>
      <c r="AM166" s="83"/>
      <c r="AN166" s="83"/>
      <c r="AO166" s="83"/>
      <c r="AP166" s="83"/>
      <c r="AQ166" s="83"/>
      <c r="AR166" s="83"/>
      <c r="AS166" s="34"/>
      <c r="AT166" s="34"/>
      <c r="AU166" s="34"/>
      <c r="AV166" s="34"/>
      <c r="AW166" s="34"/>
      <c r="AX166" s="34"/>
      <c r="AY166" s="34"/>
      <c r="AZ166" s="34"/>
      <c r="BA166" s="34"/>
    </row>
    <row r="167" spans="1:53">
      <c r="A167" s="61"/>
      <c r="B167" s="61"/>
      <c r="C167" s="61"/>
      <c r="D167" s="61"/>
      <c r="E167" s="83"/>
      <c r="F167" s="61"/>
      <c r="G167" s="83"/>
      <c r="H167" s="83"/>
      <c r="I167" s="83"/>
      <c r="J167" s="83"/>
      <c r="K167" s="61"/>
      <c r="L167" s="61"/>
      <c r="M167" s="61"/>
      <c r="N167" s="61"/>
      <c r="O167" s="61"/>
      <c r="P167" s="61"/>
      <c r="Q167" s="61"/>
      <c r="R167" s="83"/>
      <c r="S167" s="83"/>
      <c r="T167" s="83"/>
      <c r="U167" s="83"/>
      <c r="V167" s="83"/>
      <c r="W167" s="83"/>
      <c r="X167" s="83"/>
      <c r="Y167" s="83"/>
      <c r="Z167" s="83"/>
      <c r="AA167" s="83"/>
      <c r="AB167" s="83"/>
      <c r="AC167" s="83"/>
      <c r="AD167" s="83"/>
      <c r="AE167" s="83"/>
      <c r="AF167" s="83"/>
      <c r="AG167" s="83"/>
      <c r="AH167" s="83"/>
      <c r="AI167" s="83"/>
      <c r="AJ167" s="83"/>
      <c r="AK167" s="83"/>
      <c r="AL167" s="83"/>
      <c r="AM167" s="83"/>
      <c r="AN167" s="83"/>
      <c r="AO167" s="83"/>
      <c r="AP167" s="83"/>
      <c r="AQ167" s="83"/>
      <c r="AR167" s="83"/>
      <c r="AS167" s="34"/>
      <c r="AT167" s="34"/>
      <c r="AU167" s="34"/>
      <c r="AV167" s="34"/>
      <c r="AW167" s="34"/>
      <c r="AX167" s="34"/>
      <c r="AY167" s="34"/>
      <c r="AZ167" s="34"/>
      <c r="BA167" s="34"/>
    </row>
    <row r="168" spans="1:53">
      <c r="A168" s="61"/>
      <c r="B168" s="61"/>
      <c r="C168" s="61"/>
      <c r="D168" s="61"/>
      <c r="E168" s="83"/>
      <c r="F168" s="61"/>
      <c r="G168" s="83"/>
      <c r="H168" s="83"/>
      <c r="I168" s="83"/>
      <c r="J168" s="83"/>
      <c r="K168" s="61"/>
      <c r="L168" s="61"/>
      <c r="M168" s="61"/>
      <c r="N168" s="61"/>
      <c r="O168" s="61"/>
      <c r="P168" s="61"/>
      <c r="Q168" s="61"/>
      <c r="R168" s="83"/>
      <c r="S168" s="83"/>
      <c r="T168" s="83"/>
      <c r="U168" s="83"/>
      <c r="V168" s="83"/>
      <c r="W168" s="83"/>
      <c r="X168" s="83"/>
      <c r="Y168" s="83"/>
      <c r="Z168" s="83"/>
      <c r="AA168" s="83"/>
      <c r="AB168" s="83"/>
      <c r="AC168" s="83"/>
      <c r="AD168" s="83"/>
      <c r="AE168" s="83"/>
      <c r="AF168" s="83"/>
      <c r="AG168" s="83"/>
      <c r="AH168" s="83"/>
      <c r="AI168" s="83"/>
      <c r="AJ168" s="83"/>
      <c r="AK168" s="83"/>
      <c r="AL168" s="83"/>
      <c r="AM168" s="83"/>
      <c r="AN168" s="83"/>
      <c r="AO168" s="83"/>
      <c r="AP168" s="83"/>
      <c r="AQ168" s="83"/>
      <c r="AR168" s="83"/>
      <c r="AS168" s="34"/>
      <c r="AT168" s="34"/>
      <c r="AU168" s="34"/>
      <c r="AV168" s="34"/>
      <c r="AW168" s="34"/>
      <c r="AX168" s="34"/>
      <c r="AY168" s="34"/>
      <c r="AZ168" s="34"/>
      <c r="BA168" s="34"/>
    </row>
    <row r="169" spans="1:53">
      <c r="A169" s="61"/>
      <c r="B169" s="61"/>
      <c r="C169" s="61"/>
      <c r="D169" s="61"/>
      <c r="E169" s="83"/>
      <c r="F169" s="61"/>
      <c r="G169" s="83"/>
      <c r="H169" s="83"/>
      <c r="I169" s="83"/>
      <c r="J169" s="83"/>
      <c r="K169" s="61"/>
      <c r="L169" s="61"/>
      <c r="M169" s="61"/>
      <c r="N169" s="61"/>
      <c r="O169" s="61"/>
      <c r="P169" s="61"/>
      <c r="Q169" s="61"/>
      <c r="R169" s="83"/>
      <c r="S169" s="83"/>
      <c r="T169" s="83"/>
      <c r="U169" s="83"/>
      <c r="V169" s="83"/>
      <c r="W169" s="83"/>
      <c r="X169" s="83"/>
      <c r="Y169" s="83"/>
      <c r="Z169" s="83"/>
      <c r="AA169" s="83"/>
      <c r="AB169" s="83"/>
      <c r="AC169" s="83"/>
      <c r="AD169" s="83"/>
      <c r="AE169" s="83"/>
      <c r="AF169" s="83"/>
      <c r="AG169" s="83"/>
      <c r="AH169" s="83"/>
      <c r="AI169" s="83"/>
      <c r="AJ169" s="83"/>
      <c r="AK169" s="83"/>
      <c r="AL169" s="83"/>
      <c r="AM169" s="83"/>
      <c r="AN169" s="83"/>
      <c r="AO169" s="83"/>
      <c r="AP169" s="83"/>
      <c r="AQ169" s="83"/>
      <c r="AR169" s="83"/>
      <c r="AS169" s="34"/>
      <c r="AT169" s="34"/>
      <c r="AU169" s="34"/>
      <c r="AV169" s="34"/>
      <c r="AW169" s="34"/>
      <c r="AX169" s="34"/>
      <c r="AY169" s="34"/>
      <c r="AZ169" s="34"/>
      <c r="BA169" s="34"/>
    </row>
    <row r="170" spans="1:53">
      <c r="A170" s="61"/>
      <c r="B170" s="61"/>
      <c r="C170" s="61"/>
      <c r="D170" s="61"/>
      <c r="E170" s="83"/>
      <c r="F170" s="61"/>
      <c r="G170" s="83"/>
      <c r="H170" s="83"/>
      <c r="I170" s="83"/>
      <c r="J170" s="83"/>
      <c r="K170" s="61"/>
      <c r="L170" s="61"/>
      <c r="M170" s="61"/>
      <c r="N170" s="61"/>
      <c r="O170" s="61"/>
      <c r="P170" s="61"/>
      <c r="Q170" s="61"/>
      <c r="R170" s="83"/>
      <c r="S170" s="83"/>
      <c r="T170" s="83"/>
      <c r="U170" s="83"/>
      <c r="V170" s="83"/>
      <c r="W170" s="83"/>
      <c r="X170" s="83"/>
      <c r="Y170" s="83"/>
      <c r="Z170" s="83"/>
      <c r="AA170" s="83"/>
      <c r="AB170" s="83"/>
      <c r="AC170" s="83"/>
      <c r="AD170" s="83"/>
      <c r="AE170" s="83"/>
      <c r="AF170" s="83"/>
      <c r="AG170" s="83"/>
      <c r="AH170" s="83"/>
      <c r="AI170" s="83"/>
      <c r="AJ170" s="83"/>
      <c r="AK170" s="83"/>
      <c r="AL170" s="83"/>
      <c r="AM170" s="83"/>
      <c r="AN170" s="83"/>
      <c r="AO170" s="83"/>
      <c r="AP170" s="83"/>
      <c r="AQ170" s="83"/>
      <c r="AR170" s="83"/>
      <c r="AS170" s="34"/>
      <c r="AT170" s="34"/>
      <c r="AU170" s="34"/>
      <c r="AV170" s="34"/>
      <c r="AW170" s="34"/>
      <c r="AX170" s="34"/>
      <c r="AY170" s="34"/>
      <c r="AZ170" s="34"/>
      <c r="BA170" s="34"/>
    </row>
    <row r="171" spans="1:53">
      <c r="A171" s="61"/>
      <c r="B171" s="61"/>
      <c r="C171" s="61"/>
      <c r="D171" s="61"/>
      <c r="E171" s="83"/>
      <c r="F171" s="61"/>
      <c r="G171" s="83"/>
      <c r="H171" s="83"/>
      <c r="I171" s="83"/>
      <c r="J171" s="83"/>
      <c r="K171" s="61"/>
      <c r="L171" s="61"/>
      <c r="M171" s="61"/>
      <c r="N171" s="61"/>
      <c r="O171" s="61"/>
      <c r="P171" s="61"/>
      <c r="Q171" s="61"/>
      <c r="R171" s="83"/>
      <c r="S171" s="83"/>
      <c r="T171" s="83"/>
      <c r="U171" s="83"/>
      <c r="V171" s="83"/>
      <c r="W171" s="83"/>
      <c r="X171" s="83"/>
      <c r="Y171" s="83"/>
      <c r="Z171" s="83"/>
      <c r="AA171" s="83"/>
      <c r="AB171" s="83"/>
      <c r="AC171" s="83"/>
      <c r="AD171" s="83"/>
      <c r="AE171" s="83"/>
      <c r="AF171" s="83"/>
      <c r="AG171" s="83"/>
      <c r="AH171" s="83"/>
      <c r="AI171" s="83"/>
      <c r="AJ171" s="83"/>
      <c r="AK171" s="83"/>
      <c r="AL171" s="83"/>
      <c r="AM171" s="83"/>
      <c r="AN171" s="83"/>
      <c r="AO171" s="83"/>
      <c r="AP171" s="83"/>
      <c r="AQ171" s="83"/>
      <c r="AR171" s="83"/>
      <c r="AS171" s="34"/>
      <c r="AT171" s="34"/>
      <c r="AU171" s="34"/>
      <c r="AV171" s="34"/>
      <c r="AW171" s="34"/>
      <c r="AX171" s="34"/>
      <c r="AY171" s="34"/>
      <c r="AZ171" s="34"/>
      <c r="BA171" s="34"/>
    </row>
    <row r="172" spans="1:53">
      <c r="A172" s="61"/>
      <c r="B172" s="61"/>
      <c r="C172" s="61"/>
      <c r="D172" s="61"/>
      <c r="E172" s="83"/>
      <c r="F172" s="61"/>
      <c r="G172" s="83"/>
      <c r="H172" s="83"/>
      <c r="I172" s="83"/>
      <c r="J172" s="83"/>
      <c r="K172" s="61"/>
      <c r="L172" s="61"/>
      <c r="M172" s="61"/>
      <c r="N172" s="61"/>
      <c r="O172" s="61"/>
      <c r="P172" s="61"/>
      <c r="Q172" s="61"/>
      <c r="R172" s="83"/>
      <c r="S172" s="83"/>
      <c r="T172" s="83"/>
      <c r="U172" s="83"/>
      <c r="V172" s="83"/>
      <c r="W172" s="83"/>
      <c r="X172" s="83"/>
      <c r="Y172" s="83"/>
      <c r="Z172" s="83"/>
      <c r="AA172" s="83"/>
      <c r="AB172" s="83"/>
      <c r="AC172" s="83"/>
      <c r="AD172" s="83"/>
      <c r="AE172" s="83"/>
      <c r="AF172" s="83"/>
      <c r="AG172" s="83"/>
      <c r="AH172" s="83"/>
      <c r="AI172" s="83"/>
      <c r="AJ172" s="83"/>
      <c r="AK172" s="83"/>
      <c r="AL172" s="83"/>
      <c r="AM172" s="83"/>
      <c r="AN172" s="83"/>
      <c r="AO172" s="83"/>
      <c r="AP172" s="83"/>
      <c r="AQ172" s="83"/>
      <c r="AR172" s="83"/>
      <c r="AS172" s="34"/>
      <c r="AT172" s="34"/>
      <c r="AU172" s="34"/>
      <c r="AV172" s="34"/>
      <c r="AW172" s="34"/>
      <c r="AX172" s="34"/>
      <c r="AY172" s="34"/>
      <c r="AZ172" s="34"/>
      <c r="BA172" s="34"/>
    </row>
    <row r="173" spans="1:53">
      <c r="A173" s="61"/>
      <c r="B173" s="61"/>
      <c r="C173" s="61"/>
      <c r="D173" s="61"/>
      <c r="E173" s="83"/>
      <c r="F173" s="61"/>
      <c r="G173" s="83"/>
      <c r="H173" s="83"/>
      <c r="I173" s="83"/>
      <c r="J173" s="83"/>
      <c r="K173" s="61"/>
      <c r="L173" s="61"/>
      <c r="M173" s="61"/>
      <c r="N173" s="61"/>
      <c r="O173" s="61"/>
      <c r="P173" s="61"/>
      <c r="Q173" s="61"/>
      <c r="R173" s="83"/>
      <c r="S173" s="83"/>
      <c r="T173" s="83"/>
      <c r="U173" s="83"/>
      <c r="V173" s="83"/>
      <c r="W173" s="83"/>
      <c r="X173" s="83"/>
      <c r="Y173" s="83"/>
      <c r="Z173" s="83"/>
      <c r="AA173" s="83"/>
      <c r="AB173" s="83"/>
      <c r="AC173" s="83"/>
      <c r="AD173" s="83"/>
      <c r="AE173" s="83"/>
      <c r="AF173" s="83"/>
      <c r="AG173" s="83"/>
      <c r="AH173" s="83"/>
      <c r="AI173" s="83"/>
      <c r="AJ173" s="83"/>
      <c r="AK173" s="83"/>
      <c r="AL173" s="83"/>
      <c r="AM173" s="83"/>
      <c r="AN173" s="83"/>
      <c r="AO173" s="83"/>
      <c r="AP173" s="83"/>
      <c r="AQ173" s="83"/>
      <c r="AR173" s="83"/>
      <c r="AS173" s="34"/>
      <c r="AT173" s="34"/>
      <c r="AU173" s="34"/>
      <c r="AV173" s="34"/>
      <c r="AW173" s="34"/>
      <c r="AX173" s="34"/>
      <c r="AY173" s="34"/>
      <c r="AZ173" s="34"/>
      <c r="BA173" s="34"/>
    </row>
    <row r="174" spans="1:53">
      <c r="A174" s="61"/>
      <c r="B174" s="61"/>
      <c r="C174" s="61"/>
      <c r="D174" s="61"/>
      <c r="E174" s="83"/>
      <c r="F174" s="61"/>
      <c r="G174" s="83"/>
      <c r="H174" s="83"/>
      <c r="I174" s="83"/>
      <c r="J174" s="83"/>
      <c r="K174" s="83"/>
      <c r="L174" s="61"/>
      <c r="M174" s="61"/>
      <c r="N174" s="61"/>
      <c r="O174" s="61"/>
      <c r="P174" s="61"/>
      <c r="Q174" s="61"/>
      <c r="R174" s="83"/>
      <c r="S174" s="83"/>
      <c r="T174" s="83"/>
      <c r="U174" s="83"/>
      <c r="V174" s="83"/>
      <c r="W174" s="83"/>
      <c r="X174" s="83"/>
      <c r="Y174" s="83"/>
      <c r="Z174" s="83"/>
      <c r="AA174" s="83"/>
      <c r="AB174" s="83"/>
      <c r="AC174" s="83"/>
      <c r="AD174" s="83"/>
      <c r="AE174" s="83"/>
      <c r="AF174" s="83"/>
      <c r="AG174" s="83"/>
      <c r="AH174" s="83"/>
      <c r="AI174" s="83"/>
      <c r="AJ174" s="83"/>
      <c r="AK174" s="83"/>
      <c r="AL174" s="83"/>
      <c r="AM174" s="83"/>
      <c r="AN174" s="83"/>
      <c r="AO174" s="83"/>
      <c r="AP174" s="83"/>
      <c r="AQ174" s="83"/>
      <c r="AR174" s="83"/>
      <c r="AS174" s="34"/>
      <c r="AT174" s="34"/>
      <c r="AU174" s="34"/>
      <c r="AV174" s="34"/>
      <c r="AW174" s="34"/>
      <c r="AX174" s="34"/>
      <c r="AY174" s="34"/>
      <c r="AZ174" s="34"/>
      <c r="BA174" s="34"/>
    </row>
    <row r="175" spans="1:53">
      <c r="A175" s="61"/>
      <c r="B175" s="61"/>
      <c r="C175" s="61"/>
      <c r="D175" s="61"/>
      <c r="E175" s="83"/>
      <c r="F175" s="61"/>
      <c r="G175" s="83"/>
      <c r="H175" s="83"/>
      <c r="I175" s="83"/>
      <c r="J175" s="83"/>
      <c r="K175" s="83"/>
      <c r="L175" s="61"/>
      <c r="M175" s="61"/>
      <c r="N175" s="61"/>
      <c r="O175" s="61"/>
      <c r="P175" s="61"/>
      <c r="Q175" s="61"/>
      <c r="R175" s="83"/>
      <c r="S175" s="83"/>
      <c r="T175" s="83"/>
      <c r="U175" s="83"/>
      <c r="V175" s="83"/>
      <c r="W175" s="83"/>
      <c r="X175" s="83"/>
      <c r="Y175" s="83"/>
      <c r="Z175" s="83"/>
      <c r="AA175" s="83"/>
      <c r="AB175" s="83"/>
      <c r="AC175" s="83"/>
      <c r="AD175" s="83"/>
      <c r="AE175" s="83"/>
      <c r="AF175" s="83"/>
      <c r="AG175" s="83"/>
      <c r="AH175" s="83"/>
      <c r="AI175" s="83"/>
      <c r="AJ175" s="83"/>
      <c r="AK175" s="83"/>
      <c r="AL175" s="83"/>
      <c r="AM175" s="83"/>
      <c r="AN175" s="83"/>
      <c r="AO175" s="83"/>
      <c r="AP175" s="83"/>
      <c r="AQ175" s="83"/>
      <c r="AR175" s="83"/>
      <c r="AS175" s="34"/>
      <c r="AT175" s="34"/>
      <c r="AU175" s="34"/>
      <c r="AV175" s="34"/>
      <c r="AW175" s="34"/>
      <c r="AX175" s="34"/>
      <c r="AY175" s="34"/>
      <c r="AZ175" s="34"/>
      <c r="BA175" s="34"/>
    </row>
    <row r="176" spans="1:53">
      <c r="A176" s="61"/>
      <c r="B176" s="61"/>
      <c r="C176" s="61"/>
      <c r="D176" s="61"/>
      <c r="E176" s="83"/>
      <c r="F176" s="61"/>
      <c r="G176" s="83"/>
      <c r="H176" s="83"/>
      <c r="I176" s="83"/>
      <c r="J176" s="83"/>
      <c r="K176" s="83"/>
      <c r="L176" s="61"/>
      <c r="M176" s="61"/>
      <c r="N176" s="61"/>
      <c r="O176" s="61"/>
      <c r="P176" s="61"/>
      <c r="Q176" s="61"/>
      <c r="R176" s="83"/>
      <c r="S176" s="83"/>
      <c r="T176" s="83"/>
      <c r="U176" s="83"/>
      <c r="V176" s="83"/>
      <c r="W176" s="83"/>
      <c r="X176" s="83"/>
      <c r="Y176" s="83"/>
      <c r="Z176" s="83"/>
      <c r="AA176" s="83"/>
      <c r="AB176" s="83"/>
      <c r="AC176" s="83"/>
      <c r="AD176" s="83"/>
      <c r="AE176" s="83"/>
      <c r="AF176" s="83"/>
      <c r="AG176" s="83"/>
      <c r="AH176" s="83"/>
      <c r="AI176" s="83"/>
      <c r="AJ176" s="83"/>
      <c r="AK176" s="83"/>
      <c r="AL176" s="83"/>
      <c r="AM176" s="83"/>
      <c r="AN176" s="83"/>
      <c r="AO176" s="83"/>
      <c r="AP176" s="83"/>
      <c r="AQ176" s="83"/>
      <c r="AR176" s="83"/>
      <c r="AS176" s="34"/>
      <c r="AT176" s="34"/>
      <c r="AU176" s="34"/>
      <c r="AV176" s="34"/>
      <c r="AW176" s="34"/>
      <c r="AX176" s="34"/>
      <c r="AY176" s="34"/>
      <c r="AZ176" s="34"/>
      <c r="BA176" s="34"/>
    </row>
    <row r="177" spans="1:53">
      <c r="A177" s="85"/>
      <c r="B177" s="85"/>
      <c r="C177" s="85"/>
      <c r="D177" s="85"/>
      <c r="E177" s="34"/>
      <c r="F177" s="85"/>
      <c r="G177" s="34"/>
      <c r="H177" s="34"/>
      <c r="I177" s="34"/>
      <c r="J177" s="34"/>
      <c r="K177" s="34"/>
      <c r="L177" s="85"/>
      <c r="M177" s="85"/>
      <c r="N177" s="85"/>
      <c r="O177" s="85"/>
      <c r="P177" s="85"/>
      <c r="Q177" s="85"/>
      <c r="R177" s="34"/>
      <c r="S177" s="34"/>
      <c r="T177" s="34"/>
      <c r="U177" s="34"/>
      <c r="V177" s="34"/>
      <c r="W177" s="34"/>
      <c r="X177" s="34"/>
      <c r="Y177" s="34"/>
      <c r="Z177" s="34"/>
      <c r="AA177" s="34"/>
      <c r="AB177" s="34"/>
      <c r="AC177" s="34"/>
      <c r="AD177" s="34"/>
      <c r="AE177" s="34"/>
      <c r="AF177" s="34"/>
      <c r="AG177" s="34"/>
      <c r="AH177" s="34"/>
      <c r="AI177" s="34"/>
      <c r="AJ177" s="34"/>
      <c r="AK177" s="34"/>
      <c r="AL177" s="34"/>
      <c r="AM177" s="34"/>
      <c r="AN177" s="34"/>
      <c r="AO177" s="34"/>
      <c r="AP177" s="34"/>
      <c r="AQ177" s="34"/>
      <c r="AR177" s="34"/>
      <c r="AS177" s="34"/>
      <c r="AT177" s="34"/>
      <c r="AU177" s="34"/>
      <c r="AV177" s="34"/>
      <c r="AW177" s="34"/>
      <c r="AX177" s="34"/>
      <c r="AY177" s="34"/>
      <c r="AZ177" s="34"/>
      <c r="BA177" s="34"/>
    </row>
    <row r="178" spans="1:53">
      <c r="A178" s="85"/>
      <c r="B178" s="85"/>
      <c r="C178" s="85"/>
      <c r="D178" s="85"/>
      <c r="E178" s="34"/>
      <c r="F178" s="85"/>
      <c r="G178" s="34"/>
      <c r="H178" s="34"/>
      <c r="I178" s="34"/>
      <c r="J178" s="34"/>
      <c r="K178" s="34"/>
      <c r="L178" s="85"/>
      <c r="M178" s="85"/>
      <c r="N178" s="85"/>
      <c r="O178" s="85"/>
      <c r="P178" s="85"/>
      <c r="Q178" s="85"/>
      <c r="R178" s="34"/>
      <c r="S178" s="34"/>
      <c r="T178" s="34"/>
      <c r="U178" s="34"/>
      <c r="V178" s="34"/>
      <c r="W178" s="34"/>
      <c r="X178" s="34"/>
      <c r="Y178" s="34"/>
      <c r="Z178" s="34"/>
      <c r="AA178" s="34"/>
      <c r="AB178" s="34"/>
      <c r="AC178" s="34"/>
      <c r="AD178" s="34"/>
      <c r="AE178" s="34"/>
      <c r="AF178" s="34"/>
      <c r="AG178" s="34"/>
      <c r="AH178" s="34"/>
      <c r="AI178" s="34"/>
      <c r="AJ178" s="34"/>
      <c r="AK178" s="34"/>
      <c r="AL178" s="34"/>
      <c r="AM178" s="34"/>
      <c r="AN178" s="34"/>
      <c r="AO178" s="34"/>
      <c r="AP178" s="34"/>
      <c r="AQ178" s="34"/>
      <c r="AR178" s="34"/>
      <c r="AS178" s="34"/>
      <c r="AT178" s="34"/>
      <c r="AU178" s="34"/>
      <c r="AV178" s="34"/>
      <c r="AW178" s="34"/>
      <c r="AX178" s="34"/>
      <c r="AY178" s="34"/>
      <c r="AZ178" s="34"/>
      <c r="BA178" s="34"/>
    </row>
    <row r="179" spans="1:53">
      <c r="A179" s="85"/>
      <c r="B179" s="85"/>
      <c r="C179" s="85"/>
      <c r="D179" s="85"/>
      <c r="E179" s="34"/>
      <c r="F179" s="85"/>
      <c r="G179" s="34"/>
      <c r="H179" s="34"/>
      <c r="I179" s="34"/>
      <c r="J179" s="34"/>
      <c r="K179" s="34"/>
      <c r="L179" s="85"/>
      <c r="M179" s="85"/>
      <c r="N179" s="85"/>
      <c r="O179" s="85"/>
      <c r="P179" s="85"/>
      <c r="Q179" s="85"/>
      <c r="R179" s="34"/>
      <c r="S179" s="34"/>
      <c r="T179" s="34"/>
      <c r="U179" s="34"/>
      <c r="V179" s="34"/>
      <c r="W179" s="34"/>
      <c r="X179" s="34"/>
      <c r="Y179" s="34"/>
      <c r="Z179" s="34"/>
      <c r="AA179" s="34"/>
      <c r="AB179" s="34"/>
      <c r="AC179" s="34"/>
      <c r="AD179" s="34"/>
      <c r="AE179" s="34"/>
      <c r="AF179" s="34"/>
      <c r="AG179" s="34"/>
      <c r="AH179" s="34"/>
      <c r="AI179" s="34"/>
      <c r="AJ179" s="34"/>
      <c r="AK179" s="34"/>
      <c r="AL179" s="34"/>
      <c r="AM179" s="34"/>
      <c r="AN179" s="34"/>
      <c r="AO179" s="34"/>
      <c r="AP179" s="34"/>
      <c r="AQ179" s="34"/>
      <c r="AR179" s="34"/>
      <c r="AS179" s="34"/>
      <c r="AT179" s="34"/>
      <c r="AU179" s="34"/>
      <c r="AV179" s="34"/>
      <c r="AW179" s="34"/>
      <c r="AX179" s="34"/>
      <c r="AY179" s="34"/>
      <c r="AZ179" s="34"/>
      <c r="BA179" s="34"/>
    </row>
    <row r="180" spans="1:53">
      <c r="A180" s="85"/>
      <c r="B180" s="85"/>
      <c r="C180" s="85"/>
      <c r="D180" s="85"/>
      <c r="E180" s="34"/>
      <c r="F180" s="85"/>
      <c r="G180" s="34"/>
      <c r="H180" s="34"/>
      <c r="I180" s="34"/>
      <c r="J180" s="34"/>
      <c r="K180" s="34"/>
      <c r="L180" s="85"/>
      <c r="M180" s="85"/>
      <c r="N180" s="85"/>
      <c r="O180" s="85"/>
      <c r="P180" s="85"/>
      <c r="Q180" s="85"/>
      <c r="R180" s="34"/>
      <c r="S180" s="34"/>
      <c r="T180" s="34"/>
      <c r="U180" s="34"/>
      <c r="V180" s="34"/>
      <c r="W180" s="34"/>
      <c r="X180" s="34"/>
      <c r="Y180" s="34"/>
      <c r="Z180" s="34"/>
      <c r="AA180" s="34"/>
      <c r="AB180" s="34"/>
      <c r="AC180" s="34"/>
      <c r="AD180" s="34"/>
      <c r="AE180" s="34"/>
      <c r="AF180" s="34"/>
      <c r="AG180" s="34"/>
      <c r="AH180" s="34"/>
      <c r="AI180" s="34"/>
      <c r="AJ180" s="34"/>
      <c r="AK180" s="34"/>
      <c r="AL180" s="34"/>
      <c r="AM180" s="34"/>
      <c r="AN180" s="34"/>
      <c r="AO180" s="34"/>
      <c r="AP180" s="34"/>
      <c r="AQ180" s="34"/>
      <c r="AR180" s="34"/>
      <c r="AS180" s="34"/>
      <c r="AT180" s="34"/>
      <c r="AU180" s="34"/>
      <c r="AV180" s="34"/>
      <c r="AW180" s="34"/>
      <c r="AX180" s="34"/>
      <c r="AY180" s="34"/>
      <c r="AZ180" s="34"/>
      <c r="BA180" s="34"/>
    </row>
    <row r="181" spans="1:53">
      <c r="A181" s="85"/>
      <c r="B181" s="85"/>
      <c r="C181" s="85"/>
      <c r="D181" s="85"/>
      <c r="E181" s="34"/>
      <c r="F181" s="85"/>
      <c r="G181" s="34"/>
      <c r="H181" s="34"/>
      <c r="I181" s="34"/>
      <c r="J181" s="34"/>
      <c r="K181" s="34"/>
      <c r="L181" s="85"/>
      <c r="M181" s="85"/>
      <c r="N181" s="85"/>
      <c r="O181" s="85"/>
      <c r="P181" s="85"/>
      <c r="Q181" s="85"/>
      <c r="R181" s="34"/>
      <c r="S181" s="34"/>
      <c r="T181" s="34"/>
      <c r="U181" s="34"/>
      <c r="V181" s="34"/>
      <c r="W181" s="34"/>
      <c r="X181" s="34"/>
      <c r="Y181" s="34"/>
      <c r="Z181" s="34"/>
      <c r="AA181" s="34"/>
      <c r="AB181" s="34"/>
      <c r="AC181" s="34"/>
      <c r="AD181" s="34"/>
      <c r="AE181" s="34"/>
      <c r="AF181" s="34"/>
      <c r="AG181" s="34"/>
      <c r="AH181" s="34"/>
      <c r="AI181" s="34"/>
      <c r="AJ181" s="34"/>
      <c r="AK181" s="34"/>
      <c r="AL181" s="34"/>
      <c r="AM181" s="34"/>
      <c r="AN181" s="34"/>
      <c r="AO181" s="34"/>
      <c r="AP181" s="34"/>
      <c r="AQ181" s="34"/>
      <c r="AR181" s="34"/>
      <c r="AS181" s="34"/>
      <c r="AT181" s="34"/>
      <c r="AU181" s="34"/>
      <c r="AV181" s="34"/>
      <c r="AW181" s="34"/>
      <c r="AX181" s="34"/>
      <c r="AY181" s="34"/>
      <c r="AZ181" s="34"/>
      <c r="BA181" s="34"/>
    </row>
    <row r="182" spans="1:53">
      <c r="A182" s="85"/>
      <c r="B182" s="85"/>
      <c r="C182" s="85"/>
      <c r="D182" s="85"/>
      <c r="E182" s="34"/>
      <c r="F182" s="85"/>
      <c r="G182" s="34"/>
      <c r="H182" s="34"/>
      <c r="I182" s="34"/>
      <c r="J182" s="34"/>
      <c r="K182" s="34"/>
      <c r="L182" s="85"/>
      <c r="M182" s="85"/>
      <c r="N182" s="85"/>
      <c r="O182" s="85"/>
      <c r="P182" s="85"/>
      <c r="Q182" s="85"/>
      <c r="R182" s="34"/>
      <c r="S182" s="34"/>
      <c r="T182" s="34"/>
      <c r="U182" s="34"/>
      <c r="V182" s="34"/>
      <c r="W182" s="34"/>
      <c r="X182" s="34"/>
      <c r="Y182" s="34"/>
      <c r="Z182" s="34"/>
      <c r="AA182" s="34"/>
      <c r="AB182" s="34"/>
      <c r="AC182" s="34"/>
      <c r="AD182" s="34"/>
      <c r="AE182" s="34"/>
      <c r="AF182" s="34"/>
      <c r="AG182" s="34"/>
      <c r="AH182" s="34"/>
      <c r="AI182" s="34"/>
      <c r="AJ182" s="34"/>
      <c r="AK182" s="34"/>
      <c r="AL182" s="34"/>
      <c r="AM182" s="34"/>
      <c r="AN182" s="34"/>
      <c r="AO182" s="34"/>
      <c r="AP182" s="34"/>
      <c r="AQ182" s="34"/>
      <c r="AR182" s="34"/>
      <c r="AS182" s="34"/>
      <c r="AT182" s="34"/>
      <c r="AU182" s="34"/>
      <c r="AV182" s="34"/>
      <c r="AW182" s="34"/>
      <c r="AX182" s="34"/>
      <c r="AY182" s="34"/>
      <c r="AZ182" s="34"/>
      <c r="BA182" s="34"/>
    </row>
    <row r="183" spans="1:53">
      <c r="A183" s="85"/>
      <c r="B183" s="85"/>
      <c r="C183" s="85"/>
      <c r="D183" s="85"/>
      <c r="E183" s="34"/>
      <c r="F183" s="85"/>
      <c r="G183" s="34"/>
      <c r="H183" s="34"/>
      <c r="I183" s="34"/>
      <c r="J183" s="34"/>
      <c r="K183" s="34"/>
      <c r="L183" s="85"/>
      <c r="M183" s="85"/>
      <c r="N183" s="85"/>
      <c r="O183" s="85"/>
      <c r="P183" s="85"/>
      <c r="Q183" s="85"/>
      <c r="R183" s="34"/>
      <c r="S183" s="34"/>
      <c r="T183" s="34"/>
      <c r="U183" s="34"/>
      <c r="V183" s="34"/>
      <c r="W183" s="34"/>
      <c r="X183" s="34"/>
      <c r="Y183" s="34"/>
      <c r="Z183" s="34"/>
      <c r="AA183" s="34"/>
      <c r="AB183" s="34"/>
      <c r="AC183" s="34"/>
      <c r="AD183" s="34"/>
      <c r="AE183" s="34"/>
      <c r="AF183" s="34"/>
      <c r="AG183" s="34"/>
      <c r="AH183" s="34"/>
      <c r="AI183" s="34"/>
      <c r="AJ183" s="34"/>
      <c r="AK183" s="34"/>
      <c r="AL183" s="34"/>
      <c r="AM183" s="34"/>
      <c r="AN183" s="34"/>
      <c r="AO183" s="34"/>
      <c r="AP183" s="34"/>
      <c r="AQ183" s="34"/>
      <c r="AR183" s="34"/>
      <c r="AS183" s="34"/>
      <c r="AT183" s="34"/>
      <c r="AU183" s="34"/>
      <c r="AV183" s="34"/>
      <c r="AW183" s="34"/>
      <c r="AX183" s="34"/>
      <c r="AY183" s="34"/>
      <c r="AZ183" s="34"/>
      <c r="BA183" s="34"/>
    </row>
    <row r="184" spans="1:53">
      <c r="A184" s="85"/>
      <c r="B184" s="85"/>
      <c r="C184" s="85"/>
      <c r="D184" s="85"/>
      <c r="E184" s="34"/>
      <c r="F184" s="85"/>
      <c r="G184" s="34"/>
      <c r="H184" s="34"/>
      <c r="I184" s="34"/>
      <c r="J184" s="34"/>
      <c r="K184" s="34"/>
      <c r="L184" s="85"/>
      <c r="M184" s="85"/>
      <c r="N184" s="85"/>
      <c r="O184" s="85"/>
      <c r="P184" s="85"/>
      <c r="Q184" s="85"/>
      <c r="R184" s="34"/>
      <c r="S184" s="34"/>
      <c r="T184" s="34"/>
      <c r="U184" s="34"/>
      <c r="V184" s="34"/>
      <c r="W184" s="34"/>
      <c r="X184" s="34"/>
      <c r="Y184" s="34"/>
      <c r="Z184" s="34"/>
      <c r="AA184" s="34"/>
      <c r="AB184" s="34"/>
      <c r="AC184" s="34"/>
      <c r="AD184" s="34"/>
      <c r="AE184" s="34"/>
      <c r="AF184" s="34"/>
      <c r="AG184" s="34"/>
      <c r="AH184" s="34"/>
      <c r="AI184" s="34"/>
      <c r="AJ184" s="34"/>
      <c r="AK184" s="34"/>
      <c r="AL184" s="34"/>
      <c r="AM184" s="34"/>
      <c r="AN184" s="34"/>
      <c r="AO184" s="34"/>
      <c r="AP184" s="34"/>
      <c r="AQ184" s="34"/>
      <c r="AR184" s="34"/>
      <c r="AS184" s="34"/>
      <c r="AT184" s="34"/>
      <c r="AU184" s="34"/>
      <c r="AV184" s="34"/>
      <c r="AW184" s="34"/>
      <c r="AX184" s="34"/>
      <c r="AY184" s="34"/>
      <c r="AZ184" s="34"/>
      <c r="BA184" s="34"/>
    </row>
    <row r="185" spans="1:53">
      <c r="A185" s="85"/>
      <c r="B185" s="85"/>
      <c r="C185" s="85"/>
      <c r="D185" s="85"/>
      <c r="E185" s="34"/>
      <c r="F185" s="85"/>
      <c r="G185" s="34"/>
      <c r="H185" s="34"/>
      <c r="I185" s="34"/>
      <c r="J185" s="34"/>
      <c r="K185" s="34"/>
      <c r="L185" s="85"/>
      <c r="M185" s="85"/>
      <c r="N185" s="85"/>
      <c r="O185" s="85"/>
      <c r="P185" s="85"/>
      <c r="Q185" s="85"/>
      <c r="R185" s="34"/>
      <c r="S185" s="34"/>
      <c r="T185" s="34"/>
      <c r="U185" s="34"/>
      <c r="V185" s="34"/>
      <c r="W185" s="34"/>
      <c r="X185" s="34"/>
      <c r="Y185" s="34"/>
      <c r="Z185" s="34"/>
      <c r="AA185" s="34"/>
      <c r="AB185" s="34"/>
      <c r="AC185" s="34"/>
      <c r="AD185" s="34"/>
      <c r="AE185" s="34"/>
      <c r="AF185" s="34"/>
      <c r="AG185" s="34"/>
      <c r="AH185" s="34"/>
      <c r="AI185" s="34"/>
      <c r="AJ185" s="34"/>
      <c r="AK185" s="34"/>
      <c r="AL185" s="34"/>
      <c r="AM185" s="34"/>
      <c r="AN185" s="34"/>
      <c r="AO185" s="34"/>
      <c r="AP185" s="34"/>
      <c r="AQ185" s="34"/>
      <c r="AR185" s="34"/>
      <c r="AS185" s="34"/>
      <c r="AT185" s="34"/>
      <c r="AU185" s="34"/>
      <c r="AV185" s="34"/>
      <c r="AW185" s="34"/>
      <c r="AX185" s="34"/>
      <c r="AY185" s="34"/>
      <c r="AZ185" s="34"/>
      <c r="BA185" s="34"/>
    </row>
    <row r="186" spans="1:53">
      <c r="A186" s="85"/>
      <c r="B186" s="85"/>
      <c r="C186" s="85"/>
      <c r="D186" s="85"/>
      <c r="E186" s="34"/>
      <c r="F186" s="85"/>
      <c r="G186" s="34"/>
      <c r="H186" s="34"/>
      <c r="I186" s="34"/>
      <c r="J186" s="34"/>
      <c r="K186" s="34"/>
      <c r="L186" s="85"/>
      <c r="M186" s="85"/>
      <c r="N186" s="85"/>
      <c r="O186" s="85"/>
      <c r="P186" s="85"/>
      <c r="Q186" s="85"/>
      <c r="R186" s="34"/>
      <c r="S186" s="34"/>
      <c r="T186" s="34"/>
      <c r="U186" s="34"/>
      <c r="V186" s="34"/>
      <c r="W186" s="34"/>
      <c r="X186" s="34"/>
      <c r="Y186" s="34"/>
      <c r="Z186" s="34"/>
      <c r="AA186" s="34"/>
      <c r="AB186" s="34"/>
      <c r="AC186" s="34"/>
      <c r="AD186" s="34"/>
      <c r="AE186" s="34"/>
      <c r="AF186" s="34"/>
      <c r="AG186" s="34"/>
      <c r="AH186" s="34"/>
      <c r="AI186" s="34"/>
      <c r="AJ186" s="34"/>
      <c r="AK186" s="34"/>
      <c r="AL186" s="34"/>
      <c r="AM186" s="34"/>
      <c r="AN186" s="34"/>
      <c r="AO186" s="34"/>
      <c r="AP186" s="34"/>
      <c r="AQ186" s="34"/>
      <c r="AR186" s="34"/>
      <c r="AS186" s="34"/>
      <c r="AT186" s="34"/>
      <c r="AU186" s="34"/>
      <c r="AV186" s="34"/>
      <c r="AW186" s="34"/>
      <c r="AX186" s="34"/>
      <c r="AY186" s="34"/>
      <c r="AZ186" s="34"/>
      <c r="BA186" s="34"/>
    </row>
    <row r="187" spans="1:53">
      <c r="A187" s="85"/>
      <c r="B187" s="85"/>
      <c r="C187" s="85"/>
      <c r="D187" s="85"/>
      <c r="E187" s="34"/>
      <c r="F187" s="85"/>
      <c r="G187" s="34"/>
      <c r="H187" s="34"/>
      <c r="I187" s="34"/>
      <c r="J187" s="34"/>
      <c r="K187" s="34"/>
      <c r="L187" s="85"/>
      <c r="M187" s="85"/>
      <c r="N187" s="85"/>
      <c r="O187" s="85"/>
      <c r="P187" s="85"/>
      <c r="Q187" s="85"/>
      <c r="R187" s="34"/>
      <c r="S187" s="34"/>
      <c r="T187" s="34"/>
      <c r="U187" s="34"/>
      <c r="V187" s="34"/>
      <c r="W187" s="34"/>
      <c r="X187" s="34"/>
      <c r="Y187" s="34"/>
      <c r="Z187" s="34"/>
      <c r="AA187" s="34"/>
      <c r="AB187" s="34"/>
      <c r="AC187" s="34"/>
      <c r="AD187" s="34"/>
      <c r="AE187" s="34"/>
      <c r="AF187" s="34"/>
      <c r="AG187" s="34"/>
      <c r="AH187" s="34"/>
      <c r="AI187" s="34"/>
      <c r="AJ187" s="34"/>
      <c r="AK187" s="34"/>
      <c r="AL187" s="34"/>
      <c r="AM187" s="34"/>
      <c r="AN187" s="34"/>
      <c r="AO187" s="34"/>
      <c r="AP187" s="34"/>
      <c r="AQ187" s="34"/>
      <c r="AR187" s="34"/>
      <c r="AS187" s="34"/>
      <c r="AT187" s="34"/>
      <c r="AU187" s="34"/>
      <c r="AV187" s="34"/>
      <c r="AW187" s="34"/>
      <c r="AX187" s="34"/>
      <c r="AY187" s="34"/>
      <c r="AZ187" s="34"/>
      <c r="BA187" s="34"/>
    </row>
    <row r="188" spans="1:53">
      <c r="A188" s="85"/>
      <c r="B188" s="85"/>
      <c r="C188" s="85"/>
      <c r="D188" s="85"/>
      <c r="E188" s="34"/>
      <c r="F188" s="85"/>
      <c r="G188" s="34"/>
      <c r="H188" s="34"/>
      <c r="I188" s="34"/>
      <c r="J188" s="34"/>
      <c r="K188" s="34"/>
      <c r="L188" s="85"/>
      <c r="M188" s="85"/>
      <c r="N188" s="85"/>
      <c r="O188" s="85"/>
      <c r="P188" s="85"/>
      <c r="Q188" s="85"/>
      <c r="R188" s="34"/>
      <c r="S188" s="34"/>
      <c r="T188" s="34"/>
      <c r="U188" s="34"/>
      <c r="V188" s="34"/>
      <c r="W188" s="34"/>
      <c r="X188" s="34"/>
      <c r="Y188" s="34"/>
      <c r="Z188" s="34"/>
      <c r="AA188" s="34"/>
      <c r="AB188" s="34"/>
      <c r="AC188" s="34"/>
      <c r="AD188" s="34"/>
      <c r="AE188" s="34"/>
      <c r="AF188" s="34"/>
      <c r="AG188" s="34"/>
      <c r="AH188" s="34"/>
      <c r="AI188" s="34"/>
      <c r="AJ188" s="34"/>
      <c r="AK188" s="34"/>
      <c r="AL188" s="34"/>
      <c r="AM188" s="34"/>
      <c r="AN188" s="34"/>
      <c r="AO188" s="34"/>
      <c r="AP188" s="34"/>
      <c r="AQ188" s="34"/>
      <c r="AR188" s="34"/>
      <c r="AS188" s="34"/>
      <c r="AT188" s="34"/>
      <c r="AU188" s="34"/>
      <c r="AV188" s="34"/>
      <c r="AW188" s="34"/>
      <c r="AX188" s="34"/>
      <c r="AY188" s="34"/>
      <c r="AZ188" s="34"/>
      <c r="BA188" s="34"/>
    </row>
    <row r="189" spans="1:53">
      <c r="A189" s="85"/>
      <c r="B189" s="85"/>
      <c r="C189" s="85"/>
      <c r="D189" s="85"/>
      <c r="E189" s="34"/>
      <c r="F189" s="85"/>
      <c r="G189" s="34"/>
      <c r="H189" s="34"/>
      <c r="I189" s="34"/>
      <c r="J189" s="34"/>
      <c r="K189" s="34"/>
      <c r="L189" s="85"/>
      <c r="M189" s="85"/>
      <c r="N189" s="85"/>
      <c r="O189" s="85"/>
      <c r="P189" s="85"/>
      <c r="Q189" s="85"/>
      <c r="R189" s="34"/>
      <c r="S189" s="34"/>
      <c r="T189" s="34"/>
      <c r="U189" s="34"/>
      <c r="V189" s="34"/>
      <c r="W189" s="34"/>
      <c r="X189" s="34"/>
      <c r="Y189" s="34"/>
      <c r="Z189" s="34"/>
      <c r="AA189" s="34"/>
      <c r="AB189" s="34"/>
      <c r="AC189" s="34"/>
      <c r="AD189" s="34"/>
      <c r="AE189" s="34"/>
      <c r="AF189" s="34"/>
      <c r="AG189" s="34"/>
      <c r="AH189" s="34"/>
      <c r="AI189" s="34"/>
      <c r="AJ189" s="34"/>
      <c r="AK189" s="34"/>
      <c r="AL189" s="34"/>
      <c r="AM189" s="34"/>
      <c r="AN189" s="34"/>
      <c r="AO189" s="34"/>
      <c r="AP189" s="34"/>
      <c r="AQ189" s="34"/>
      <c r="AR189" s="34"/>
      <c r="AS189" s="34"/>
      <c r="AT189" s="34"/>
      <c r="AU189" s="34"/>
      <c r="AV189" s="34"/>
      <c r="AW189" s="34"/>
      <c r="AX189" s="34"/>
      <c r="AY189" s="34"/>
      <c r="AZ189" s="34"/>
      <c r="BA189" s="34"/>
    </row>
    <row r="190" spans="1:53">
      <c r="A190" s="85"/>
      <c r="B190" s="85"/>
      <c r="C190" s="85"/>
      <c r="D190" s="85"/>
      <c r="E190" s="34"/>
      <c r="F190" s="85"/>
      <c r="G190" s="34"/>
      <c r="H190" s="34"/>
      <c r="I190" s="34"/>
      <c r="J190" s="34"/>
      <c r="K190" s="34"/>
      <c r="L190" s="85"/>
      <c r="M190" s="85"/>
      <c r="N190" s="85"/>
      <c r="O190" s="85"/>
      <c r="P190" s="85"/>
      <c r="Q190" s="85"/>
      <c r="R190" s="34"/>
      <c r="S190" s="34"/>
      <c r="T190" s="34"/>
      <c r="U190" s="34"/>
      <c r="V190" s="34"/>
      <c r="W190" s="34"/>
      <c r="X190" s="34"/>
      <c r="Y190" s="34"/>
      <c r="Z190" s="34"/>
      <c r="AA190" s="34"/>
      <c r="AB190" s="34"/>
      <c r="AC190" s="34"/>
      <c r="AD190" s="34"/>
      <c r="AE190" s="34"/>
      <c r="AF190" s="34"/>
      <c r="AG190" s="34"/>
      <c r="AH190" s="34"/>
      <c r="AI190" s="34"/>
      <c r="AJ190" s="34"/>
      <c r="AK190" s="34"/>
      <c r="AL190" s="34"/>
      <c r="AM190" s="34"/>
      <c r="AN190" s="34"/>
      <c r="AO190" s="34"/>
      <c r="AP190" s="34"/>
      <c r="AQ190" s="34"/>
      <c r="AR190" s="34"/>
      <c r="AS190" s="34"/>
      <c r="AT190" s="34"/>
      <c r="AU190" s="34"/>
      <c r="AV190" s="34"/>
      <c r="AW190" s="34"/>
      <c r="AX190" s="34"/>
      <c r="AY190" s="34"/>
      <c r="AZ190" s="34"/>
      <c r="BA190" s="34"/>
    </row>
    <row r="191" spans="1:53">
      <c r="A191" s="85"/>
      <c r="B191" s="85"/>
      <c r="C191" s="85"/>
      <c r="D191" s="85"/>
      <c r="E191" s="34"/>
      <c r="F191" s="85"/>
      <c r="G191" s="34"/>
      <c r="H191" s="34"/>
      <c r="I191" s="34"/>
      <c r="J191" s="34"/>
      <c r="K191" s="34"/>
      <c r="L191" s="85"/>
      <c r="M191" s="85"/>
      <c r="N191" s="85"/>
      <c r="O191" s="85"/>
      <c r="P191" s="85"/>
      <c r="Q191" s="85"/>
      <c r="R191" s="34"/>
      <c r="S191" s="34"/>
      <c r="T191" s="34"/>
      <c r="U191" s="34"/>
      <c r="V191" s="34"/>
      <c r="W191" s="34"/>
      <c r="X191" s="34"/>
      <c r="Y191" s="34"/>
      <c r="Z191" s="34"/>
      <c r="AA191" s="34"/>
      <c r="AB191" s="34"/>
      <c r="AC191" s="34"/>
      <c r="AD191" s="34"/>
      <c r="AE191" s="34"/>
      <c r="AF191" s="34"/>
      <c r="AG191" s="34"/>
      <c r="AH191" s="34"/>
      <c r="AI191" s="34"/>
      <c r="AJ191" s="34"/>
      <c r="AK191" s="34"/>
      <c r="AL191" s="34"/>
      <c r="AM191" s="34"/>
      <c r="AN191" s="34"/>
      <c r="AO191" s="34"/>
      <c r="AP191" s="34"/>
      <c r="AQ191" s="34"/>
      <c r="AR191" s="34"/>
      <c r="AS191" s="34"/>
      <c r="AT191" s="34"/>
      <c r="AU191" s="34"/>
      <c r="AV191" s="34"/>
      <c r="AW191" s="34"/>
      <c r="AX191" s="34"/>
      <c r="AY191" s="34"/>
      <c r="AZ191" s="34"/>
      <c r="BA191" s="34"/>
    </row>
  </sheetData>
  <autoFilter ref="A1:U161" xr:uid="{CD16BE63-6CD2-4084-92BB-1EB0C8D86CD5}"/>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4731A-FDB9-412F-B513-BD09127D36C8}">
  <dimension ref="A1:L1048576"/>
  <sheetViews>
    <sheetView showGridLines="0" workbookViewId="0">
      <selection activeCell="I2" sqref="I2:J101"/>
    </sheetView>
  </sheetViews>
  <sheetFormatPr defaultRowHeight="12.75"/>
  <cols>
    <col min="1" max="1" width="10.42578125" bestFit="1" customWidth="1"/>
    <col min="2" max="12" width="13.85546875" customWidth="1"/>
  </cols>
  <sheetData>
    <row r="1" spans="1:12">
      <c r="A1" s="60" t="s">
        <v>557</v>
      </c>
      <c r="B1" s="60" t="s">
        <v>567</v>
      </c>
      <c r="C1" s="60" t="s">
        <v>19</v>
      </c>
      <c r="D1" s="60" t="s">
        <v>568</v>
      </c>
      <c r="E1" s="60" t="s">
        <v>558</v>
      </c>
      <c r="F1" s="60" t="s">
        <v>559</v>
      </c>
      <c r="G1" s="60" t="s">
        <v>560</v>
      </c>
      <c r="H1" s="60" t="s">
        <v>561</v>
      </c>
      <c r="I1" s="60" t="s">
        <v>562</v>
      </c>
      <c r="J1" s="60" t="s">
        <v>563</v>
      </c>
      <c r="K1" s="60" t="s">
        <v>1052</v>
      </c>
      <c r="L1" s="60" t="s">
        <v>1040</v>
      </c>
    </row>
    <row r="2" spans="1:12">
      <c r="A2" s="59">
        <v>1</v>
      </c>
      <c r="B2" s="58" t="s">
        <v>8</v>
      </c>
      <c r="C2" s="58" t="s">
        <v>8</v>
      </c>
      <c r="D2" s="58" t="s">
        <v>569</v>
      </c>
      <c r="E2" s="58" t="s">
        <v>580</v>
      </c>
      <c r="F2" s="58" t="s">
        <v>581</v>
      </c>
      <c r="G2" s="58" t="s">
        <v>582</v>
      </c>
      <c r="H2" s="58" t="s">
        <v>583</v>
      </c>
      <c r="I2" s="58" t="s">
        <v>148</v>
      </c>
      <c r="J2" s="58" t="s">
        <v>9</v>
      </c>
      <c r="K2" s="58" t="s">
        <v>579</v>
      </c>
      <c r="L2">
        <v>285</v>
      </c>
    </row>
    <row r="3" spans="1:12">
      <c r="A3" s="59">
        <v>2</v>
      </c>
      <c r="B3" s="58" t="s">
        <v>7</v>
      </c>
      <c r="C3" s="58" t="s">
        <v>7</v>
      </c>
      <c r="D3" s="58" t="s">
        <v>569</v>
      </c>
      <c r="E3" s="58" t="s">
        <v>571</v>
      </c>
      <c r="F3" s="58" t="s">
        <v>572</v>
      </c>
      <c r="G3" s="58" t="s">
        <v>572</v>
      </c>
      <c r="H3" s="58" t="s">
        <v>573</v>
      </c>
      <c r="I3" s="58" t="s">
        <v>574</v>
      </c>
      <c r="J3" s="58" t="s">
        <v>575</v>
      </c>
      <c r="K3" s="58" t="s">
        <v>570</v>
      </c>
      <c r="L3">
        <v>64</v>
      </c>
    </row>
    <row r="4" spans="1:12">
      <c r="A4" s="59">
        <v>3</v>
      </c>
      <c r="B4" s="58" t="s">
        <v>7</v>
      </c>
      <c r="C4" s="58" t="s">
        <v>7</v>
      </c>
      <c r="D4" s="58" t="s">
        <v>569</v>
      </c>
      <c r="E4" s="58" t="s">
        <v>607</v>
      </c>
      <c r="F4" s="58" t="s">
        <v>608</v>
      </c>
      <c r="G4" s="58" t="s">
        <v>608</v>
      </c>
      <c r="H4" s="58" t="s">
        <v>609</v>
      </c>
      <c r="I4" s="58" t="s">
        <v>610</v>
      </c>
      <c r="J4" s="58" t="s">
        <v>575</v>
      </c>
      <c r="K4" s="58" t="s">
        <v>570</v>
      </c>
      <c r="L4">
        <v>45103</v>
      </c>
    </row>
    <row r="5" spans="1:12">
      <c r="A5" s="59">
        <v>4</v>
      </c>
      <c r="B5" s="58" t="s">
        <v>11</v>
      </c>
      <c r="C5" s="58" t="s">
        <v>11</v>
      </c>
      <c r="D5" s="58" t="s">
        <v>1041</v>
      </c>
      <c r="E5" s="58" t="s">
        <v>1019</v>
      </c>
      <c r="F5" s="58" t="s">
        <v>950</v>
      </c>
      <c r="G5" s="58" t="s">
        <v>950</v>
      </c>
      <c r="H5" s="58" t="s">
        <v>845</v>
      </c>
      <c r="I5" s="58" t="s">
        <v>592</v>
      </c>
      <c r="J5" s="58" t="s">
        <v>593</v>
      </c>
      <c r="K5" s="58" t="s">
        <v>570</v>
      </c>
      <c r="L5">
        <v>21318</v>
      </c>
    </row>
    <row r="6" spans="1:12">
      <c r="A6" s="59">
        <v>5</v>
      </c>
      <c r="B6" s="58" t="s">
        <v>11</v>
      </c>
      <c r="C6" s="58" t="s">
        <v>11</v>
      </c>
      <c r="D6" s="58" t="s">
        <v>569</v>
      </c>
      <c r="E6" s="58" t="s">
        <v>590</v>
      </c>
      <c r="F6" s="58" t="s">
        <v>591</v>
      </c>
      <c r="G6" s="58" t="s">
        <v>591</v>
      </c>
      <c r="H6" s="58" t="s">
        <v>74</v>
      </c>
      <c r="I6" s="58" t="s">
        <v>592</v>
      </c>
      <c r="J6" s="58" t="s">
        <v>593</v>
      </c>
      <c r="K6" s="58" t="s">
        <v>570</v>
      </c>
      <c r="L6">
        <v>333</v>
      </c>
    </row>
    <row r="7" spans="1:12">
      <c r="A7" s="59">
        <v>6</v>
      </c>
      <c r="B7" s="58" t="s">
        <v>6</v>
      </c>
      <c r="C7" s="58" t="s">
        <v>6</v>
      </c>
      <c r="D7" s="58" t="s">
        <v>569</v>
      </c>
      <c r="E7" s="58" t="s">
        <v>602</v>
      </c>
      <c r="F7" s="58" t="s">
        <v>603</v>
      </c>
      <c r="G7" s="58" t="s">
        <v>603</v>
      </c>
      <c r="H7" s="58" t="s">
        <v>76</v>
      </c>
      <c r="I7" s="58" t="s">
        <v>604</v>
      </c>
      <c r="J7" s="58" t="s">
        <v>593</v>
      </c>
      <c r="K7" s="58" t="s">
        <v>570</v>
      </c>
      <c r="L7">
        <v>582</v>
      </c>
    </row>
    <row r="8" spans="1:12">
      <c r="A8" s="59">
        <v>7</v>
      </c>
      <c r="B8" s="58" t="s">
        <v>2</v>
      </c>
      <c r="C8" s="58" t="s">
        <v>2</v>
      </c>
      <c r="D8" s="58" t="s">
        <v>569</v>
      </c>
      <c r="E8" s="58" t="s">
        <v>823</v>
      </c>
      <c r="F8" s="58" t="s">
        <v>824</v>
      </c>
      <c r="G8" s="58" t="s">
        <v>824</v>
      </c>
      <c r="H8" s="58" t="s">
        <v>825</v>
      </c>
      <c r="I8" s="58" t="s">
        <v>826</v>
      </c>
      <c r="J8" s="58" t="s">
        <v>593</v>
      </c>
      <c r="K8" s="58" t="s">
        <v>570</v>
      </c>
      <c r="L8">
        <v>7616</v>
      </c>
    </row>
    <row r="9" spans="1:12">
      <c r="A9" s="59">
        <v>8</v>
      </c>
      <c r="B9" s="58" t="s">
        <v>4</v>
      </c>
      <c r="C9" s="58" t="s">
        <v>4</v>
      </c>
      <c r="D9" s="58" t="s">
        <v>569</v>
      </c>
      <c r="E9" s="58" t="s">
        <v>617</v>
      </c>
      <c r="F9" s="58" t="s">
        <v>618</v>
      </c>
      <c r="G9" s="58" t="s">
        <v>618</v>
      </c>
      <c r="H9" s="58" t="s">
        <v>619</v>
      </c>
      <c r="I9" s="58" t="s">
        <v>82</v>
      </c>
      <c r="J9" s="58" t="s">
        <v>620</v>
      </c>
      <c r="K9" s="58" t="s">
        <v>579</v>
      </c>
      <c r="L9">
        <v>628</v>
      </c>
    </row>
    <row r="10" spans="1:12">
      <c r="A10" s="59">
        <v>9</v>
      </c>
      <c r="B10" s="58"/>
      <c r="C10" s="58"/>
      <c r="D10" s="58"/>
      <c r="E10" s="58"/>
      <c r="F10" s="58"/>
      <c r="G10" s="58" t="s">
        <v>626</v>
      </c>
      <c r="H10" s="58"/>
      <c r="I10" s="58"/>
      <c r="J10" s="58"/>
      <c r="K10" s="58"/>
      <c r="L10">
        <v>0</v>
      </c>
    </row>
    <row r="11" spans="1:12">
      <c r="A11" s="59">
        <v>10</v>
      </c>
      <c r="B11" s="58" t="s">
        <v>6</v>
      </c>
      <c r="C11" s="58" t="s">
        <v>6</v>
      </c>
      <c r="D11" s="58" t="s">
        <v>569</v>
      </c>
      <c r="E11" s="58" t="s">
        <v>625</v>
      </c>
      <c r="F11" s="58" t="s">
        <v>626</v>
      </c>
      <c r="G11" s="58" t="s">
        <v>603</v>
      </c>
      <c r="H11" s="58" t="s">
        <v>103</v>
      </c>
      <c r="I11" s="58" t="s">
        <v>604</v>
      </c>
      <c r="J11" s="58" t="s">
        <v>593</v>
      </c>
      <c r="K11" s="58" t="s">
        <v>570</v>
      </c>
      <c r="L11">
        <v>692</v>
      </c>
    </row>
    <row r="12" spans="1:12">
      <c r="A12" s="59">
        <v>11</v>
      </c>
      <c r="B12" s="58" t="s">
        <v>6</v>
      </c>
      <c r="C12" s="58" t="s">
        <v>6</v>
      </c>
      <c r="D12" s="58" t="s">
        <v>569</v>
      </c>
      <c r="E12" s="58" t="s">
        <v>602</v>
      </c>
      <c r="F12" s="58" t="s">
        <v>603</v>
      </c>
      <c r="G12" s="58" t="s">
        <v>635</v>
      </c>
      <c r="H12" s="58" t="s">
        <v>76</v>
      </c>
      <c r="I12" s="58" t="s">
        <v>604</v>
      </c>
      <c r="J12" s="58" t="s">
        <v>593</v>
      </c>
      <c r="K12" s="58" t="s">
        <v>570</v>
      </c>
      <c r="L12">
        <v>699</v>
      </c>
    </row>
    <row r="13" spans="1:12">
      <c r="A13" s="59">
        <v>12</v>
      </c>
      <c r="B13" s="58" t="s">
        <v>10</v>
      </c>
      <c r="C13" s="58" t="s">
        <v>10</v>
      </c>
      <c r="D13" s="58" t="s">
        <v>569</v>
      </c>
      <c r="E13" s="58" t="s">
        <v>634</v>
      </c>
      <c r="F13" s="58" t="s">
        <v>635</v>
      </c>
      <c r="G13" s="58" t="s">
        <v>608</v>
      </c>
      <c r="H13" s="58" t="s">
        <v>636</v>
      </c>
      <c r="I13" s="58" t="s">
        <v>637</v>
      </c>
      <c r="J13" s="58" t="s">
        <v>589</v>
      </c>
      <c r="K13" s="58" t="s">
        <v>633</v>
      </c>
      <c r="L13">
        <v>706</v>
      </c>
    </row>
    <row r="14" spans="1:12">
      <c r="A14" s="59">
        <v>13</v>
      </c>
      <c r="B14" s="58" t="s">
        <v>7</v>
      </c>
      <c r="C14" s="58" t="s">
        <v>7</v>
      </c>
      <c r="D14" s="58" t="s">
        <v>569</v>
      </c>
      <c r="E14" s="58" t="s">
        <v>641</v>
      </c>
      <c r="F14" s="58" t="s">
        <v>608</v>
      </c>
      <c r="G14" s="58" t="s">
        <v>648</v>
      </c>
      <c r="H14" s="58" t="s">
        <v>642</v>
      </c>
      <c r="I14" s="58" t="s">
        <v>610</v>
      </c>
      <c r="J14" s="58" t="s">
        <v>575</v>
      </c>
      <c r="K14" s="58" t="s">
        <v>570</v>
      </c>
      <c r="L14">
        <v>716</v>
      </c>
    </row>
    <row r="15" spans="1:12">
      <c r="A15" s="59">
        <v>14</v>
      </c>
      <c r="B15" s="58" t="s">
        <v>11</v>
      </c>
      <c r="C15" s="58" t="s">
        <v>11</v>
      </c>
      <c r="D15" s="58" t="s">
        <v>569</v>
      </c>
      <c r="E15" s="58" t="s">
        <v>647</v>
      </c>
      <c r="F15" s="58" t="s">
        <v>648</v>
      </c>
      <c r="G15" s="58" t="s">
        <v>657</v>
      </c>
      <c r="H15" s="58" t="s">
        <v>649</v>
      </c>
      <c r="I15" s="58" t="s">
        <v>600</v>
      </c>
      <c r="J15" s="58" t="s">
        <v>601</v>
      </c>
      <c r="K15" s="58" t="s">
        <v>579</v>
      </c>
      <c r="L15">
        <v>865</v>
      </c>
    </row>
    <row r="16" spans="1:12">
      <c r="A16" s="59">
        <v>15</v>
      </c>
      <c r="B16" s="58" t="s">
        <v>2</v>
      </c>
      <c r="C16" s="58" t="s">
        <v>2</v>
      </c>
      <c r="D16" s="58" t="s">
        <v>569</v>
      </c>
      <c r="E16" s="58" t="s">
        <v>656</v>
      </c>
      <c r="F16" s="58" t="s">
        <v>657</v>
      </c>
      <c r="G16" s="58" t="s">
        <v>603</v>
      </c>
      <c r="H16" s="58" t="s">
        <v>658</v>
      </c>
      <c r="I16" s="58" t="s">
        <v>659</v>
      </c>
      <c r="J16" s="58" t="s">
        <v>593</v>
      </c>
      <c r="K16" s="58" t="s">
        <v>579</v>
      </c>
      <c r="L16">
        <v>1113</v>
      </c>
    </row>
    <row r="17" spans="1:12">
      <c r="A17" s="59">
        <v>16</v>
      </c>
      <c r="B17" s="58" t="s">
        <v>6</v>
      </c>
      <c r="C17" s="58" t="s">
        <v>6</v>
      </c>
      <c r="D17" s="58" t="s">
        <v>569</v>
      </c>
      <c r="E17" s="58" t="s">
        <v>666</v>
      </c>
      <c r="F17" s="58" t="s">
        <v>603</v>
      </c>
      <c r="G17" s="58" t="s">
        <v>608</v>
      </c>
      <c r="H17" s="58" t="s">
        <v>103</v>
      </c>
      <c r="I17" s="58" t="s">
        <v>604</v>
      </c>
      <c r="J17" s="58" t="s">
        <v>593</v>
      </c>
      <c r="K17" s="58" t="s">
        <v>646</v>
      </c>
      <c r="L17">
        <v>1452</v>
      </c>
    </row>
    <row r="18" spans="1:12">
      <c r="A18" s="59">
        <v>17</v>
      </c>
      <c r="B18" s="58"/>
      <c r="C18" s="58"/>
      <c r="D18" s="58"/>
      <c r="E18" s="58"/>
      <c r="F18" s="58"/>
      <c r="G18" s="58" t="s">
        <v>603</v>
      </c>
      <c r="H18" s="58"/>
      <c r="I18" s="58"/>
      <c r="J18" s="58"/>
      <c r="K18" s="58"/>
      <c r="L18">
        <v>0</v>
      </c>
    </row>
    <row r="19" spans="1:12">
      <c r="A19" s="59">
        <v>18</v>
      </c>
      <c r="B19" s="58" t="s">
        <v>7</v>
      </c>
      <c r="C19" s="58" t="s">
        <v>7</v>
      </c>
      <c r="D19" s="58" t="s">
        <v>569</v>
      </c>
      <c r="E19" s="58" t="s">
        <v>641</v>
      </c>
      <c r="F19" s="58" t="s">
        <v>608</v>
      </c>
      <c r="G19" s="58" t="s">
        <v>686</v>
      </c>
      <c r="H19" s="58" t="s">
        <v>642</v>
      </c>
      <c r="I19" s="58" t="s">
        <v>610</v>
      </c>
      <c r="J19" s="58" t="s">
        <v>575</v>
      </c>
      <c r="K19" s="58" t="s">
        <v>570</v>
      </c>
      <c r="L19">
        <v>1857</v>
      </c>
    </row>
    <row r="20" spans="1:12">
      <c r="A20" s="59">
        <v>19</v>
      </c>
      <c r="B20" s="58" t="s">
        <v>6</v>
      </c>
      <c r="C20" s="58" t="s">
        <v>6</v>
      </c>
      <c r="D20" s="58" t="s">
        <v>569</v>
      </c>
      <c r="E20" s="58" t="s">
        <v>605</v>
      </c>
      <c r="F20" s="58" t="s">
        <v>603</v>
      </c>
      <c r="G20" s="58" t="s">
        <v>608</v>
      </c>
      <c r="H20" s="58" t="s">
        <v>606</v>
      </c>
      <c r="I20" s="58" t="s">
        <v>604</v>
      </c>
      <c r="J20" s="58" t="s">
        <v>593</v>
      </c>
      <c r="K20" s="58" t="s">
        <v>570</v>
      </c>
      <c r="L20">
        <v>1875</v>
      </c>
    </row>
    <row r="21" spans="1:12">
      <c r="A21" s="59">
        <v>20</v>
      </c>
      <c r="B21" s="58" t="s">
        <v>8</v>
      </c>
      <c r="C21" s="58" t="s">
        <v>8</v>
      </c>
      <c r="D21" s="58" t="s">
        <v>569</v>
      </c>
      <c r="E21" s="58" t="s">
        <v>685</v>
      </c>
      <c r="F21" s="58" t="s">
        <v>686</v>
      </c>
      <c r="G21" s="58" t="s">
        <v>603</v>
      </c>
      <c r="H21" s="58" t="s">
        <v>687</v>
      </c>
      <c r="I21" s="58" t="s">
        <v>688</v>
      </c>
      <c r="J21" s="58" t="s">
        <v>601</v>
      </c>
      <c r="K21" s="58" t="s">
        <v>579</v>
      </c>
      <c r="L21">
        <v>2017</v>
      </c>
    </row>
    <row r="22" spans="1:12">
      <c r="A22" s="59">
        <v>21</v>
      </c>
      <c r="B22" s="58"/>
      <c r="C22" s="58"/>
      <c r="D22" s="58"/>
      <c r="E22" s="58"/>
      <c r="F22" s="58"/>
      <c r="G22" s="58" t="s">
        <v>708</v>
      </c>
      <c r="H22" s="58"/>
      <c r="I22" s="58"/>
      <c r="J22" s="58"/>
      <c r="K22" s="58"/>
      <c r="L22">
        <v>0</v>
      </c>
    </row>
    <row r="23" spans="1:12">
      <c r="A23" s="59">
        <v>22</v>
      </c>
      <c r="B23" s="58" t="s">
        <v>7</v>
      </c>
      <c r="C23" s="58" t="s">
        <v>7</v>
      </c>
      <c r="D23" s="58" t="s">
        <v>569</v>
      </c>
      <c r="E23" s="58" t="s">
        <v>607</v>
      </c>
      <c r="F23" s="58" t="s">
        <v>608</v>
      </c>
      <c r="G23" s="58" t="s">
        <v>603</v>
      </c>
      <c r="H23" s="58" t="s">
        <v>609</v>
      </c>
      <c r="I23" s="58" t="s">
        <v>610</v>
      </c>
      <c r="J23" s="58" t="s">
        <v>575</v>
      </c>
      <c r="K23" s="58" t="s">
        <v>570</v>
      </c>
      <c r="L23">
        <v>2191</v>
      </c>
    </row>
    <row r="24" spans="1:12">
      <c r="A24" s="59">
        <v>23</v>
      </c>
      <c r="B24" s="58" t="s">
        <v>6</v>
      </c>
      <c r="C24" s="58" t="s">
        <v>6</v>
      </c>
      <c r="D24" s="58" t="s">
        <v>569</v>
      </c>
      <c r="E24" s="58" t="s">
        <v>700</v>
      </c>
      <c r="F24" s="58" t="s">
        <v>603</v>
      </c>
      <c r="G24" s="58" t="s">
        <v>697</v>
      </c>
      <c r="H24" s="58" t="s">
        <v>103</v>
      </c>
      <c r="I24" s="58" t="s">
        <v>604</v>
      </c>
      <c r="J24" s="58" t="s">
        <v>593</v>
      </c>
      <c r="K24" s="58" t="s">
        <v>570</v>
      </c>
      <c r="L24">
        <v>2695</v>
      </c>
    </row>
    <row r="25" spans="1:12">
      <c r="A25" s="59">
        <v>24</v>
      </c>
      <c r="B25" s="58"/>
      <c r="C25" s="58"/>
      <c r="D25" s="58"/>
      <c r="E25" s="58"/>
      <c r="F25" s="58"/>
      <c r="G25" s="58" t="s">
        <v>718</v>
      </c>
      <c r="H25" s="58"/>
      <c r="I25" s="58"/>
      <c r="J25" s="58"/>
      <c r="K25" s="58"/>
      <c r="L25">
        <v>0</v>
      </c>
    </row>
    <row r="26" spans="1:12">
      <c r="A26" s="59">
        <v>25</v>
      </c>
      <c r="B26" s="58"/>
      <c r="C26" s="58"/>
      <c r="D26" s="58"/>
      <c r="E26" s="58"/>
      <c r="F26" s="58"/>
      <c r="G26" s="58" t="s">
        <v>728</v>
      </c>
      <c r="H26" s="58"/>
      <c r="I26" s="58"/>
      <c r="J26" s="58"/>
      <c r="K26" s="58"/>
      <c r="L26">
        <v>0</v>
      </c>
    </row>
    <row r="27" spans="1:12">
      <c r="A27" s="59">
        <v>26</v>
      </c>
      <c r="B27" s="58"/>
      <c r="C27" s="58"/>
      <c r="D27" s="58"/>
      <c r="E27" s="58"/>
      <c r="F27" s="58"/>
      <c r="G27" s="58" t="s">
        <v>735</v>
      </c>
      <c r="H27" s="58"/>
      <c r="I27" s="58"/>
      <c r="J27" s="58"/>
      <c r="K27" s="58"/>
      <c r="L27">
        <v>0</v>
      </c>
    </row>
    <row r="28" spans="1:12">
      <c r="A28" s="59">
        <v>27</v>
      </c>
      <c r="B28" s="58" t="s">
        <v>11</v>
      </c>
      <c r="C28" s="58" t="s">
        <v>11</v>
      </c>
      <c r="D28" s="58" t="s">
        <v>569</v>
      </c>
      <c r="E28" s="58" t="s">
        <v>707</v>
      </c>
      <c r="F28" s="58" t="s">
        <v>708</v>
      </c>
      <c r="G28" s="58" t="s">
        <v>745</v>
      </c>
      <c r="H28" s="58" t="s">
        <v>74</v>
      </c>
      <c r="I28" s="58" t="s">
        <v>592</v>
      </c>
      <c r="J28" s="58" t="s">
        <v>593</v>
      </c>
      <c r="K28" s="58" t="s">
        <v>579</v>
      </c>
      <c r="L28">
        <v>3329</v>
      </c>
    </row>
    <row r="29" spans="1:12">
      <c r="A29" s="59">
        <v>28</v>
      </c>
      <c r="B29" s="58" t="s">
        <v>6</v>
      </c>
      <c r="C29" s="58" t="s">
        <v>6</v>
      </c>
      <c r="D29" s="58" t="s">
        <v>569</v>
      </c>
      <c r="E29" s="58" t="s">
        <v>666</v>
      </c>
      <c r="F29" s="58" t="s">
        <v>603</v>
      </c>
      <c r="G29" s="58" t="s">
        <v>757</v>
      </c>
      <c r="H29" s="58" t="s">
        <v>103</v>
      </c>
      <c r="I29" s="58" t="s">
        <v>604</v>
      </c>
      <c r="J29" s="58" t="s">
        <v>593</v>
      </c>
      <c r="K29" s="58" t="s">
        <v>579</v>
      </c>
      <c r="L29">
        <v>3398</v>
      </c>
    </row>
    <row r="30" spans="1:12">
      <c r="A30" s="59">
        <v>29</v>
      </c>
      <c r="B30" s="58" t="s">
        <v>4</v>
      </c>
      <c r="C30" s="58" t="s">
        <v>4</v>
      </c>
      <c r="D30" s="58" t="s">
        <v>569</v>
      </c>
      <c r="E30" s="58" t="s">
        <v>722</v>
      </c>
      <c r="F30" s="58" t="s">
        <v>697</v>
      </c>
      <c r="G30" s="58" t="s">
        <v>763</v>
      </c>
      <c r="H30" s="58" t="s">
        <v>723</v>
      </c>
      <c r="I30" s="58" t="s">
        <v>653</v>
      </c>
      <c r="J30" s="58" t="s">
        <v>620</v>
      </c>
      <c r="K30" s="58" t="s">
        <v>579</v>
      </c>
      <c r="L30">
        <v>3564</v>
      </c>
    </row>
    <row r="31" spans="1:12">
      <c r="A31" s="59">
        <v>30</v>
      </c>
      <c r="B31" s="58" t="s">
        <v>4</v>
      </c>
      <c r="C31" s="58" t="s">
        <v>4</v>
      </c>
      <c r="D31" s="58" t="s">
        <v>569</v>
      </c>
      <c r="E31" s="58" t="s">
        <v>717</v>
      </c>
      <c r="F31" s="58" t="s">
        <v>718</v>
      </c>
      <c r="G31" s="58" t="s">
        <v>766</v>
      </c>
      <c r="H31" s="58" t="s">
        <v>706</v>
      </c>
      <c r="I31" s="58" t="s">
        <v>148</v>
      </c>
      <c r="J31" s="58" t="s">
        <v>9</v>
      </c>
      <c r="K31" s="58" t="s">
        <v>579</v>
      </c>
      <c r="L31">
        <v>3551</v>
      </c>
    </row>
    <row r="32" spans="1:12">
      <c r="A32" s="59">
        <v>31</v>
      </c>
      <c r="B32" s="58" t="s">
        <v>2</v>
      </c>
      <c r="C32" s="58" t="s">
        <v>2</v>
      </c>
      <c r="D32" s="58" t="s">
        <v>569</v>
      </c>
      <c r="E32" s="58" t="s">
        <v>727</v>
      </c>
      <c r="F32" s="58" t="s">
        <v>728</v>
      </c>
      <c r="G32" s="58" t="s">
        <v>1035</v>
      </c>
      <c r="H32" s="58" t="s">
        <v>705</v>
      </c>
      <c r="I32" s="58" t="s">
        <v>659</v>
      </c>
      <c r="J32" s="58" t="s">
        <v>593</v>
      </c>
      <c r="K32" s="58" t="s">
        <v>570</v>
      </c>
      <c r="L32">
        <v>3635</v>
      </c>
    </row>
    <row r="33" spans="1:12">
      <c r="A33" s="59">
        <v>32</v>
      </c>
      <c r="B33" s="58" t="s">
        <v>5</v>
      </c>
      <c r="C33" s="58" t="s">
        <v>5</v>
      </c>
      <c r="D33" s="58" t="s">
        <v>569</v>
      </c>
      <c r="E33" s="58" t="s">
        <v>734</v>
      </c>
      <c r="F33" s="58" t="s">
        <v>735</v>
      </c>
      <c r="G33" s="58" t="s">
        <v>608</v>
      </c>
      <c r="H33" s="58" t="s">
        <v>736</v>
      </c>
      <c r="I33" s="58" t="s">
        <v>737</v>
      </c>
      <c r="J33" s="58" t="s">
        <v>738</v>
      </c>
      <c r="K33" s="58" t="s">
        <v>579</v>
      </c>
      <c r="L33">
        <v>3751</v>
      </c>
    </row>
    <row r="34" spans="1:12">
      <c r="A34" s="59">
        <v>33</v>
      </c>
      <c r="B34" s="58" t="s">
        <v>4</v>
      </c>
      <c r="C34" s="58" t="s">
        <v>4</v>
      </c>
      <c r="D34" s="58" t="s">
        <v>569</v>
      </c>
      <c r="E34" s="58" t="s">
        <v>744</v>
      </c>
      <c r="F34" s="58" t="s">
        <v>745</v>
      </c>
      <c r="G34" s="58" t="s">
        <v>777</v>
      </c>
      <c r="H34" s="58" t="s">
        <v>746</v>
      </c>
      <c r="I34" s="58" t="s">
        <v>747</v>
      </c>
      <c r="J34" s="58" t="s">
        <v>85</v>
      </c>
      <c r="K34" s="58" t="s">
        <v>743</v>
      </c>
      <c r="L34">
        <v>3944</v>
      </c>
    </row>
    <row r="35" spans="1:12">
      <c r="A35" s="59">
        <v>34</v>
      </c>
      <c r="B35" s="58" t="s">
        <v>7</v>
      </c>
      <c r="C35" s="58" t="s">
        <v>7</v>
      </c>
      <c r="D35" s="58" t="s">
        <v>569</v>
      </c>
      <c r="E35" s="58" t="s">
        <v>756</v>
      </c>
      <c r="F35" s="58" t="s">
        <v>757</v>
      </c>
      <c r="G35" s="58" t="s">
        <v>785</v>
      </c>
      <c r="H35" s="58" t="s">
        <v>758</v>
      </c>
      <c r="I35" s="58" t="s">
        <v>574</v>
      </c>
      <c r="J35" s="58" t="s">
        <v>575</v>
      </c>
      <c r="K35" s="58" t="s">
        <v>633</v>
      </c>
      <c r="L35">
        <v>4151</v>
      </c>
    </row>
    <row r="36" spans="1:12">
      <c r="A36" s="59">
        <v>35</v>
      </c>
      <c r="B36" s="58"/>
      <c r="C36" s="58"/>
      <c r="D36" s="58"/>
      <c r="E36" s="58"/>
      <c r="F36" s="58"/>
      <c r="G36" s="58" t="s">
        <v>792</v>
      </c>
      <c r="H36" s="58"/>
      <c r="I36" s="58"/>
      <c r="J36" s="58"/>
      <c r="K36" s="58"/>
      <c r="L36">
        <v>0</v>
      </c>
    </row>
    <row r="37" spans="1:12">
      <c r="A37" s="59">
        <v>36</v>
      </c>
      <c r="B37" s="58" t="s">
        <v>9</v>
      </c>
      <c r="C37" s="58" t="s">
        <v>9</v>
      </c>
      <c r="D37" s="58" t="s">
        <v>569</v>
      </c>
      <c r="E37" s="58" t="s">
        <v>762</v>
      </c>
      <c r="F37" s="58" t="s">
        <v>763</v>
      </c>
      <c r="G37" s="58" t="s">
        <v>799</v>
      </c>
      <c r="H37" s="58" t="s">
        <v>764</v>
      </c>
      <c r="I37" s="58" t="s">
        <v>148</v>
      </c>
      <c r="J37" s="58" t="s">
        <v>9</v>
      </c>
      <c r="K37" s="58" t="s">
        <v>570</v>
      </c>
      <c r="L37">
        <v>4826</v>
      </c>
    </row>
    <row r="38" spans="1:12">
      <c r="A38" s="59">
        <v>37</v>
      </c>
      <c r="B38" s="58" t="s">
        <v>12</v>
      </c>
      <c r="C38" s="58" t="s">
        <v>12</v>
      </c>
      <c r="D38" s="58" t="s">
        <v>569</v>
      </c>
      <c r="E38" s="58" t="s">
        <v>765</v>
      </c>
      <c r="F38" s="58" t="s">
        <v>766</v>
      </c>
      <c r="G38" s="58" t="s">
        <v>810</v>
      </c>
      <c r="H38" s="58" t="s">
        <v>614</v>
      </c>
      <c r="I38" s="58" t="s">
        <v>615</v>
      </c>
      <c r="J38" s="58" t="s">
        <v>616</v>
      </c>
      <c r="K38" s="58" t="s">
        <v>646</v>
      </c>
      <c r="L38">
        <v>5052</v>
      </c>
    </row>
    <row r="39" spans="1:12">
      <c r="A39" s="59">
        <v>38</v>
      </c>
      <c r="B39" s="58" t="s">
        <v>9</v>
      </c>
      <c r="C39" s="58" t="s">
        <v>9</v>
      </c>
      <c r="D39" s="58" t="s">
        <v>569</v>
      </c>
      <c r="E39" s="58" t="s">
        <v>1034</v>
      </c>
      <c r="F39" s="58" t="s">
        <v>1035</v>
      </c>
      <c r="G39" s="58" t="s">
        <v>792</v>
      </c>
      <c r="H39" s="58" t="s">
        <v>583</v>
      </c>
      <c r="I39" s="58" t="s">
        <v>148</v>
      </c>
      <c r="J39" s="58" t="s">
        <v>9</v>
      </c>
      <c r="K39" s="58" t="s">
        <v>579</v>
      </c>
      <c r="L39">
        <v>73894</v>
      </c>
    </row>
    <row r="40" spans="1:12">
      <c r="A40" s="59">
        <v>39</v>
      </c>
      <c r="B40" s="58" t="s">
        <v>7</v>
      </c>
      <c r="C40" s="58" t="s">
        <v>7</v>
      </c>
      <c r="D40" s="58" t="s">
        <v>569</v>
      </c>
      <c r="E40" s="58" t="s">
        <v>607</v>
      </c>
      <c r="F40" s="58" t="s">
        <v>608</v>
      </c>
      <c r="G40" s="58" t="s">
        <v>608</v>
      </c>
      <c r="H40" s="58" t="s">
        <v>609</v>
      </c>
      <c r="I40" s="58" t="s">
        <v>610</v>
      </c>
      <c r="J40" s="58" t="s">
        <v>575</v>
      </c>
      <c r="K40" s="58" t="s">
        <v>570</v>
      </c>
      <c r="L40">
        <v>5377</v>
      </c>
    </row>
    <row r="41" spans="1:12">
      <c r="A41" s="59">
        <v>40</v>
      </c>
      <c r="B41" s="58"/>
      <c r="C41" s="58"/>
      <c r="D41" s="58"/>
      <c r="E41" s="58"/>
      <c r="F41" s="58"/>
      <c r="G41" s="58" t="s">
        <v>603</v>
      </c>
      <c r="H41" s="58"/>
      <c r="I41" s="58"/>
      <c r="J41" s="58"/>
      <c r="K41" s="58"/>
      <c r="L41">
        <v>0</v>
      </c>
    </row>
    <row r="42" spans="1:12">
      <c r="A42" s="59">
        <v>41</v>
      </c>
      <c r="B42" s="58" t="s">
        <v>12</v>
      </c>
      <c r="C42" s="58" t="s">
        <v>12</v>
      </c>
      <c r="D42" s="58" t="s">
        <v>569</v>
      </c>
      <c r="E42" s="58" t="s">
        <v>776</v>
      </c>
      <c r="F42" s="58" t="s">
        <v>777</v>
      </c>
      <c r="G42" s="58" t="s">
        <v>676</v>
      </c>
      <c r="H42" s="58" t="s">
        <v>778</v>
      </c>
      <c r="I42" s="58" t="s">
        <v>779</v>
      </c>
      <c r="J42" s="58" t="s">
        <v>616</v>
      </c>
      <c r="K42" s="58" t="s">
        <v>579</v>
      </c>
      <c r="L42">
        <v>6113</v>
      </c>
    </row>
    <row r="43" spans="1:12">
      <c r="A43" s="59">
        <v>42</v>
      </c>
      <c r="B43" s="58"/>
      <c r="C43" s="58"/>
      <c r="D43" s="58"/>
      <c r="E43" s="58"/>
      <c r="F43" s="58"/>
      <c r="G43" s="58" t="s">
        <v>837</v>
      </c>
      <c r="H43" s="58"/>
      <c r="I43" s="58"/>
      <c r="J43" s="58"/>
      <c r="K43" s="58"/>
      <c r="L43">
        <v>0</v>
      </c>
    </row>
    <row r="44" spans="1:12">
      <c r="A44" s="59">
        <v>43</v>
      </c>
      <c r="B44" s="58"/>
      <c r="C44" s="58"/>
      <c r="D44" s="58"/>
      <c r="E44" s="58"/>
      <c r="F44" s="58"/>
      <c r="G44" s="58" t="s">
        <v>844</v>
      </c>
      <c r="H44" s="58"/>
      <c r="I44" s="58"/>
      <c r="J44" s="58"/>
      <c r="K44" s="58"/>
      <c r="L44">
        <v>0</v>
      </c>
    </row>
    <row r="45" spans="1:12">
      <c r="A45" s="59">
        <v>44</v>
      </c>
      <c r="B45" s="58" t="s">
        <v>8</v>
      </c>
      <c r="C45" s="58" t="s">
        <v>8</v>
      </c>
      <c r="D45" s="58" t="s">
        <v>569</v>
      </c>
      <c r="E45" s="58" t="s">
        <v>784</v>
      </c>
      <c r="F45" s="58" t="s">
        <v>785</v>
      </c>
      <c r="G45" s="58" t="s">
        <v>851</v>
      </c>
      <c r="H45" s="58" t="s">
        <v>786</v>
      </c>
      <c r="I45" s="58" t="s">
        <v>698</v>
      </c>
      <c r="J45" s="58" t="s">
        <v>624</v>
      </c>
      <c r="K45" s="58" t="s">
        <v>579</v>
      </c>
      <c r="L45">
        <v>6287</v>
      </c>
    </row>
    <row r="46" spans="1:12">
      <c r="A46" s="59">
        <v>45</v>
      </c>
      <c r="B46" s="58" t="s">
        <v>3</v>
      </c>
      <c r="C46" s="58" t="s">
        <v>3</v>
      </c>
      <c r="D46" s="58" t="s">
        <v>569</v>
      </c>
      <c r="E46" s="58" t="s">
        <v>791</v>
      </c>
      <c r="F46" s="58" t="s">
        <v>792</v>
      </c>
      <c r="G46" s="58" t="s">
        <v>857</v>
      </c>
      <c r="H46" s="58" t="s">
        <v>793</v>
      </c>
      <c r="I46" s="58" t="s">
        <v>688</v>
      </c>
      <c r="J46" s="58" t="s">
        <v>601</v>
      </c>
      <c r="K46" s="58" t="s">
        <v>579</v>
      </c>
      <c r="L46">
        <v>6595</v>
      </c>
    </row>
    <row r="47" spans="1:12">
      <c r="A47" s="59">
        <v>46</v>
      </c>
      <c r="B47" s="58" t="s">
        <v>8</v>
      </c>
      <c r="C47" s="58" t="s">
        <v>8</v>
      </c>
      <c r="D47" s="58" t="s">
        <v>569</v>
      </c>
      <c r="E47" s="58" t="s">
        <v>798</v>
      </c>
      <c r="F47" s="58" t="s">
        <v>799</v>
      </c>
      <c r="G47" s="58" t="s">
        <v>603</v>
      </c>
      <c r="H47" s="58" t="s">
        <v>771</v>
      </c>
      <c r="I47" s="58" t="s">
        <v>600</v>
      </c>
      <c r="J47" s="58" t="s">
        <v>601</v>
      </c>
      <c r="K47" s="58" t="s">
        <v>579</v>
      </c>
      <c r="L47">
        <v>7147</v>
      </c>
    </row>
    <row r="48" spans="1:12">
      <c r="A48" s="59">
        <v>47</v>
      </c>
      <c r="B48" s="58" t="s">
        <v>8</v>
      </c>
      <c r="C48" s="58" t="s">
        <v>8</v>
      </c>
      <c r="D48" s="58" t="s">
        <v>569</v>
      </c>
      <c r="E48" s="58" t="s">
        <v>809</v>
      </c>
      <c r="F48" s="58" t="s">
        <v>810</v>
      </c>
      <c r="G48" s="58" t="s">
        <v>697</v>
      </c>
      <c r="H48" s="58" t="s">
        <v>692</v>
      </c>
      <c r="I48" s="58" t="s">
        <v>693</v>
      </c>
      <c r="J48" s="58" t="s">
        <v>601</v>
      </c>
      <c r="K48" s="58" t="s">
        <v>646</v>
      </c>
      <c r="L48">
        <v>7166</v>
      </c>
    </row>
    <row r="49" spans="1:12">
      <c r="A49" s="59">
        <v>48</v>
      </c>
      <c r="B49" s="58" t="s">
        <v>3</v>
      </c>
      <c r="C49" s="58" t="s">
        <v>3</v>
      </c>
      <c r="D49" s="58" t="s">
        <v>569</v>
      </c>
      <c r="E49" s="58" t="s">
        <v>791</v>
      </c>
      <c r="F49" s="58" t="s">
        <v>792</v>
      </c>
      <c r="G49" s="58" t="s">
        <v>869</v>
      </c>
      <c r="H49" s="58" t="s">
        <v>793</v>
      </c>
      <c r="I49" s="58" t="s">
        <v>688</v>
      </c>
      <c r="J49" s="58" t="s">
        <v>601</v>
      </c>
      <c r="K49" s="58" t="s">
        <v>579</v>
      </c>
      <c r="L49">
        <v>7164</v>
      </c>
    </row>
    <row r="50" spans="1:12">
      <c r="A50" s="59">
        <v>49</v>
      </c>
      <c r="B50" s="58" t="s">
        <v>7</v>
      </c>
      <c r="C50" s="58" t="s">
        <v>7</v>
      </c>
      <c r="D50" s="58" t="s">
        <v>569</v>
      </c>
      <c r="E50" s="58" t="s">
        <v>641</v>
      </c>
      <c r="F50" s="58" t="s">
        <v>608</v>
      </c>
      <c r="G50" s="58" t="s">
        <v>676</v>
      </c>
      <c r="H50" s="58" t="s">
        <v>642</v>
      </c>
      <c r="I50" s="58" t="s">
        <v>610</v>
      </c>
      <c r="J50" s="58" t="s">
        <v>575</v>
      </c>
      <c r="K50" s="58" t="s">
        <v>570</v>
      </c>
      <c r="L50">
        <v>7345</v>
      </c>
    </row>
    <row r="51" spans="1:12">
      <c r="A51" s="59">
        <v>50</v>
      </c>
      <c r="B51" s="58" t="s">
        <v>6</v>
      </c>
      <c r="C51" s="58" t="s">
        <v>6</v>
      </c>
      <c r="D51" s="58" t="s">
        <v>569</v>
      </c>
      <c r="E51" s="58" t="s">
        <v>666</v>
      </c>
      <c r="F51" s="58" t="s">
        <v>603</v>
      </c>
      <c r="G51" s="58" t="s">
        <v>879</v>
      </c>
      <c r="H51" s="58" t="s">
        <v>103</v>
      </c>
      <c r="I51" s="58" t="s">
        <v>604</v>
      </c>
      <c r="J51" s="58" t="s">
        <v>593</v>
      </c>
      <c r="K51" s="58" t="s">
        <v>579</v>
      </c>
      <c r="L51">
        <v>7599</v>
      </c>
    </row>
    <row r="52" spans="1:12">
      <c r="A52" s="59">
        <v>51</v>
      </c>
      <c r="B52" s="58" t="s">
        <v>3</v>
      </c>
      <c r="C52" s="58" t="s">
        <v>3</v>
      </c>
      <c r="D52" s="58" t="s">
        <v>569</v>
      </c>
      <c r="E52" s="58" t="s">
        <v>675</v>
      </c>
      <c r="F52" s="58" t="s">
        <v>676</v>
      </c>
      <c r="G52" s="58" t="s">
        <v>830</v>
      </c>
      <c r="H52" s="58" t="s">
        <v>677</v>
      </c>
      <c r="I52" s="58" t="s">
        <v>678</v>
      </c>
      <c r="J52" s="58" t="s">
        <v>85</v>
      </c>
      <c r="K52" s="58" t="s">
        <v>579</v>
      </c>
      <c r="L52">
        <v>8526</v>
      </c>
    </row>
    <row r="53" spans="1:12">
      <c r="A53" s="59">
        <v>52</v>
      </c>
      <c r="B53" s="58" t="s">
        <v>8</v>
      </c>
      <c r="C53" s="58" t="s">
        <v>8</v>
      </c>
      <c r="D53" s="58" t="s">
        <v>569</v>
      </c>
      <c r="E53" s="58" t="s">
        <v>836</v>
      </c>
      <c r="F53" s="58" t="s">
        <v>837</v>
      </c>
      <c r="G53" s="58" t="s">
        <v>965</v>
      </c>
      <c r="H53" s="58" t="s">
        <v>771</v>
      </c>
      <c r="I53" s="58" t="s">
        <v>600</v>
      </c>
      <c r="J53" s="58" t="s">
        <v>601</v>
      </c>
      <c r="K53" s="58" t="s">
        <v>579</v>
      </c>
      <c r="L53">
        <v>8553</v>
      </c>
    </row>
    <row r="54" spans="1:12">
      <c r="A54" s="59">
        <v>53</v>
      </c>
      <c r="B54" s="58" t="s">
        <v>11</v>
      </c>
      <c r="C54" s="58" t="s">
        <v>11</v>
      </c>
      <c r="D54" s="58" t="s">
        <v>569</v>
      </c>
      <c r="E54" s="58" t="s">
        <v>843</v>
      </c>
      <c r="F54" s="58" t="s">
        <v>844</v>
      </c>
      <c r="G54" s="58" t="s">
        <v>608</v>
      </c>
      <c r="H54" s="58" t="s">
        <v>845</v>
      </c>
      <c r="I54" s="58" t="s">
        <v>592</v>
      </c>
      <c r="J54" s="58" t="s">
        <v>593</v>
      </c>
      <c r="K54" s="58" t="s">
        <v>570</v>
      </c>
      <c r="L54">
        <v>9284</v>
      </c>
    </row>
    <row r="55" spans="1:12">
      <c r="A55" s="59">
        <v>54</v>
      </c>
      <c r="B55" s="58" t="s">
        <v>11</v>
      </c>
      <c r="C55" s="58" t="s">
        <v>11</v>
      </c>
      <c r="D55" s="58" t="s">
        <v>569</v>
      </c>
      <c r="E55" s="58" t="s">
        <v>850</v>
      </c>
      <c r="F55" s="58" t="s">
        <v>851</v>
      </c>
      <c r="G55" s="58" t="s">
        <v>603</v>
      </c>
      <c r="H55" s="58" t="s">
        <v>599</v>
      </c>
      <c r="I55" s="58" t="s">
        <v>600</v>
      </c>
      <c r="J55" s="58" t="s">
        <v>601</v>
      </c>
      <c r="K55" s="58" t="s">
        <v>570</v>
      </c>
      <c r="L55">
        <v>9298</v>
      </c>
    </row>
    <row r="56" spans="1:12">
      <c r="A56" s="59">
        <v>55</v>
      </c>
      <c r="B56" s="58" t="s">
        <v>7</v>
      </c>
      <c r="C56" s="58" t="s">
        <v>7</v>
      </c>
      <c r="D56" s="58" t="s">
        <v>569</v>
      </c>
      <c r="E56" s="58" t="s">
        <v>856</v>
      </c>
      <c r="F56" s="58" t="s">
        <v>857</v>
      </c>
      <c r="G56" s="58" t="s">
        <v>591</v>
      </c>
      <c r="H56" s="58" t="s">
        <v>609</v>
      </c>
      <c r="I56" s="58" t="s">
        <v>610</v>
      </c>
      <c r="J56" s="58" t="s">
        <v>575</v>
      </c>
      <c r="K56" s="58" t="s">
        <v>579</v>
      </c>
      <c r="L56">
        <v>9829</v>
      </c>
    </row>
    <row r="57" spans="1:12">
      <c r="A57" s="59">
        <v>56</v>
      </c>
      <c r="B57" s="58" t="s">
        <v>6</v>
      </c>
      <c r="C57" s="58" t="s">
        <v>6</v>
      </c>
      <c r="D57" s="58" t="s">
        <v>569</v>
      </c>
      <c r="E57" s="58" t="s">
        <v>666</v>
      </c>
      <c r="F57" s="58" t="s">
        <v>603</v>
      </c>
      <c r="G57" s="58" t="s">
        <v>697</v>
      </c>
      <c r="H57" s="58" t="s">
        <v>103</v>
      </c>
      <c r="I57" s="58" t="s">
        <v>604</v>
      </c>
      <c r="J57" s="58" t="s">
        <v>593</v>
      </c>
      <c r="K57" s="58" t="s">
        <v>579</v>
      </c>
      <c r="L57">
        <v>9871</v>
      </c>
    </row>
    <row r="58" spans="1:12">
      <c r="A58" s="59">
        <v>57</v>
      </c>
      <c r="B58" s="58"/>
      <c r="C58" s="58"/>
      <c r="D58" s="58"/>
      <c r="E58" s="58"/>
      <c r="F58" s="58"/>
      <c r="G58" s="58" t="s">
        <v>603</v>
      </c>
      <c r="H58" s="58"/>
      <c r="I58" s="58"/>
      <c r="J58" s="58"/>
      <c r="K58" s="58"/>
      <c r="L58">
        <v>0</v>
      </c>
    </row>
    <row r="59" spans="1:12">
      <c r="A59" s="59">
        <v>58</v>
      </c>
      <c r="B59" s="58" t="s">
        <v>4</v>
      </c>
      <c r="C59" s="58" t="s">
        <v>4</v>
      </c>
      <c r="D59" s="58" t="s">
        <v>569</v>
      </c>
      <c r="E59" s="58" t="s">
        <v>733</v>
      </c>
      <c r="F59" s="58" t="s">
        <v>697</v>
      </c>
      <c r="G59" s="58" t="s">
        <v>903</v>
      </c>
      <c r="H59" s="58" t="s">
        <v>699</v>
      </c>
      <c r="I59" s="58" t="s">
        <v>653</v>
      </c>
      <c r="J59" s="58" t="s">
        <v>620</v>
      </c>
      <c r="K59" s="58" t="s">
        <v>743</v>
      </c>
      <c r="L59">
        <v>58857</v>
      </c>
    </row>
    <row r="60" spans="1:12">
      <c r="A60" s="59">
        <v>59</v>
      </c>
      <c r="B60" s="58" t="s">
        <v>8</v>
      </c>
      <c r="C60" s="58" t="s">
        <v>8</v>
      </c>
      <c r="D60" s="58" t="s">
        <v>569</v>
      </c>
      <c r="E60" s="58" t="s">
        <v>868</v>
      </c>
      <c r="F60" s="58" t="s">
        <v>869</v>
      </c>
      <c r="G60" s="58" t="s">
        <v>598</v>
      </c>
      <c r="H60" s="58" t="s">
        <v>771</v>
      </c>
      <c r="I60" s="58" t="s">
        <v>600</v>
      </c>
      <c r="J60" s="58" t="s">
        <v>601</v>
      </c>
      <c r="K60" s="58" t="s">
        <v>579</v>
      </c>
      <c r="L60" t="s">
        <v>867</v>
      </c>
    </row>
    <row r="61" spans="1:12">
      <c r="A61" s="59">
        <v>60</v>
      </c>
      <c r="B61" s="58" t="s">
        <v>3</v>
      </c>
      <c r="C61" s="58" t="s">
        <v>3</v>
      </c>
      <c r="D61" s="58" t="s">
        <v>569</v>
      </c>
      <c r="E61" s="58" t="s">
        <v>675</v>
      </c>
      <c r="F61" s="58" t="s">
        <v>676</v>
      </c>
      <c r="G61" s="58" t="s">
        <v>915</v>
      </c>
      <c r="H61" s="58" t="s">
        <v>677</v>
      </c>
      <c r="I61" s="58" t="s">
        <v>678</v>
      </c>
      <c r="J61" s="58" t="s">
        <v>85</v>
      </c>
      <c r="K61" s="58" t="s">
        <v>579</v>
      </c>
      <c r="L61">
        <v>11017</v>
      </c>
    </row>
    <row r="62" spans="1:12">
      <c r="A62" s="59">
        <v>61</v>
      </c>
      <c r="B62" s="58" t="s">
        <v>6</v>
      </c>
      <c r="C62" s="58" t="s">
        <v>6</v>
      </c>
      <c r="D62" s="58" t="s">
        <v>569</v>
      </c>
      <c r="E62" s="58" t="s">
        <v>878</v>
      </c>
      <c r="F62" s="58" t="s">
        <v>879</v>
      </c>
      <c r="G62" s="58" t="s">
        <v>921</v>
      </c>
      <c r="H62" s="58" t="s">
        <v>663</v>
      </c>
      <c r="I62" s="58" t="s">
        <v>664</v>
      </c>
      <c r="J62" s="58" t="s">
        <v>593</v>
      </c>
      <c r="K62" s="58" t="s">
        <v>570</v>
      </c>
      <c r="L62">
        <v>11421</v>
      </c>
    </row>
    <row r="63" spans="1:12">
      <c r="A63" s="59">
        <v>62</v>
      </c>
      <c r="B63" s="58" t="s">
        <v>3</v>
      </c>
      <c r="C63" s="58" t="s">
        <v>3</v>
      </c>
      <c r="D63" s="58" t="s">
        <v>569</v>
      </c>
      <c r="E63" s="58" t="s">
        <v>883</v>
      </c>
      <c r="F63" s="58" t="s">
        <v>830</v>
      </c>
      <c r="G63" s="58" t="s">
        <v>626</v>
      </c>
      <c r="H63" s="58" t="s">
        <v>884</v>
      </c>
      <c r="I63" s="58" t="s">
        <v>831</v>
      </c>
      <c r="J63" s="58" t="s">
        <v>114</v>
      </c>
      <c r="K63" s="58" t="s">
        <v>743</v>
      </c>
      <c r="L63">
        <v>11581</v>
      </c>
    </row>
    <row r="64" spans="1:12">
      <c r="A64" s="59">
        <v>63</v>
      </c>
      <c r="B64" s="58" t="s">
        <v>7</v>
      </c>
      <c r="C64" s="58" t="s">
        <v>7</v>
      </c>
      <c r="D64" s="58" t="s">
        <v>1041</v>
      </c>
      <c r="E64" s="58" t="s">
        <v>1042</v>
      </c>
      <c r="F64" s="58" t="s">
        <v>965</v>
      </c>
      <c r="G64" s="58" t="s">
        <v>697</v>
      </c>
      <c r="H64" s="58" t="s">
        <v>573</v>
      </c>
      <c r="I64" s="58" t="s">
        <v>574</v>
      </c>
      <c r="J64" s="58" t="s">
        <v>575</v>
      </c>
      <c r="K64" s="58" t="s">
        <v>570</v>
      </c>
      <c r="L64">
        <v>11651</v>
      </c>
    </row>
    <row r="65" spans="1:12">
      <c r="A65" s="59">
        <v>64</v>
      </c>
      <c r="B65" s="58" t="s">
        <v>7</v>
      </c>
      <c r="C65" s="58" t="s">
        <v>7</v>
      </c>
      <c r="D65" s="58" t="s">
        <v>569</v>
      </c>
      <c r="E65" s="58" t="s">
        <v>607</v>
      </c>
      <c r="F65" s="58" t="s">
        <v>608</v>
      </c>
      <c r="G65" s="58" t="s">
        <v>608</v>
      </c>
      <c r="H65" s="58" t="s">
        <v>609</v>
      </c>
      <c r="I65" s="58" t="s">
        <v>610</v>
      </c>
      <c r="J65" s="58" t="s">
        <v>575</v>
      </c>
      <c r="K65" s="58" t="s">
        <v>570</v>
      </c>
      <c r="L65">
        <v>11765</v>
      </c>
    </row>
    <row r="66" spans="1:12">
      <c r="A66" s="59">
        <v>65</v>
      </c>
      <c r="B66" s="58" t="s">
        <v>6</v>
      </c>
      <c r="C66" s="58" t="s">
        <v>6</v>
      </c>
      <c r="D66" s="58" t="s">
        <v>569</v>
      </c>
      <c r="E66" s="58" t="s">
        <v>602</v>
      </c>
      <c r="F66" s="58" t="s">
        <v>603</v>
      </c>
      <c r="G66" s="58" t="s">
        <v>934</v>
      </c>
      <c r="H66" s="58" t="s">
        <v>76</v>
      </c>
      <c r="I66" s="58" t="s">
        <v>604</v>
      </c>
      <c r="J66" s="58" t="s">
        <v>593</v>
      </c>
      <c r="K66" s="58" t="s">
        <v>570</v>
      </c>
      <c r="L66">
        <v>11796</v>
      </c>
    </row>
    <row r="67" spans="1:12">
      <c r="A67" s="59">
        <v>66</v>
      </c>
      <c r="B67" s="58" t="s">
        <v>11</v>
      </c>
      <c r="C67" s="58" t="s">
        <v>11</v>
      </c>
      <c r="D67" s="58" t="s">
        <v>569</v>
      </c>
      <c r="E67" s="58" t="s">
        <v>590</v>
      </c>
      <c r="F67" s="58" t="s">
        <v>591</v>
      </c>
      <c r="G67" s="58" t="s">
        <v>939</v>
      </c>
      <c r="H67" s="58" t="s">
        <v>74</v>
      </c>
      <c r="I67" s="58" t="s">
        <v>592</v>
      </c>
      <c r="J67" s="58" t="s">
        <v>593</v>
      </c>
      <c r="K67" s="58" t="s">
        <v>570</v>
      </c>
      <c r="L67">
        <v>11930</v>
      </c>
    </row>
    <row r="68" spans="1:12">
      <c r="A68" s="59">
        <v>67</v>
      </c>
      <c r="B68" s="58" t="s">
        <v>4</v>
      </c>
      <c r="C68" s="58" t="s">
        <v>4</v>
      </c>
      <c r="D68" s="58" t="s">
        <v>569</v>
      </c>
      <c r="E68" s="58" t="s">
        <v>1020</v>
      </c>
      <c r="F68" s="58" t="s">
        <v>697</v>
      </c>
      <c r="G68" s="58" t="s">
        <v>829</v>
      </c>
      <c r="H68" s="58" t="s">
        <v>699</v>
      </c>
      <c r="I68" s="58" t="s">
        <v>653</v>
      </c>
      <c r="J68" s="58" t="s">
        <v>620</v>
      </c>
      <c r="K68" s="58" t="s">
        <v>804</v>
      </c>
      <c r="L68">
        <v>42037</v>
      </c>
    </row>
    <row r="69" spans="1:12">
      <c r="A69" s="59">
        <v>68</v>
      </c>
      <c r="B69" s="58" t="s">
        <v>6</v>
      </c>
      <c r="C69" s="58" t="s">
        <v>6</v>
      </c>
      <c r="D69" s="58" t="s">
        <v>569</v>
      </c>
      <c r="E69" s="58" t="s">
        <v>666</v>
      </c>
      <c r="F69" s="58" t="s">
        <v>603</v>
      </c>
      <c r="G69" s="58" t="s">
        <v>950</v>
      </c>
      <c r="H69" s="58" t="s">
        <v>103</v>
      </c>
      <c r="I69" s="58" t="s">
        <v>604</v>
      </c>
      <c r="J69" s="58" t="s">
        <v>593</v>
      </c>
      <c r="K69" s="58" t="s">
        <v>579</v>
      </c>
      <c r="L69">
        <v>12406</v>
      </c>
    </row>
    <row r="70" spans="1:12">
      <c r="A70" s="59">
        <v>69</v>
      </c>
      <c r="B70" s="58"/>
      <c r="C70" s="58"/>
      <c r="D70" s="58"/>
      <c r="E70" s="58"/>
      <c r="F70" s="58"/>
      <c r="G70" s="58" t="s">
        <v>603</v>
      </c>
      <c r="H70" s="58"/>
      <c r="I70" s="58"/>
      <c r="J70" s="58"/>
      <c r="K70" s="58"/>
      <c r="L70">
        <v>0</v>
      </c>
    </row>
    <row r="71" spans="1:12">
      <c r="A71" s="59">
        <v>70</v>
      </c>
      <c r="B71" s="58"/>
      <c r="C71" s="58"/>
      <c r="D71" s="58"/>
      <c r="E71" s="58"/>
      <c r="F71" s="58"/>
      <c r="G71" s="58" t="s">
        <v>588</v>
      </c>
      <c r="H71" s="58"/>
      <c r="I71" s="58"/>
      <c r="J71" s="58"/>
      <c r="K71" s="58"/>
      <c r="L71">
        <v>0</v>
      </c>
    </row>
    <row r="72" spans="1:12">
      <c r="A72" s="59">
        <v>71</v>
      </c>
      <c r="B72" s="58" t="s">
        <v>3</v>
      </c>
      <c r="C72" s="58" t="s">
        <v>3</v>
      </c>
      <c r="D72" s="58" t="s">
        <v>569</v>
      </c>
      <c r="E72" s="58" t="s">
        <v>902</v>
      </c>
      <c r="F72" s="58" t="s">
        <v>903</v>
      </c>
      <c r="G72" s="58" t="s">
        <v>960</v>
      </c>
      <c r="H72" s="58" t="s">
        <v>904</v>
      </c>
      <c r="I72" s="58" t="s">
        <v>905</v>
      </c>
      <c r="J72" s="58" t="s">
        <v>906</v>
      </c>
      <c r="K72" s="58" t="s">
        <v>579</v>
      </c>
      <c r="L72">
        <v>13279</v>
      </c>
    </row>
    <row r="73" spans="1:12">
      <c r="A73" s="59">
        <v>72</v>
      </c>
      <c r="B73" s="58" t="s">
        <v>11</v>
      </c>
      <c r="C73" s="58" t="s">
        <v>11</v>
      </c>
      <c r="D73" s="58" t="s">
        <v>569</v>
      </c>
      <c r="E73" s="58" t="s">
        <v>597</v>
      </c>
      <c r="F73" s="58" t="s">
        <v>598</v>
      </c>
      <c r="G73" s="58" t="s">
        <v>745</v>
      </c>
      <c r="H73" s="58" t="s">
        <v>599</v>
      </c>
      <c r="I73" s="58" t="s">
        <v>600</v>
      </c>
      <c r="J73" s="58" t="s">
        <v>601</v>
      </c>
      <c r="K73" s="58" t="s">
        <v>579</v>
      </c>
      <c r="L73">
        <v>13604</v>
      </c>
    </row>
    <row r="74" spans="1:12">
      <c r="A74" s="59">
        <v>73</v>
      </c>
      <c r="B74" s="58" t="s">
        <v>5</v>
      </c>
      <c r="C74" s="58" t="s">
        <v>5</v>
      </c>
      <c r="D74" s="58" t="s">
        <v>569</v>
      </c>
      <c r="E74" s="58" t="s">
        <v>914</v>
      </c>
      <c r="F74" s="58" t="s">
        <v>915</v>
      </c>
      <c r="G74" s="58" t="s">
        <v>598</v>
      </c>
      <c r="H74" s="58" t="s">
        <v>736</v>
      </c>
      <c r="I74" s="58" t="s">
        <v>737</v>
      </c>
      <c r="J74" s="58" t="s">
        <v>738</v>
      </c>
      <c r="K74" s="58" t="s">
        <v>579</v>
      </c>
      <c r="L74">
        <v>13649</v>
      </c>
    </row>
    <row r="75" spans="1:12">
      <c r="A75" s="59">
        <v>74</v>
      </c>
      <c r="B75" s="58" t="s">
        <v>11</v>
      </c>
      <c r="C75" s="58" t="s">
        <v>11</v>
      </c>
      <c r="D75" s="58" t="s">
        <v>569</v>
      </c>
      <c r="E75" s="58" t="s">
        <v>920</v>
      </c>
      <c r="F75" s="58" t="s">
        <v>921</v>
      </c>
      <c r="G75" s="58" t="s">
        <v>603</v>
      </c>
      <c r="H75" s="58" t="s">
        <v>845</v>
      </c>
      <c r="I75" s="58" t="s">
        <v>592</v>
      </c>
      <c r="J75" s="58" t="s">
        <v>593</v>
      </c>
      <c r="K75" s="58" t="s">
        <v>570</v>
      </c>
      <c r="L75">
        <v>14013</v>
      </c>
    </row>
    <row r="76" spans="1:12">
      <c r="A76" s="59">
        <v>75</v>
      </c>
      <c r="B76" s="58" t="s">
        <v>6</v>
      </c>
      <c r="C76" s="58" t="s">
        <v>6</v>
      </c>
      <c r="D76" s="58" t="s">
        <v>569</v>
      </c>
      <c r="E76" s="58" t="s">
        <v>625</v>
      </c>
      <c r="F76" s="58" t="s">
        <v>626</v>
      </c>
      <c r="G76" s="58" t="s">
        <v>728</v>
      </c>
      <c r="H76" s="58" t="s">
        <v>663</v>
      </c>
      <c r="I76" s="58" t="s">
        <v>664</v>
      </c>
      <c r="J76" s="58" t="s">
        <v>593</v>
      </c>
      <c r="K76" s="58" t="s">
        <v>570</v>
      </c>
      <c r="L76">
        <v>58304</v>
      </c>
    </row>
    <row r="77" spans="1:12">
      <c r="A77" s="59">
        <v>76</v>
      </c>
      <c r="B77" s="58" t="s">
        <v>4</v>
      </c>
      <c r="C77" s="58" t="s">
        <v>4</v>
      </c>
      <c r="D77" s="58" t="s">
        <v>569</v>
      </c>
      <c r="E77" s="58" t="s">
        <v>926</v>
      </c>
      <c r="F77" s="58" t="s">
        <v>697</v>
      </c>
      <c r="G77" s="58" t="s">
        <v>753</v>
      </c>
      <c r="H77" s="58" t="s">
        <v>699</v>
      </c>
      <c r="I77" s="58" t="s">
        <v>653</v>
      </c>
      <c r="J77" s="58" t="s">
        <v>620</v>
      </c>
      <c r="K77" s="58" t="s">
        <v>579</v>
      </c>
      <c r="L77">
        <v>14605</v>
      </c>
    </row>
    <row r="78" spans="1:12">
      <c r="A78" s="59">
        <v>77</v>
      </c>
      <c r="B78" s="58" t="s">
        <v>7</v>
      </c>
      <c r="C78" s="58" t="s">
        <v>7</v>
      </c>
      <c r="D78" s="58" t="s">
        <v>569</v>
      </c>
      <c r="E78" s="58" t="s">
        <v>607</v>
      </c>
      <c r="F78" s="58" t="s">
        <v>608</v>
      </c>
      <c r="G78" s="58" t="s">
        <v>655</v>
      </c>
      <c r="H78" s="58" t="s">
        <v>609</v>
      </c>
      <c r="I78" s="58" t="s">
        <v>610</v>
      </c>
      <c r="J78" s="58" t="s">
        <v>575</v>
      </c>
      <c r="K78" s="58" t="s">
        <v>570</v>
      </c>
      <c r="L78">
        <v>14683</v>
      </c>
    </row>
    <row r="79" spans="1:12">
      <c r="A79" s="59">
        <v>78</v>
      </c>
      <c r="B79" s="58" t="s">
        <v>4</v>
      </c>
      <c r="C79" s="58" t="s">
        <v>4</v>
      </c>
      <c r="D79" s="58" t="s">
        <v>569</v>
      </c>
      <c r="E79" s="58" t="s">
        <v>933</v>
      </c>
      <c r="F79" s="58" t="s">
        <v>934</v>
      </c>
      <c r="G79" s="58" t="s">
        <v>785</v>
      </c>
      <c r="H79" s="58" t="s">
        <v>619</v>
      </c>
      <c r="I79" s="58" t="s">
        <v>82</v>
      </c>
      <c r="J79" s="58" t="s">
        <v>620</v>
      </c>
      <c r="K79" s="58" t="s">
        <v>579</v>
      </c>
      <c r="L79">
        <v>14712</v>
      </c>
    </row>
    <row r="80" spans="1:12">
      <c r="A80" s="59">
        <v>79</v>
      </c>
      <c r="B80" s="58" t="s">
        <v>4</v>
      </c>
      <c r="C80" s="58" t="s">
        <v>4</v>
      </c>
      <c r="D80" s="58" t="s">
        <v>569</v>
      </c>
      <c r="E80" s="58" t="s">
        <v>938</v>
      </c>
      <c r="F80" s="58" t="s">
        <v>939</v>
      </c>
      <c r="G80" s="58" t="s">
        <v>603</v>
      </c>
      <c r="H80" s="58" t="s">
        <v>706</v>
      </c>
      <c r="I80" s="58" t="s">
        <v>148</v>
      </c>
      <c r="J80" s="58" t="s">
        <v>9</v>
      </c>
      <c r="K80" s="58" t="s">
        <v>579</v>
      </c>
      <c r="L80">
        <v>15132</v>
      </c>
    </row>
    <row r="81" spans="1:12">
      <c r="A81" s="59">
        <v>80</v>
      </c>
      <c r="B81" s="58" t="s">
        <v>11</v>
      </c>
      <c r="C81" s="58" t="s">
        <v>11</v>
      </c>
      <c r="D81" s="58" t="s">
        <v>569</v>
      </c>
      <c r="E81" s="58" t="s">
        <v>944</v>
      </c>
      <c r="F81" s="58" t="s">
        <v>829</v>
      </c>
      <c r="G81" s="58" t="s">
        <v>994</v>
      </c>
      <c r="H81" s="58" t="s">
        <v>599</v>
      </c>
      <c r="I81" s="58" t="s">
        <v>600</v>
      </c>
      <c r="J81" s="58" t="s">
        <v>601</v>
      </c>
      <c r="K81" s="58" t="s">
        <v>579</v>
      </c>
      <c r="L81">
        <v>15419</v>
      </c>
    </row>
    <row r="82" spans="1:12">
      <c r="A82" s="59">
        <v>81</v>
      </c>
      <c r="B82" s="58"/>
      <c r="C82" s="58"/>
      <c r="D82" s="58"/>
      <c r="E82" s="58"/>
      <c r="F82" s="58"/>
      <c r="G82" s="58" t="s">
        <v>626</v>
      </c>
      <c r="H82" s="58"/>
      <c r="I82" s="58"/>
      <c r="J82" s="58"/>
      <c r="K82" s="58"/>
      <c r="L82">
        <v>0</v>
      </c>
    </row>
    <row r="83" spans="1:12">
      <c r="A83" s="59">
        <v>82</v>
      </c>
      <c r="B83" s="58" t="s">
        <v>11</v>
      </c>
      <c r="C83" s="58" t="s">
        <v>11</v>
      </c>
      <c r="D83" s="58" t="s">
        <v>569</v>
      </c>
      <c r="E83" s="58" t="s">
        <v>949</v>
      </c>
      <c r="F83" s="58" t="s">
        <v>950</v>
      </c>
      <c r="G83" s="58" t="s">
        <v>1003</v>
      </c>
      <c r="H83" s="58" t="s">
        <v>74</v>
      </c>
      <c r="I83" s="58" t="s">
        <v>592</v>
      </c>
      <c r="J83" s="58" t="s">
        <v>593</v>
      </c>
      <c r="K83" s="58" t="s">
        <v>570</v>
      </c>
      <c r="L83">
        <v>16158</v>
      </c>
    </row>
    <row r="84" spans="1:12">
      <c r="A84" s="59">
        <v>83</v>
      </c>
      <c r="B84" s="58"/>
      <c r="C84" s="58"/>
      <c r="D84" s="58"/>
      <c r="E84" s="58"/>
      <c r="F84" s="58"/>
      <c r="G84" s="58" t="s">
        <v>745</v>
      </c>
      <c r="H84" s="58"/>
      <c r="I84" s="58"/>
      <c r="J84" s="58"/>
      <c r="K84" s="58"/>
      <c r="L84">
        <v>0</v>
      </c>
    </row>
    <row r="85" spans="1:12">
      <c r="A85" s="59">
        <v>84</v>
      </c>
      <c r="B85" s="58" t="s">
        <v>10</v>
      </c>
      <c r="C85" s="58" t="s">
        <v>10</v>
      </c>
      <c r="D85" s="58" t="s">
        <v>569</v>
      </c>
      <c r="E85" s="58" t="s">
        <v>842</v>
      </c>
      <c r="F85" s="58" t="s">
        <v>603</v>
      </c>
      <c r="G85" s="58" t="s">
        <v>603</v>
      </c>
      <c r="H85" s="58" t="s">
        <v>665</v>
      </c>
      <c r="I85" s="58" t="s">
        <v>604</v>
      </c>
      <c r="J85" s="58" t="s">
        <v>593</v>
      </c>
      <c r="K85" s="58" t="s">
        <v>570</v>
      </c>
      <c r="L85">
        <v>17069</v>
      </c>
    </row>
    <row r="86" spans="1:12">
      <c r="A86" s="59">
        <v>85</v>
      </c>
      <c r="B86" s="58" t="s">
        <v>12</v>
      </c>
      <c r="C86" s="58" t="s">
        <v>12</v>
      </c>
      <c r="D86" s="58" t="s">
        <v>569</v>
      </c>
      <c r="E86" s="58" t="s">
        <v>943</v>
      </c>
      <c r="F86" s="58" t="s">
        <v>588</v>
      </c>
      <c r="G86" s="58"/>
      <c r="H86" s="58" t="s">
        <v>614</v>
      </c>
      <c r="I86" s="58" t="s">
        <v>615</v>
      </c>
      <c r="J86" s="58" t="s">
        <v>616</v>
      </c>
      <c r="K86" s="58" t="s">
        <v>579</v>
      </c>
      <c r="L86">
        <v>18951</v>
      </c>
    </row>
    <row r="87" spans="1:12">
      <c r="A87" s="59">
        <v>86</v>
      </c>
      <c r="B87" s="58" t="s">
        <v>3</v>
      </c>
      <c r="C87" s="58" t="s">
        <v>3</v>
      </c>
      <c r="D87" s="58" t="s">
        <v>569</v>
      </c>
      <c r="E87" s="58" t="s">
        <v>959</v>
      </c>
      <c r="F87" s="58" t="s">
        <v>960</v>
      </c>
      <c r="G87" s="58"/>
      <c r="H87" s="58" t="s">
        <v>961</v>
      </c>
      <c r="I87" s="58" t="s">
        <v>831</v>
      </c>
      <c r="J87" s="58" t="s">
        <v>114</v>
      </c>
      <c r="K87" s="58" t="s">
        <v>579</v>
      </c>
      <c r="L87">
        <v>17652</v>
      </c>
    </row>
    <row r="88" spans="1:12">
      <c r="A88" s="59">
        <v>87</v>
      </c>
      <c r="B88" s="58" t="s">
        <v>4</v>
      </c>
      <c r="C88" s="58" t="s">
        <v>4</v>
      </c>
      <c r="D88" s="58" t="s">
        <v>569</v>
      </c>
      <c r="E88" s="58" t="s">
        <v>744</v>
      </c>
      <c r="F88" s="58" t="s">
        <v>745</v>
      </c>
      <c r="G88" s="58"/>
      <c r="H88" s="58" t="s">
        <v>746</v>
      </c>
      <c r="I88" s="58" t="s">
        <v>747</v>
      </c>
      <c r="J88" s="58" t="s">
        <v>85</v>
      </c>
      <c r="K88" s="58" t="s">
        <v>579</v>
      </c>
      <c r="L88">
        <v>18320</v>
      </c>
    </row>
    <row r="89" spans="1:12">
      <c r="A89" s="59">
        <v>88</v>
      </c>
      <c r="B89" s="58" t="s">
        <v>11</v>
      </c>
      <c r="C89" s="58" t="s">
        <v>11</v>
      </c>
      <c r="D89" s="58" t="s">
        <v>569</v>
      </c>
      <c r="E89" s="58" t="s">
        <v>597</v>
      </c>
      <c r="F89" s="58" t="s">
        <v>598</v>
      </c>
      <c r="G89" s="58"/>
      <c r="H89" s="58" t="s">
        <v>599</v>
      </c>
      <c r="I89" s="58" t="s">
        <v>600</v>
      </c>
      <c r="J89" s="58" t="s">
        <v>601</v>
      </c>
      <c r="K89" s="58" t="s">
        <v>579</v>
      </c>
      <c r="L89">
        <v>18640</v>
      </c>
    </row>
    <row r="90" spans="1:12">
      <c r="A90" s="59">
        <v>89</v>
      </c>
      <c r="B90" s="58" t="s">
        <v>6</v>
      </c>
      <c r="C90" s="58" t="s">
        <v>6</v>
      </c>
      <c r="D90" s="58" t="s">
        <v>569</v>
      </c>
      <c r="E90" s="58" t="s">
        <v>670</v>
      </c>
      <c r="F90" s="58" t="s">
        <v>603</v>
      </c>
      <c r="G90" s="58"/>
      <c r="H90" s="58" t="s">
        <v>606</v>
      </c>
      <c r="I90" s="58" t="s">
        <v>604</v>
      </c>
      <c r="J90" s="58" t="s">
        <v>593</v>
      </c>
      <c r="K90" s="58" t="s">
        <v>570</v>
      </c>
      <c r="L90">
        <v>1464</v>
      </c>
    </row>
    <row r="91" spans="1:12">
      <c r="A91" s="59">
        <v>90</v>
      </c>
      <c r="B91" s="58" t="s">
        <v>2</v>
      </c>
      <c r="C91" s="58" t="s">
        <v>2</v>
      </c>
      <c r="D91" s="58" t="s">
        <v>569</v>
      </c>
      <c r="E91" s="58" t="s">
        <v>727</v>
      </c>
      <c r="F91" s="58" t="s">
        <v>728</v>
      </c>
      <c r="G91" s="58"/>
      <c r="H91" s="58" t="s">
        <v>705</v>
      </c>
      <c r="I91" s="58" t="s">
        <v>659</v>
      </c>
      <c r="J91" s="58" t="s">
        <v>593</v>
      </c>
      <c r="K91" s="58" t="s">
        <v>570</v>
      </c>
      <c r="L91">
        <v>20384</v>
      </c>
    </row>
    <row r="92" spans="1:12">
      <c r="A92" s="59">
        <v>91</v>
      </c>
      <c r="B92" s="58"/>
      <c r="C92" s="58"/>
      <c r="D92" s="58"/>
      <c r="E92" s="58"/>
      <c r="F92" s="58"/>
      <c r="G92" s="58"/>
      <c r="H92" s="58"/>
      <c r="I92" s="58"/>
      <c r="J92" s="58"/>
      <c r="K92" s="58"/>
      <c r="L92">
        <v>0</v>
      </c>
    </row>
    <row r="93" spans="1:12">
      <c r="A93" s="59">
        <v>92</v>
      </c>
      <c r="B93" s="58" t="s">
        <v>8</v>
      </c>
      <c r="C93" s="58" t="s">
        <v>8</v>
      </c>
      <c r="D93" s="58" t="s">
        <v>569</v>
      </c>
      <c r="E93" s="58" t="s">
        <v>752</v>
      </c>
      <c r="F93" s="58" t="s">
        <v>753</v>
      </c>
      <c r="G93" s="58"/>
      <c r="H93" s="58" t="s">
        <v>754</v>
      </c>
      <c r="I93" s="58" t="s">
        <v>755</v>
      </c>
      <c r="J93" s="58" t="s">
        <v>624</v>
      </c>
      <c r="K93" s="58" t="s">
        <v>579</v>
      </c>
      <c r="L93">
        <v>19845</v>
      </c>
    </row>
    <row r="94" spans="1:12">
      <c r="A94" s="59">
        <v>93</v>
      </c>
      <c r="B94" s="58" t="s">
        <v>7</v>
      </c>
      <c r="C94" s="58" t="s">
        <v>7</v>
      </c>
      <c r="D94" s="58" t="s">
        <v>569</v>
      </c>
      <c r="E94" s="58" t="s">
        <v>654</v>
      </c>
      <c r="F94" s="58" t="s">
        <v>655</v>
      </c>
      <c r="G94" s="58"/>
      <c r="H94" s="58" t="s">
        <v>712</v>
      </c>
      <c r="I94" s="58" t="s">
        <v>704</v>
      </c>
      <c r="J94" s="58" t="s">
        <v>593</v>
      </c>
      <c r="K94" s="58" t="s">
        <v>570</v>
      </c>
      <c r="L94">
        <v>19858</v>
      </c>
    </row>
    <row r="95" spans="1:12">
      <c r="A95" s="59">
        <v>94</v>
      </c>
      <c r="B95" s="58" t="s">
        <v>8</v>
      </c>
      <c r="C95" s="58" t="s">
        <v>8</v>
      </c>
      <c r="D95" s="58" t="s">
        <v>569</v>
      </c>
      <c r="E95" s="58" t="s">
        <v>784</v>
      </c>
      <c r="F95" s="58" t="s">
        <v>785</v>
      </c>
      <c r="G95" s="58"/>
      <c r="H95" s="58" t="s">
        <v>786</v>
      </c>
      <c r="I95" s="58" t="s">
        <v>698</v>
      </c>
      <c r="J95" s="58" t="s">
        <v>624</v>
      </c>
      <c r="K95" s="58" t="s">
        <v>579</v>
      </c>
      <c r="L95">
        <v>19898</v>
      </c>
    </row>
    <row r="96" spans="1:12">
      <c r="A96" s="59">
        <v>95</v>
      </c>
      <c r="B96" s="58" t="s">
        <v>6</v>
      </c>
      <c r="C96" s="58" t="s">
        <v>6</v>
      </c>
      <c r="D96" s="58" t="s">
        <v>569</v>
      </c>
      <c r="E96" s="58" t="s">
        <v>670</v>
      </c>
      <c r="F96" s="58" t="s">
        <v>603</v>
      </c>
      <c r="G96" s="58"/>
      <c r="H96" s="58" t="s">
        <v>103</v>
      </c>
      <c r="I96" s="58" t="s">
        <v>604</v>
      </c>
      <c r="J96" s="58" t="s">
        <v>593</v>
      </c>
      <c r="K96" s="58" t="s">
        <v>570</v>
      </c>
      <c r="L96">
        <v>19593</v>
      </c>
    </row>
    <row r="97" spans="1:12">
      <c r="A97" s="59">
        <v>96</v>
      </c>
      <c r="B97" s="58" t="s">
        <v>2</v>
      </c>
      <c r="C97" s="58" t="s">
        <v>2</v>
      </c>
      <c r="D97" s="58" t="s">
        <v>569</v>
      </c>
      <c r="E97" s="58" t="s">
        <v>993</v>
      </c>
      <c r="F97" s="58" t="s">
        <v>994</v>
      </c>
      <c r="G97" s="58"/>
      <c r="H97" s="58" t="s">
        <v>658</v>
      </c>
      <c r="I97" s="58" t="s">
        <v>659</v>
      </c>
      <c r="J97" s="58" t="s">
        <v>593</v>
      </c>
      <c r="K97" s="58" t="s">
        <v>646</v>
      </c>
      <c r="L97">
        <v>20175</v>
      </c>
    </row>
    <row r="98" spans="1:12">
      <c r="A98" s="59">
        <v>97</v>
      </c>
      <c r="B98" s="58" t="s">
        <v>6</v>
      </c>
      <c r="C98" s="58" t="s">
        <v>6</v>
      </c>
      <c r="D98" s="58" t="s">
        <v>569</v>
      </c>
      <c r="E98" s="58" t="s">
        <v>625</v>
      </c>
      <c r="F98" s="58" t="s">
        <v>626</v>
      </c>
      <c r="G98" s="58"/>
      <c r="H98" s="58" t="s">
        <v>663</v>
      </c>
      <c r="I98" s="58" t="s">
        <v>664</v>
      </c>
      <c r="J98" s="58" t="s">
        <v>593</v>
      </c>
      <c r="K98" s="58" t="s">
        <v>570</v>
      </c>
      <c r="L98">
        <v>22867</v>
      </c>
    </row>
    <row r="99" spans="1:12">
      <c r="A99" s="59">
        <v>98</v>
      </c>
      <c r="B99" s="58" t="s">
        <v>7</v>
      </c>
      <c r="C99" s="58" t="s">
        <v>7</v>
      </c>
      <c r="D99" s="58" t="s">
        <v>569</v>
      </c>
      <c r="E99" s="58" t="s">
        <v>1002</v>
      </c>
      <c r="F99" s="58" t="s">
        <v>1003</v>
      </c>
      <c r="G99" s="58"/>
      <c r="H99" s="58" t="s">
        <v>866</v>
      </c>
      <c r="I99" s="58" t="s">
        <v>747</v>
      </c>
      <c r="J99" s="58" t="s">
        <v>85</v>
      </c>
      <c r="K99" s="58" t="s">
        <v>579</v>
      </c>
      <c r="L99">
        <v>20398</v>
      </c>
    </row>
    <row r="100" spans="1:12">
      <c r="A100" s="59">
        <v>99</v>
      </c>
      <c r="B100" s="58" t="s">
        <v>4</v>
      </c>
      <c r="C100" s="58" t="s">
        <v>4</v>
      </c>
      <c r="D100" s="58" t="s">
        <v>569</v>
      </c>
      <c r="E100" s="58" t="s">
        <v>744</v>
      </c>
      <c r="F100" s="58" t="s">
        <v>745</v>
      </c>
      <c r="G100" s="58"/>
      <c r="H100" s="58" t="s">
        <v>746</v>
      </c>
      <c r="I100" s="58" t="s">
        <v>747</v>
      </c>
      <c r="J100" s="58" t="s">
        <v>85</v>
      </c>
      <c r="K100" s="58" t="s">
        <v>743</v>
      </c>
      <c r="L100">
        <v>20402</v>
      </c>
    </row>
    <row r="101" spans="1:12">
      <c r="A101" s="59">
        <v>100</v>
      </c>
      <c r="B101" s="58" t="s">
        <v>6</v>
      </c>
      <c r="C101" s="58" t="s">
        <v>6</v>
      </c>
      <c r="D101" s="58" t="s">
        <v>569</v>
      </c>
      <c r="E101" s="58" t="s">
        <v>670</v>
      </c>
      <c r="F101" s="58" t="s">
        <v>603</v>
      </c>
      <c r="G101" s="58"/>
      <c r="H101" s="58" t="s">
        <v>103</v>
      </c>
      <c r="I101" s="58" t="s">
        <v>604</v>
      </c>
      <c r="J101" s="58" t="s">
        <v>593</v>
      </c>
      <c r="K101" s="58" t="s">
        <v>579</v>
      </c>
      <c r="L101">
        <v>20575</v>
      </c>
    </row>
    <row r="1048561" spans="1:1">
      <c r="A1048561" s="57"/>
    </row>
    <row r="1048562" spans="1:1">
      <c r="A1048562" s="58"/>
    </row>
    <row r="1048563" spans="1:1">
      <c r="A1048563" s="58"/>
    </row>
    <row r="1048564" spans="1:1">
      <c r="A1048564" s="58"/>
    </row>
    <row r="1048565" spans="1:1">
      <c r="A1048565" s="58"/>
    </row>
    <row r="1048566" spans="1:1">
      <c r="A1048566" s="58"/>
    </row>
    <row r="1048567" spans="1:1">
      <c r="A1048567" s="58"/>
    </row>
    <row r="1048568" spans="1:1">
      <c r="A1048568" s="58"/>
    </row>
    <row r="1048569" spans="1:1">
      <c r="A1048569" s="58"/>
    </row>
    <row r="1048570" spans="1:1">
      <c r="A1048570" s="58"/>
    </row>
    <row r="1048571" spans="1:1">
      <c r="A1048571" s="58"/>
    </row>
    <row r="1048572" spans="1:1">
      <c r="A1048572" s="58"/>
    </row>
    <row r="1048573" spans="1:1">
      <c r="A1048573" s="58"/>
    </row>
    <row r="1048574" spans="1:1">
      <c r="A1048574" s="58"/>
    </row>
    <row r="1048575" spans="1:1">
      <c r="A1048575" s="58"/>
    </row>
    <row r="1048576" spans="1:1">
      <c r="A1048576" s="58"/>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9D116-36A4-49D9-912E-41FFB66E8BE8}">
  <sheetPr filterMode="1"/>
  <dimension ref="A1:F1048576"/>
  <sheetViews>
    <sheetView showGridLines="0" workbookViewId="0">
      <selection activeCell="E8" sqref="E8"/>
    </sheetView>
  </sheetViews>
  <sheetFormatPr defaultRowHeight="12.75"/>
  <cols>
    <col min="1" max="1" width="12.85546875" bestFit="1" customWidth="1"/>
    <col min="2" max="2" width="10.5703125" bestFit="1" customWidth="1"/>
    <col min="3" max="3" width="11.42578125" bestFit="1" customWidth="1"/>
    <col min="4" max="4" width="13.140625" bestFit="1" customWidth="1"/>
    <col min="5" max="5" width="26.5703125" customWidth="1"/>
    <col min="6" max="6" width="35.140625" customWidth="1"/>
  </cols>
  <sheetData>
    <row r="1" spans="1:6">
      <c r="A1" s="60" t="s">
        <v>557</v>
      </c>
      <c r="B1" s="70" t="s">
        <v>1053</v>
      </c>
      <c r="C1" s="60" t="s">
        <v>1054</v>
      </c>
      <c r="D1" s="60" t="s">
        <v>1055</v>
      </c>
      <c r="E1" s="57"/>
      <c r="F1" s="57"/>
    </row>
    <row r="2" spans="1:6">
      <c r="A2" s="59">
        <f>companies!A2</f>
        <v>1</v>
      </c>
      <c r="B2" s="58">
        <v>2019</v>
      </c>
      <c r="C2" s="63">
        <v>32136000000</v>
      </c>
      <c r="D2" s="63">
        <v>4570000000</v>
      </c>
      <c r="E2" s="58"/>
      <c r="F2" s="58"/>
    </row>
    <row r="3" spans="1:6">
      <c r="A3" s="59">
        <f>companies!A3</f>
        <v>2</v>
      </c>
      <c r="B3" s="58">
        <v>2019</v>
      </c>
      <c r="C3" s="63">
        <v>31904000000</v>
      </c>
      <c r="D3" s="63">
        <v>3687000000</v>
      </c>
      <c r="E3" s="58"/>
      <c r="F3" s="58"/>
    </row>
    <row r="4" spans="1:6">
      <c r="A4" s="59">
        <f>companies!A4</f>
        <v>3</v>
      </c>
      <c r="B4" s="58">
        <v>2019</v>
      </c>
      <c r="C4" s="63">
        <v>33266000000</v>
      </c>
      <c r="D4" s="63">
        <v>5697000000</v>
      </c>
      <c r="E4" s="58"/>
      <c r="F4" s="58"/>
    </row>
    <row r="5" spans="1:6">
      <c r="A5" s="59">
        <f>companies!A5</f>
        <v>4</v>
      </c>
      <c r="B5" s="58">
        <v>2019</v>
      </c>
      <c r="C5" s="63">
        <v>43200000000</v>
      </c>
      <c r="D5" s="63">
        <v>4780000000</v>
      </c>
      <c r="E5" s="58"/>
      <c r="F5" s="58"/>
    </row>
    <row r="6" spans="1:6">
      <c r="A6" s="59">
        <f>companies!A6</f>
        <v>5</v>
      </c>
      <c r="B6" s="58">
        <v>2019</v>
      </c>
      <c r="C6" s="63">
        <v>11171000000</v>
      </c>
      <c r="D6" s="63">
        <v>2951000000</v>
      </c>
      <c r="E6" s="58"/>
      <c r="F6" s="58"/>
    </row>
    <row r="7" spans="1:6">
      <c r="A7" s="59">
        <f>companies!A7</f>
        <v>6</v>
      </c>
      <c r="B7" s="58">
        <v>2019</v>
      </c>
      <c r="C7" s="63">
        <v>44675000000</v>
      </c>
      <c r="D7" s="63">
        <v>4847000000</v>
      </c>
      <c r="E7" s="58"/>
      <c r="F7" s="58"/>
    </row>
    <row r="8" spans="1:6">
      <c r="A8" s="59">
        <f>companies!A8</f>
        <v>7</v>
      </c>
      <c r="B8" s="58">
        <v>2019</v>
      </c>
      <c r="C8" s="63">
        <v>161857000000</v>
      </c>
      <c r="D8" s="63">
        <v>34340000000</v>
      </c>
      <c r="E8" s="58"/>
      <c r="F8" s="58"/>
    </row>
    <row r="9" spans="1:6">
      <c r="A9" s="59">
        <f>companies!A9</f>
        <v>8</v>
      </c>
      <c r="B9" s="58">
        <v>2019</v>
      </c>
      <c r="C9" s="63">
        <v>25364000000</v>
      </c>
      <c r="D9" s="63">
        <v>6963000000</v>
      </c>
      <c r="E9" s="58"/>
      <c r="F9" s="58"/>
    </row>
    <row r="10" spans="1:6">
      <c r="A10" s="59">
        <f>companies!A10</f>
        <v>9</v>
      </c>
      <c r="B10" s="58">
        <v>2019</v>
      </c>
      <c r="C10" s="63">
        <v>280000000000</v>
      </c>
      <c r="D10" s="63">
        <v>11588000000</v>
      </c>
    </row>
    <row r="11" spans="1:6">
      <c r="A11" s="59">
        <f>companies!A11</f>
        <v>10</v>
      </c>
      <c r="B11" s="58">
        <v>2019</v>
      </c>
      <c r="C11" s="63">
        <v>43556000000</v>
      </c>
      <c r="D11" s="63">
        <v>6921000000</v>
      </c>
      <c r="E11" s="58"/>
      <c r="F11" s="58"/>
    </row>
    <row r="12" spans="1:6">
      <c r="A12" s="59">
        <f>companies!A12</f>
        <v>11</v>
      </c>
      <c r="B12" s="58">
        <v>2019</v>
      </c>
      <c r="C12" s="63">
        <v>49750000000</v>
      </c>
      <c r="D12" s="63">
        <v>3300000000</v>
      </c>
      <c r="E12" s="58"/>
      <c r="F12" s="58"/>
    </row>
    <row r="13" spans="1:6">
      <c r="A13" s="59">
        <f>companies!A13</f>
        <v>12</v>
      </c>
      <c r="B13" s="58">
        <v>2019</v>
      </c>
      <c r="C13" s="63">
        <v>7580000000</v>
      </c>
      <c r="D13" s="63">
        <v>1888000000</v>
      </c>
      <c r="E13" s="58"/>
      <c r="F13" s="58"/>
    </row>
    <row r="14" spans="1:6">
      <c r="A14" s="59">
        <f>companies!A14</f>
        <v>13</v>
      </c>
      <c r="B14" s="58">
        <v>2019</v>
      </c>
      <c r="C14" s="63">
        <v>23400000000</v>
      </c>
      <c r="D14" s="63">
        <v>7840000000</v>
      </c>
      <c r="E14" s="58"/>
      <c r="F14" s="58"/>
    </row>
    <row r="15" spans="1:6">
      <c r="A15" s="59">
        <f>companies!A15</f>
        <v>14</v>
      </c>
      <c r="B15" s="58">
        <v>2019</v>
      </c>
      <c r="C15" s="63">
        <v>260174000000</v>
      </c>
      <c r="D15" s="63">
        <v>55256000000</v>
      </c>
      <c r="E15" s="58"/>
      <c r="F15" s="58"/>
    </row>
    <row r="16" spans="1:6">
      <c r="A16" s="59">
        <f>companies!A16</f>
        <v>15</v>
      </c>
      <c r="B16" s="58">
        <v>2019</v>
      </c>
      <c r="C16" s="63">
        <v>181200000000</v>
      </c>
      <c r="D16" s="63">
        <v>13900000000</v>
      </c>
      <c r="E16" s="58"/>
      <c r="F16" s="58"/>
    </row>
    <row r="17" spans="1:6">
      <c r="A17" s="59">
        <f>companies!A17</f>
        <v>16</v>
      </c>
      <c r="B17" s="58">
        <v>2019</v>
      </c>
      <c r="C17" s="63">
        <v>91240000000</v>
      </c>
      <c r="D17" s="63">
        <v>25998000000</v>
      </c>
      <c r="E17" s="58"/>
      <c r="F17" s="58"/>
    </row>
    <row r="18" spans="1:6">
      <c r="A18" s="59">
        <f>companies!A18</f>
        <v>17</v>
      </c>
      <c r="B18" s="58">
        <v>2019</v>
      </c>
      <c r="C18" s="63">
        <v>254616000000</v>
      </c>
      <c r="D18" s="63">
        <v>81417000000</v>
      </c>
    </row>
    <row r="19" spans="1:6">
      <c r="A19" s="59">
        <f>companies!A19</f>
        <v>18</v>
      </c>
      <c r="B19" s="58">
        <v>2019</v>
      </c>
      <c r="C19" s="63">
        <v>13500000000</v>
      </c>
      <c r="D19" s="63">
        <v>4400000000</v>
      </c>
      <c r="E19" s="58"/>
      <c r="F19" s="58"/>
    </row>
    <row r="20" spans="1:6">
      <c r="A20" s="59">
        <f>companies!A20</f>
        <v>19</v>
      </c>
      <c r="B20" s="58">
        <v>2019</v>
      </c>
      <c r="C20" s="63">
        <v>14539000000</v>
      </c>
      <c r="D20" s="63">
        <v>4484000000</v>
      </c>
      <c r="E20" s="58"/>
      <c r="F20" s="58"/>
    </row>
    <row r="21" spans="1:6">
      <c r="A21" s="59">
        <f>companies!A21</f>
        <v>20</v>
      </c>
      <c r="B21" s="58">
        <v>2019</v>
      </c>
      <c r="C21" s="63">
        <v>76559000000</v>
      </c>
      <c r="D21" s="63">
        <v>-636000000</v>
      </c>
      <c r="E21" s="58"/>
      <c r="F21" s="58"/>
    </row>
    <row r="22" spans="1:6">
      <c r="A22" s="59">
        <f>companies!A22</f>
        <v>21</v>
      </c>
      <c r="B22" s="58">
        <v>2019</v>
      </c>
      <c r="C22" s="63">
        <v>15066000000</v>
      </c>
      <c r="D22" s="63">
        <v>4865000000</v>
      </c>
    </row>
    <row r="23" spans="1:6">
      <c r="A23" s="59">
        <f>companies!A23</f>
        <v>22</v>
      </c>
      <c r="B23" s="58">
        <v>2019</v>
      </c>
      <c r="C23" s="63">
        <v>26145000000</v>
      </c>
      <c r="D23" s="63">
        <v>3439000000</v>
      </c>
      <c r="E23" s="58"/>
      <c r="F23" s="58"/>
    </row>
    <row r="24" spans="1:6">
      <c r="A24" s="59">
        <f>companies!A24</f>
        <v>23</v>
      </c>
      <c r="B24" s="58">
        <v>2019</v>
      </c>
      <c r="C24" s="63">
        <v>28600000000</v>
      </c>
      <c r="D24" s="63">
        <v>5192000000</v>
      </c>
      <c r="E24" s="58"/>
      <c r="F24" s="58"/>
    </row>
    <row r="25" spans="1:6">
      <c r="A25" s="59">
        <f>companies!A25</f>
        <v>24</v>
      </c>
      <c r="B25" s="58">
        <v>2019</v>
      </c>
      <c r="C25" s="63">
        <v>53800000000</v>
      </c>
      <c r="D25" s="63">
        <v>6093000000</v>
      </c>
    </row>
    <row r="26" spans="1:6">
      <c r="A26" s="59">
        <f>companies!A26</f>
        <v>25</v>
      </c>
      <c r="B26" s="58">
        <v>2019</v>
      </c>
      <c r="C26" s="63">
        <v>45764000000</v>
      </c>
      <c r="D26" s="63">
        <v>1668000000</v>
      </c>
    </row>
    <row r="27" spans="1:6">
      <c r="A27" s="59">
        <f>companies!A27</f>
        <v>26</v>
      </c>
      <c r="B27" s="58">
        <v>2019</v>
      </c>
      <c r="C27" s="63">
        <v>146516000000</v>
      </c>
      <c r="D27" s="63">
        <v>2924000000</v>
      </c>
    </row>
    <row r="28" spans="1:6">
      <c r="A28" s="59">
        <f>companies!A28</f>
        <v>27</v>
      </c>
      <c r="B28" s="58">
        <v>2019</v>
      </c>
      <c r="C28" s="63">
        <v>51900000000</v>
      </c>
      <c r="D28" s="63">
        <v>11620000000</v>
      </c>
      <c r="E28" s="58"/>
      <c r="F28" s="58"/>
    </row>
    <row r="29" spans="1:6">
      <c r="A29" s="59">
        <f>companies!A29</f>
        <v>28</v>
      </c>
      <c r="B29" s="58">
        <v>2019</v>
      </c>
      <c r="C29" s="63">
        <v>103449000000</v>
      </c>
      <c r="D29" s="63">
        <v>18171000000</v>
      </c>
      <c r="E29" s="58"/>
      <c r="F29" s="58"/>
    </row>
    <row r="30" spans="1:6">
      <c r="A30" s="59">
        <f>companies!A30</f>
        <v>29</v>
      </c>
      <c r="B30" s="58">
        <v>2019</v>
      </c>
      <c r="C30" s="63">
        <v>37266000000</v>
      </c>
      <c r="D30" s="63">
        <v>38640000000</v>
      </c>
      <c r="E30" s="58"/>
      <c r="F30" s="58"/>
    </row>
    <row r="31" spans="1:6">
      <c r="A31" s="59">
        <f>companies!A31</f>
        <v>30</v>
      </c>
      <c r="B31" s="58">
        <v>2019</v>
      </c>
      <c r="C31" s="63">
        <v>15693000000</v>
      </c>
      <c r="D31" s="63">
        <v>2367000000</v>
      </c>
      <c r="E31" s="58"/>
      <c r="F31" s="58"/>
    </row>
    <row r="32" spans="1:6">
      <c r="A32" s="59">
        <f>companies!A32</f>
        <v>31</v>
      </c>
      <c r="B32" s="58">
        <v>2019</v>
      </c>
      <c r="C32" s="63">
        <v>108942000000</v>
      </c>
      <c r="D32" s="63">
        <v>13057000000</v>
      </c>
      <c r="E32" s="58"/>
      <c r="F32" s="58"/>
    </row>
    <row r="33" spans="1:6">
      <c r="A33" s="59">
        <f>companies!A33</f>
        <v>32</v>
      </c>
      <c r="B33" s="58">
        <v>2019</v>
      </c>
      <c r="C33" s="63">
        <v>36670000000</v>
      </c>
      <c r="D33" s="63">
        <v>7189000000</v>
      </c>
      <c r="E33" s="58"/>
      <c r="F33" s="58"/>
    </row>
    <row r="34" spans="1:6">
      <c r="A34" s="59">
        <f>companies!A34</f>
        <v>33</v>
      </c>
      <c r="B34" s="58">
        <v>2019</v>
      </c>
      <c r="C34" s="63">
        <v>152703000000</v>
      </c>
      <c r="D34" s="63">
        <v>3659000000</v>
      </c>
      <c r="E34" s="58"/>
      <c r="F34" s="58"/>
    </row>
    <row r="35" spans="1:6">
      <c r="A35" s="59">
        <f>companies!A35</f>
        <v>34</v>
      </c>
      <c r="B35" s="58">
        <v>2019</v>
      </c>
      <c r="C35" s="63">
        <v>256776000000</v>
      </c>
      <c r="D35" s="63">
        <v>6634000000</v>
      </c>
      <c r="E35" s="58"/>
      <c r="F35" s="58"/>
    </row>
    <row r="36" spans="1:6">
      <c r="A36" s="59">
        <f>companies!A36</f>
        <v>35</v>
      </c>
      <c r="B36" s="58">
        <v>2019</v>
      </c>
      <c r="C36" s="63">
        <v>17910000000</v>
      </c>
      <c r="D36" s="63">
        <v>2940000000</v>
      </c>
    </row>
    <row r="37" spans="1:6">
      <c r="A37" s="59">
        <f>companies!A37</f>
        <v>36</v>
      </c>
      <c r="B37" s="58">
        <v>2019</v>
      </c>
      <c r="C37" s="63">
        <v>42951000000</v>
      </c>
      <c r="D37" s="63">
        <v>-1359000000</v>
      </c>
      <c r="E37" s="58"/>
      <c r="F37" s="58"/>
    </row>
    <row r="38" spans="1:6">
      <c r="A38" s="59">
        <f>companies!A38</f>
        <v>37</v>
      </c>
      <c r="B38" s="58">
        <v>2019</v>
      </c>
      <c r="C38" s="63">
        <v>25079000000</v>
      </c>
      <c r="D38" s="63">
        <v>3707000000</v>
      </c>
      <c r="E38" s="58"/>
      <c r="F38" s="58"/>
    </row>
    <row r="39" spans="1:6">
      <c r="A39" s="59">
        <f>companies!A39</f>
        <v>38</v>
      </c>
      <c r="B39" s="58">
        <v>2019</v>
      </c>
      <c r="C39" s="63">
        <v>21570000000</v>
      </c>
      <c r="D39" s="63">
        <v>498000000</v>
      </c>
      <c r="E39" s="58"/>
      <c r="F39" s="58"/>
    </row>
    <row r="40" spans="1:6">
      <c r="A40" s="59">
        <f>companies!A40</f>
        <v>39</v>
      </c>
      <c r="B40" s="58">
        <v>2019</v>
      </c>
      <c r="C40" s="63">
        <v>22320000000</v>
      </c>
      <c r="D40" s="63">
        <v>8318000000</v>
      </c>
      <c r="E40" s="58"/>
      <c r="F40" s="58"/>
    </row>
    <row r="41" spans="1:6">
      <c r="A41" s="59">
        <f>companies!A41</f>
        <v>40</v>
      </c>
      <c r="B41" s="58">
        <v>2019</v>
      </c>
      <c r="C41" s="63">
        <v>18372000000</v>
      </c>
      <c r="D41" s="63">
        <v>2306000000</v>
      </c>
    </row>
    <row r="42" spans="1:6">
      <c r="A42" s="59">
        <f>companies!A42</f>
        <v>41</v>
      </c>
      <c r="B42" s="58">
        <v>2019</v>
      </c>
      <c r="C42" s="63">
        <v>34438000000</v>
      </c>
      <c r="D42" s="63">
        <v>2936000000</v>
      </c>
      <c r="E42" s="58"/>
      <c r="F42" s="58"/>
    </row>
    <row r="43" spans="1:6">
      <c r="A43" s="59">
        <f>companies!A43</f>
        <v>42</v>
      </c>
      <c r="B43" s="58">
        <v>2019</v>
      </c>
      <c r="C43" s="63">
        <v>264938000000</v>
      </c>
      <c r="D43" s="63">
        <v>14340000000</v>
      </c>
    </row>
    <row r="44" spans="1:6">
      <c r="A44" s="59">
        <f>companies!A44</f>
        <v>43</v>
      </c>
      <c r="B44" s="58">
        <v>2019</v>
      </c>
      <c r="C44" s="63">
        <v>70697000000</v>
      </c>
      <c r="D44" s="63">
        <v>18485000000</v>
      </c>
    </row>
    <row r="45" spans="1:6">
      <c r="A45" s="59">
        <f>companies!A45</f>
        <v>44</v>
      </c>
      <c r="B45" s="58">
        <v>2019</v>
      </c>
      <c r="C45" s="63">
        <v>69693000000</v>
      </c>
      <c r="D45" s="63">
        <v>540000000</v>
      </c>
      <c r="E45" s="58"/>
      <c r="F45" s="58"/>
    </row>
    <row r="46" spans="1:6">
      <c r="A46" s="59">
        <f>companies!A46</f>
        <v>45</v>
      </c>
      <c r="B46" s="58">
        <v>2019</v>
      </c>
      <c r="C46" s="63">
        <v>155900000000</v>
      </c>
      <c r="D46" s="63">
        <v>47000000</v>
      </c>
      <c r="E46" s="58"/>
      <c r="F46" s="58"/>
    </row>
    <row r="47" spans="1:6">
      <c r="A47" s="59">
        <f>companies!A47</f>
        <v>46</v>
      </c>
      <c r="B47" s="58">
        <v>2019</v>
      </c>
      <c r="C47" s="63">
        <v>39350000000</v>
      </c>
      <c r="D47" s="63">
        <v>3484000000</v>
      </c>
      <c r="E47" s="58"/>
      <c r="F47" s="58"/>
    </row>
    <row r="48" spans="1:6">
      <c r="A48" s="59">
        <f>companies!A48</f>
        <v>47</v>
      </c>
      <c r="B48" s="58">
        <v>2019</v>
      </c>
      <c r="C48" s="63">
        <v>95214000000</v>
      </c>
      <c r="D48" s="63">
        <v>-5439000000</v>
      </c>
      <c r="E48" s="58"/>
      <c r="F48" s="58"/>
    </row>
    <row r="49" spans="1:6">
      <c r="A49" s="59">
        <f>companies!A49</f>
        <v>48</v>
      </c>
      <c r="B49" s="58">
        <v>2019</v>
      </c>
      <c r="C49" s="63">
        <v>137237000000</v>
      </c>
      <c r="D49" s="63">
        <v>6581000000</v>
      </c>
      <c r="E49" s="58"/>
      <c r="F49" s="58"/>
    </row>
    <row r="50" spans="1:6">
      <c r="A50" s="59">
        <f>companies!A50</f>
        <v>49</v>
      </c>
      <c r="B50" s="58">
        <v>2019</v>
      </c>
      <c r="C50" s="63">
        <v>22449000000</v>
      </c>
      <c r="D50" s="63">
        <v>5386000000</v>
      </c>
      <c r="E50" s="58"/>
      <c r="F50" s="58"/>
    </row>
    <row r="51" spans="1:6">
      <c r="A51" s="59">
        <f>companies!A51</f>
        <v>50</v>
      </c>
      <c r="B51" s="58">
        <v>2019</v>
      </c>
      <c r="C51" s="63">
        <v>36546000000</v>
      </c>
      <c r="D51" s="63">
        <v>8470000000</v>
      </c>
      <c r="E51" s="58"/>
      <c r="F51" s="58"/>
    </row>
    <row r="52" spans="1:6">
      <c r="A52" s="59">
        <f>companies!A52</f>
        <v>51</v>
      </c>
      <c r="B52" s="58">
        <v>2019</v>
      </c>
      <c r="C52" s="63">
        <v>110200000000</v>
      </c>
      <c r="D52" s="63">
        <v>11240000000</v>
      </c>
      <c r="E52" s="58"/>
      <c r="F52" s="58"/>
    </row>
    <row r="53" spans="1:6">
      <c r="A53" s="59">
        <f>companies!A53</f>
        <v>52</v>
      </c>
      <c r="B53" s="58">
        <v>2019</v>
      </c>
      <c r="C53" s="63">
        <v>36709000000</v>
      </c>
      <c r="D53" s="63">
        <v>6143000000</v>
      </c>
      <c r="E53" s="58"/>
      <c r="F53" s="58"/>
    </row>
    <row r="54" spans="1:6">
      <c r="A54" s="59">
        <f>companies!A54</f>
        <v>53</v>
      </c>
      <c r="B54" s="58">
        <v>2019</v>
      </c>
      <c r="C54" s="63">
        <v>77140000000</v>
      </c>
      <c r="D54" s="63">
        <v>9430000000</v>
      </c>
      <c r="E54" s="58"/>
      <c r="F54" s="58"/>
    </row>
    <row r="55" spans="1:6">
      <c r="A55" s="59">
        <f>companies!A55</f>
        <v>54</v>
      </c>
      <c r="B55" s="58">
        <v>2019</v>
      </c>
      <c r="C55" s="63">
        <v>71900000000</v>
      </c>
      <c r="D55" s="63">
        <v>21000000000</v>
      </c>
      <c r="E55" s="58"/>
      <c r="F55" s="58"/>
    </row>
    <row r="56" spans="1:6">
      <c r="A56" s="59">
        <f>companies!A56</f>
        <v>55</v>
      </c>
      <c r="B56" s="58">
        <v>2019</v>
      </c>
      <c r="C56" s="63">
        <v>82060000000</v>
      </c>
      <c r="D56" s="63">
        <v>15120000000</v>
      </c>
      <c r="E56" s="58"/>
      <c r="F56" s="58"/>
    </row>
    <row r="57" spans="1:6">
      <c r="A57" s="59">
        <f>companies!A57</f>
        <v>56</v>
      </c>
      <c r="B57" s="58">
        <v>2019</v>
      </c>
      <c r="C57" s="63">
        <v>115600000000</v>
      </c>
      <c r="D57" s="63">
        <v>36430000000</v>
      </c>
      <c r="E57" s="58"/>
      <c r="F57" s="58"/>
    </row>
    <row r="58" spans="1:6">
      <c r="A58" s="59">
        <f>companies!A58</f>
        <v>57</v>
      </c>
      <c r="B58" s="58">
        <v>2019</v>
      </c>
      <c r="C58" s="63">
        <v>13209000000</v>
      </c>
      <c r="D58" s="63">
        <v>2190000000</v>
      </c>
    </row>
    <row r="59" spans="1:6">
      <c r="A59" s="59">
        <f>companies!A59</f>
        <v>58</v>
      </c>
      <c r="B59" s="58">
        <v>2019</v>
      </c>
      <c r="C59" s="63">
        <v>24970000000</v>
      </c>
      <c r="D59" s="63">
        <v>1935000000</v>
      </c>
      <c r="E59" s="58"/>
      <c r="F59" s="58"/>
    </row>
    <row r="60" spans="1:6">
      <c r="A60" s="59">
        <f>companies!A60</f>
        <v>59</v>
      </c>
      <c r="B60" s="58">
        <v>2019</v>
      </c>
      <c r="C60" s="63">
        <v>59810000000</v>
      </c>
      <c r="D60" s="63">
        <v>6230000000</v>
      </c>
      <c r="E60" s="58"/>
      <c r="F60" s="58"/>
    </row>
    <row r="61" spans="1:6">
      <c r="A61" s="59">
        <f>companies!A61</f>
        <v>60</v>
      </c>
      <c r="B61" s="58">
        <v>2019</v>
      </c>
      <c r="C61" s="63">
        <v>71300000000</v>
      </c>
      <c r="D61" s="63">
        <v>2307000000</v>
      </c>
      <c r="E61" s="58"/>
      <c r="F61" s="58"/>
    </row>
    <row r="62" spans="1:6">
      <c r="A62" s="59">
        <f>companies!A62</f>
        <v>61</v>
      </c>
      <c r="B62" s="58">
        <v>2019</v>
      </c>
      <c r="C62" s="63">
        <v>16883000000</v>
      </c>
      <c r="D62" s="63">
        <v>8120000000</v>
      </c>
      <c r="E62" s="58"/>
      <c r="F62" s="58"/>
    </row>
    <row r="63" spans="1:6">
      <c r="A63" s="59">
        <f>companies!A63</f>
        <v>62</v>
      </c>
      <c r="B63" s="58">
        <v>2019</v>
      </c>
      <c r="C63" s="63">
        <v>21076000000</v>
      </c>
      <c r="D63" s="63">
        <v>6025000000</v>
      </c>
      <c r="E63" s="58"/>
      <c r="F63" s="58"/>
    </row>
    <row r="64" spans="1:6">
      <c r="A64" s="59">
        <f>companies!A64</f>
        <v>63</v>
      </c>
      <c r="B64" s="58">
        <v>2019</v>
      </c>
      <c r="C64" s="63">
        <v>30557000000</v>
      </c>
      <c r="D64" s="63">
        <v>4631000000</v>
      </c>
      <c r="E64" s="58"/>
      <c r="F64" s="58"/>
    </row>
    <row r="65" spans="1:6">
      <c r="A65" s="59">
        <f>companies!A65</f>
        <v>64</v>
      </c>
      <c r="B65" s="58">
        <v>2019</v>
      </c>
      <c r="C65" s="63">
        <v>42290000000</v>
      </c>
      <c r="D65" s="63">
        <v>6220000000</v>
      </c>
      <c r="E65" s="58"/>
      <c r="F65" s="58"/>
    </row>
    <row r="66" spans="1:6">
      <c r="A66" s="59">
        <f>companies!A66</f>
        <v>65</v>
      </c>
      <c r="B66" s="58">
        <v>2019</v>
      </c>
      <c r="C66" s="63">
        <v>67941000000</v>
      </c>
      <c r="D66" s="63">
        <v>5070000000</v>
      </c>
      <c r="E66" s="58"/>
      <c r="F66" s="58"/>
    </row>
    <row r="67" spans="1:6">
      <c r="A67" s="59">
        <f>companies!A67</f>
        <v>66</v>
      </c>
      <c r="B67" s="58">
        <v>2019</v>
      </c>
      <c r="C67" s="63">
        <v>125800000000</v>
      </c>
      <c r="D67" s="63">
        <v>39240000000</v>
      </c>
      <c r="E67" s="58"/>
      <c r="F67" s="58"/>
    </row>
    <row r="68" spans="1:6">
      <c r="A68" s="59">
        <f>companies!A68</f>
        <v>67</v>
      </c>
      <c r="B68" s="58">
        <v>2019</v>
      </c>
      <c r="C68" s="63">
        <v>25870000000</v>
      </c>
      <c r="D68" s="63">
        <v>3870000000</v>
      </c>
      <c r="E68" s="58"/>
      <c r="F68" s="58"/>
    </row>
    <row r="69" spans="1:6">
      <c r="A69" s="59">
        <f>companies!A69</f>
        <v>68</v>
      </c>
      <c r="B69" s="58">
        <v>2019</v>
      </c>
      <c r="C69" s="63">
        <v>41419000000</v>
      </c>
      <c r="D69" s="63">
        <v>8512000000</v>
      </c>
      <c r="E69" s="58"/>
      <c r="F69" s="58"/>
    </row>
    <row r="70" spans="1:6">
      <c r="A70" s="59">
        <f>companies!A70</f>
        <v>69</v>
      </c>
      <c r="B70" s="58">
        <v>2019</v>
      </c>
      <c r="C70" s="63">
        <v>20160000000</v>
      </c>
      <c r="D70" s="63">
        <v>1866000000</v>
      </c>
    </row>
    <row r="71" spans="1:6">
      <c r="A71" s="59">
        <f>companies!A71</f>
        <v>70</v>
      </c>
      <c r="B71" s="58">
        <v>2019</v>
      </c>
      <c r="C71" s="63">
        <v>19204000000</v>
      </c>
      <c r="D71" s="63">
        <v>3769000000</v>
      </c>
    </row>
    <row r="72" spans="1:6">
      <c r="A72" s="59">
        <f>companies!A72</f>
        <v>71</v>
      </c>
      <c r="B72" s="58">
        <v>2019</v>
      </c>
      <c r="C72" s="63">
        <v>39100000000</v>
      </c>
      <c r="D72" s="63">
        <v>4000000000</v>
      </c>
      <c r="E72" s="58"/>
      <c r="F72" s="58"/>
    </row>
    <row r="73" spans="1:6">
      <c r="A73" s="59">
        <f>companies!A73</f>
        <v>72</v>
      </c>
      <c r="B73" s="58">
        <v>2019</v>
      </c>
      <c r="C73" s="63">
        <v>11720000000</v>
      </c>
      <c r="D73" s="63">
        <v>4141000000</v>
      </c>
      <c r="E73" s="58"/>
      <c r="F73" s="58"/>
    </row>
    <row r="74" spans="1:6">
      <c r="A74" s="59">
        <f>companies!A74</f>
        <v>73</v>
      </c>
      <c r="B74" s="58">
        <v>2019</v>
      </c>
      <c r="C74" s="63">
        <v>21230000000</v>
      </c>
      <c r="D74" s="63">
        <v>-652000000</v>
      </c>
      <c r="E74" s="58"/>
      <c r="F74" s="58"/>
    </row>
    <row r="75" spans="1:6">
      <c r="A75" s="59">
        <f>companies!A75</f>
        <v>74</v>
      </c>
      <c r="B75" s="58">
        <v>2019</v>
      </c>
      <c r="C75" s="63">
        <v>39500000000</v>
      </c>
      <c r="D75" s="63">
        <v>11080000000</v>
      </c>
      <c r="E75" s="58"/>
      <c r="F75" s="58"/>
    </row>
    <row r="76" spans="1:6">
      <c r="A76" s="59">
        <f>companies!A76</f>
        <v>75</v>
      </c>
      <c r="B76" s="58">
        <v>2019</v>
      </c>
      <c r="C76" s="63">
        <v>17770000000</v>
      </c>
      <c r="D76" s="63">
        <v>2459000000</v>
      </c>
      <c r="E76" s="58"/>
      <c r="F76" s="58"/>
    </row>
    <row r="77" spans="1:6">
      <c r="A77" s="59">
        <f>companies!A77</f>
        <v>76</v>
      </c>
      <c r="B77" s="58">
        <v>2019</v>
      </c>
      <c r="C77" s="63">
        <v>67160000000</v>
      </c>
      <c r="D77" s="63">
        <v>7353000000</v>
      </c>
      <c r="E77" s="58"/>
      <c r="F77" s="58"/>
    </row>
    <row r="78" spans="1:6">
      <c r="A78" s="59">
        <f>companies!A78</f>
        <v>77</v>
      </c>
      <c r="B78" s="58">
        <v>2019</v>
      </c>
      <c r="C78" s="63">
        <v>51750000000</v>
      </c>
      <c r="D78" s="63">
        <v>16270000000</v>
      </c>
      <c r="E78" s="58"/>
      <c r="F78" s="58"/>
    </row>
    <row r="79" spans="1:6">
      <c r="A79" s="59">
        <f>companies!A79</f>
        <v>78</v>
      </c>
      <c r="B79" s="58">
        <v>2019</v>
      </c>
      <c r="C79" s="63">
        <v>79820000000</v>
      </c>
      <c r="D79" s="63">
        <v>7910000000</v>
      </c>
      <c r="E79" s="58"/>
      <c r="F79" s="58"/>
    </row>
    <row r="80" spans="1:6">
      <c r="A80" s="59">
        <f>companies!A80</f>
        <v>79</v>
      </c>
      <c r="B80" s="58">
        <v>2019</v>
      </c>
      <c r="C80" s="63">
        <v>67680000000</v>
      </c>
      <c r="D80" s="63">
        <v>3890000000</v>
      </c>
      <c r="E80" s="58"/>
      <c r="F80" s="58"/>
    </row>
    <row r="81" spans="1:6">
      <c r="A81" s="59">
        <f>companies!A81</f>
        <v>80</v>
      </c>
      <c r="B81" s="58">
        <v>2019</v>
      </c>
      <c r="C81" s="63">
        <v>24270000000</v>
      </c>
      <c r="D81" s="63">
        <v>4390000000</v>
      </c>
      <c r="E81" s="58"/>
      <c r="F81" s="58"/>
    </row>
    <row r="82" spans="1:6">
      <c r="A82" s="59">
        <f>companies!A82</f>
        <v>81</v>
      </c>
      <c r="B82" s="58">
        <v>2019</v>
      </c>
      <c r="C82" s="63">
        <v>29176000000</v>
      </c>
      <c r="D82" s="63">
        <v>3343000000</v>
      </c>
    </row>
    <row r="83" spans="1:6">
      <c r="A83" s="59">
        <f>companies!A83</f>
        <v>82</v>
      </c>
      <c r="B83" s="58">
        <v>2019</v>
      </c>
      <c r="C83" s="63">
        <v>13280000000</v>
      </c>
      <c r="D83" s="63">
        <v>1110000000</v>
      </c>
      <c r="E83" s="58"/>
      <c r="F83" s="58"/>
    </row>
    <row r="84" spans="1:6">
      <c r="A84" s="59">
        <f>companies!A84</f>
        <v>83</v>
      </c>
      <c r="B84" s="58">
        <v>2019</v>
      </c>
      <c r="C84" s="63">
        <v>32900000000</v>
      </c>
      <c r="D84" s="63">
        <v>-10137000000</v>
      </c>
    </row>
    <row r="85" spans="1:6">
      <c r="A85" s="59">
        <f>companies!A85</f>
        <v>84</v>
      </c>
      <c r="B85" s="58">
        <v>2019</v>
      </c>
      <c r="C85" s="63">
        <v>5755000000</v>
      </c>
      <c r="D85" s="63">
        <v>2098000000</v>
      </c>
      <c r="E85" s="58"/>
      <c r="F85" s="58"/>
    </row>
    <row r="86" spans="1:6">
      <c r="A86" s="59">
        <f>companies!A86</f>
        <v>85</v>
      </c>
      <c r="B86" s="58">
        <v>2019</v>
      </c>
      <c r="C86" s="63">
        <v>21419000000</v>
      </c>
      <c r="D86" s="63">
        <v>3250000000</v>
      </c>
      <c r="E86" s="58"/>
      <c r="F86" s="58"/>
    </row>
    <row r="87" spans="1:6">
      <c r="A87" s="59">
        <f>companies!A87</f>
        <v>86</v>
      </c>
      <c r="B87" s="58">
        <v>2019</v>
      </c>
      <c r="C87" s="63">
        <v>26510000000</v>
      </c>
      <c r="D87" s="63">
        <v>3600000000</v>
      </c>
      <c r="E87" s="58"/>
      <c r="F87" s="58"/>
    </row>
    <row r="88" spans="1:6">
      <c r="A88" s="59">
        <f>companies!A88</f>
        <v>87</v>
      </c>
      <c r="B88" s="58">
        <v>2019</v>
      </c>
      <c r="C88" s="63">
        <v>78100000000</v>
      </c>
      <c r="D88" s="63">
        <v>3269000000</v>
      </c>
      <c r="E88" s="58"/>
      <c r="F88" s="58"/>
    </row>
    <row r="89" spans="1:6">
      <c r="A89" s="59">
        <f>companies!A89</f>
        <v>88</v>
      </c>
      <c r="B89" s="58">
        <v>2019</v>
      </c>
      <c r="C89" s="63">
        <v>14318000000</v>
      </c>
      <c r="D89" s="63">
        <v>5020000000</v>
      </c>
      <c r="E89" s="58"/>
      <c r="F89" s="58"/>
    </row>
    <row r="90" spans="1:6">
      <c r="A90" s="59">
        <f>companies!A90</f>
        <v>89</v>
      </c>
      <c r="B90" s="58">
        <v>2019</v>
      </c>
      <c r="C90" s="63">
        <v>20820000000</v>
      </c>
      <c r="D90" s="63">
        <v>4250000000</v>
      </c>
      <c r="E90" s="58"/>
      <c r="F90" s="58"/>
    </row>
    <row r="91" spans="1:6">
      <c r="A91" s="59">
        <f>companies!A91</f>
        <v>90</v>
      </c>
      <c r="B91" s="58">
        <v>2019</v>
      </c>
      <c r="C91" s="63">
        <v>69570000000</v>
      </c>
      <c r="D91" s="63">
        <v>11050000000</v>
      </c>
      <c r="E91" s="58"/>
      <c r="F91" s="58"/>
    </row>
    <row r="92" spans="1:6">
      <c r="A92" s="59">
        <f>companies!A92</f>
        <v>91</v>
      </c>
      <c r="B92" s="58">
        <v>2019</v>
      </c>
      <c r="C92" s="63">
        <v>25540000000</v>
      </c>
      <c r="D92" s="63">
        <v>3696000000</v>
      </c>
    </row>
    <row r="93" spans="1:6">
      <c r="A93" s="59">
        <f>companies!A93</f>
        <v>92</v>
      </c>
      <c r="B93" s="58">
        <v>2019</v>
      </c>
      <c r="C93" s="63">
        <v>21700000000</v>
      </c>
      <c r="D93" s="63">
        <v>5900000000</v>
      </c>
      <c r="E93" s="58"/>
      <c r="F93" s="58"/>
    </row>
    <row r="94" spans="1:6">
      <c r="A94" s="59">
        <f>companies!A94</f>
        <v>93</v>
      </c>
      <c r="B94" s="58">
        <v>2019</v>
      </c>
      <c r="C94" s="63">
        <v>242200000000</v>
      </c>
      <c r="D94" s="63">
        <v>14240000000</v>
      </c>
      <c r="E94" s="58"/>
      <c r="F94" s="58"/>
    </row>
    <row r="95" spans="1:6">
      <c r="A95" s="59">
        <f>companies!A95</f>
        <v>94</v>
      </c>
      <c r="B95" s="58">
        <v>2019</v>
      </c>
      <c r="C95" s="63">
        <v>74094000000</v>
      </c>
      <c r="D95" s="63">
        <v>4400000000</v>
      </c>
      <c r="E95" s="58"/>
      <c r="F95" s="58"/>
    </row>
    <row r="96" spans="1:6">
      <c r="A96" s="59">
        <f>companies!A96</f>
        <v>95</v>
      </c>
      <c r="B96" s="58">
        <v>2019</v>
      </c>
      <c r="C96" s="63">
        <v>25775000000</v>
      </c>
      <c r="D96" s="63">
        <v>6914000000</v>
      </c>
      <c r="E96" s="58"/>
      <c r="F96" s="58"/>
    </row>
    <row r="97" spans="1:6">
      <c r="A97" s="59">
        <f>companies!A97</f>
        <v>96</v>
      </c>
      <c r="B97" s="58">
        <v>2019</v>
      </c>
      <c r="C97" s="63">
        <v>131860000000</v>
      </c>
      <c r="D97" s="63">
        <v>19790000000</v>
      </c>
      <c r="E97" s="58"/>
      <c r="F97" s="58"/>
    </row>
    <row r="98" spans="1:6">
      <c r="A98" s="59">
        <f>companies!A98</f>
        <v>97</v>
      </c>
      <c r="B98" s="58">
        <v>2019</v>
      </c>
      <c r="C98" s="63">
        <v>23000000000</v>
      </c>
      <c r="D98" s="63">
        <v>12100000000</v>
      </c>
      <c r="E98" s="58"/>
      <c r="F98" s="58"/>
    </row>
    <row r="99" spans="1:6">
      <c r="A99" s="59">
        <f>companies!A99</f>
        <v>98</v>
      </c>
      <c r="B99" s="58">
        <v>2019</v>
      </c>
      <c r="C99" s="63">
        <v>136900000000</v>
      </c>
      <c r="D99" s="63">
        <v>3900000000</v>
      </c>
      <c r="E99" s="58"/>
      <c r="F99" s="58"/>
    </row>
    <row r="100" spans="1:6">
      <c r="A100" s="59">
        <f>companies!A100</f>
        <v>99</v>
      </c>
      <c r="B100" s="58">
        <v>2019</v>
      </c>
      <c r="C100" s="63">
        <v>524000000000</v>
      </c>
      <c r="D100" s="63">
        <v>14880000000</v>
      </c>
      <c r="E100" s="58"/>
      <c r="F100" s="58"/>
    </row>
    <row r="101" spans="1:6">
      <c r="A101" s="59">
        <f>companies!A101</f>
        <v>100</v>
      </c>
      <c r="B101" s="58">
        <v>2019</v>
      </c>
      <c r="C101" s="63">
        <v>85060000000</v>
      </c>
      <c r="D101" s="63">
        <v>19550000000</v>
      </c>
      <c r="E101" s="58"/>
      <c r="F101" s="58"/>
    </row>
    <row r="1048561" spans="1:4">
      <c r="A1048561" s="57"/>
      <c r="D1048561" s="57"/>
    </row>
    <row r="1048562" spans="1:4">
      <c r="A1048562" s="58"/>
      <c r="D1048562" s="63"/>
    </row>
    <row r="1048563" spans="1:4">
      <c r="A1048563" s="58"/>
      <c r="D1048563" s="63"/>
    </row>
    <row r="1048564" spans="1:4">
      <c r="A1048564" s="58"/>
      <c r="D1048564" s="63"/>
    </row>
    <row r="1048565" spans="1:4">
      <c r="A1048565" s="58"/>
      <c r="D1048565" s="63"/>
    </row>
    <row r="1048566" spans="1:4">
      <c r="A1048566" s="58"/>
      <c r="D1048566" s="63"/>
    </row>
    <row r="1048567" spans="1:4">
      <c r="A1048567" s="58"/>
      <c r="D1048567" s="63"/>
    </row>
    <row r="1048568" spans="1:4">
      <c r="A1048568" s="58"/>
      <c r="D1048568" s="63"/>
    </row>
    <row r="1048569" spans="1:4">
      <c r="A1048569" s="58"/>
      <c r="D1048569" s="63"/>
    </row>
    <row r="1048570" spans="1:4">
      <c r="A1048570" s="58"/>
      <c r="D1048570" s="63"/>
    </row>
    <row r="1048571" spans="1:4">
      <c r="A1048571" s="58"/>
      <c r="D1048571" s="63"/>
    </row>
    <row r="1048572" spans="1:4">
      <c r="A1048572" s="58"/>
      <c r="D1048572" s="63"/>
    </row>
    <row r="1048573" spans="1:4">
      <c r="A1048573" s="58"/>
      <c r="D1048573" s="63"/>
    </row>
    <row r="1048574" spans="1:4">
      <c r="A1048574" s="58"/>
      <c r="D1048574" s="63"/>
    </row>
    <row r="1048575" spans="1:4">
      <c r="A1048575" s="58"/>
      <c r="D1048575" s="63"/>
    </row>
    <row r="1048576" spans="1:4">
      <c r="A1048576" s="58"/>
      <c r="D1048576" s="63"/>
    </row>
  </sheetData>
  <autoFilter ref="A1:F101" xr:uid="{AEA7C7BF-C5FF-44C0-81BE-AF1902666F9E}">
    <filterColumn colId="5">
      <customFilters>
        <customFilter operator="notEqual" val=" "/>
      </customFilters>
    </filterColumn>
  </autoFilter>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58AF8-7FC6-4480-80CF-EE0E75FBD19C}">
  <dimension ref="A1:BI1048576"/>
  <sheetViews>
    <sheetView showGridLines="0" topLeftCell="C1" workbookViewId="0">
      <selection activeCell="W1" sqref="W1"/>
    </sheetView>
  </sheetViews>
  <sheetFormatPr defaultRowHeight="12.75"/>
  <cols>
    <col min="1" max="1" width="12.85546875" bestFit="1" customWidth="1"/>
    <col min="2" max="2" width="12.140625" customWidth="1"/>
    <col min="3" max="23" width="12.140625" style="64" customWidth="1"/>
    <col min="24" max="29" width="10.5703125" style="64" customWidth="1"/>
    <col min="30" max="30" width="18.140625" bestFit="1" customWidth="1"/>
    <col min="31" max="31" width="18.42578125" bestFit="1" customWidth="1"/>
    <col min="32" max="32" width="23.42578125" bestFit="1" customWidth="1"/>
    <col min="33" max="33" width="27.28515625" bestFit="1" customWidth="1"/>
    <col min="34" max="34" width="29" bestFit="1" customWidth="1"/>
    <col min="35" max="35" width="20.85546875" style="64" bestFit="1" customWidth="1"/>
    <col min="36" max="36" width="20.85546875" style="64" customWidth="1"/>
    <col min="37" max="38" width="15.140625" bestFit="1" customWidth="1"/>
    <col min="39" max="39" width="23.42578125" bestFit="1" customWidth="1"/>
    <col min="40" max="40" width="19.42578125" bestFit="1" customWidth="1"/>
    <col min="41" max="41" width="21" bestFit="1" customWidth="1"/>
    <col min="42" max="42" width="19.42578125" bestFit="1" customWidth="1"/>
    <col min="43" max="43" width="21" bestFit="1" customWidth="1"/>
    <col min="44" max="44" width="23.42578125" bestFit="1" customWidth="1"/>
    <col min="45" max="45" width="19.42578125" bestFit="1" customWidth="1"/>
    <col min="46" max="46" width="21" bestFit="1" customWidth="1"/>
    <col min="61" max="61" width="12.85546875" bestFit="1" customWidth="1"/>
  </cols>
  <sheetData>
    <row r="1" spans="1:61" ht="51">
      <c r="A1" s="74" t="s">
        <v>557</v>
      </c>
      <c r="B1" s="74" t="s">
        <v>1053</v>
      </c>
      <c r="C1" s="75" t="s">
        <v>1094</v>
      </c>
      <c r="D1" s="75" t="s">
        <v>1077</v>
      </c>
      <c r="E1" s="75" t="s">
        <v>1076</v>
      </c>
      <c r="F1" s="75" t="s">
        <v>1075</v>
      </c>
      <c r="G1" s="75" t="s">
        <v>1074</v>
      </c>
      <c r="H1" s="75" t="s">
        <v>1078</v>
      </c>
      <c r="I1" s="75" t="s">
        <v>1079</v>
      </c>
      <c r="J1" s="75" t="s">
        <v>1080</v>
      </c>
      <c r="K1" s="75" t="s">
        <v>1081</v>
      </c>
      <c r="L1" s="75" t="s">
        <v>1082</v>
      </c>
      <c r="M1" s="75" t="s">
        <v>1083</v>
      </c>
      <c r="N1" s="75" t="s">
        <v>1084</v>
      </c>
      <c r="O1" s="75" t="s">
        <v>1085</v>
      </c>
      <c r="P1" s="75" t="s">
        <v>1086</v>
      </c>
      <c r="Q1" s="75" t="s">
        <v>1087</v>
      </c>
      <c r="R1" s="75" t="s">
        <v>1088</v>
      </c>
      <c r="S1" s="75" t="s">
        <v>1089</v>
      </c>
      <c r="T1" s="75" t="s">
        <v>1090</v>
      </c>
      <c r="U1" s="75" t="s">
        <v>1091</v>
      </c>
      <c r="V1" s="75" t="s">
        <v>1092</v>
      </c>
      <c r="W1" s="75" t="s">
        <v>1093</v>
      </c>
      <c r="X1" s="65"/>
      <c r="Y1" s="65"/>
      <c r="Z1" s="65"/>
      <c r="AA1" s="65"/>
      <c r="AB1" s="65"/>
      <c r="AC1" s="65"/>
      <c r="AD1" s="57" t="s">
        <v>1070</v>
      </c>
      <c r="AE1" s="57" t="s">
        <v>1071</v>
      </c>
      <c r="AF1" s="65" t="s">
        <v>1059</v>
      </c>
      <c r="AG1" s="57" t="s">
        <v>1072</v>
      </c>
      <c r="AH1" s="57" t="s">
        <v>1073</v>
      </c>
      <c r="AK1" s="57" t="s">
        <v>1057</v>
      </c>
      <c r="AL1" s="57" t="s">
        <v>1058</v>
      </c>
      <c r="AM1" s="65" t="s">
        <v>1062</v>
      </c>
      <c r="AN1" s="57" t="s">
        <v>1060</v>
      </c>
      <c r="AO1" s="57" t="s">
        <v>1061</v>
      </c>
      <c r="AP1" s="57" t="s">
        <v>1060</v>
      </c>
      <c r="AQ1" s="57" t="s">
        <v>1061</v>
      </c>
      <c r="AR1" s="65" t="s">
        <v>1063</v>
      </c>
      <c r="AS1" s="57" t="s">
        <v>1060</v>
      </c>
      <c r="AT1" s="57" t="s">
        <v>1061</v>
      </c>
      <c r="BI1" s="70" t="s">
        <v>1040</v>
      </c>
    </row>
    <row r="2" spans="1:61">
      <c r="A2" s="59">
        <f>companies!A2</f>
        <v>1</v>
      </c>
      <c r="B2" s="61" t="s">
        <v>1056</v>
      </c>
      <c r="C2" s="73">
        <v>4050000</v>
      </c>
      <c r="D2" s="73">
        <v>1780000</v>
      </c>
      <c r="E2" s="73">
        <v>1320000</v>
      </c>
      <c r="F2" s="73">
        <v>6140000</v>
      </c>
      <c r="G2" s="73">
        <v>556000</v>
      </c>
      <c r="H2" s="73">
        <v>578000</v>
      </c>
      <c r="I2" s="73">
        <v>1070000</v>
      </c>
      <c r="J2" s="73">
        <v>192000</v>
      </c>
      <c r="K2" s="73">
        <v>52800</v>
      </c>
      <c r="L2" s="73">
        <v>336000</v>
      </c>
      <c r="M2" s="62" t="s">
        <v>1096</v>
      </c>
      <c r="N2" s="62" t="s">
        <v>1096</v>
      </c>
      <c r="O2" s="62" t="s">
        <v>1096</v>
      </c>
      <c r="P2" s="62" t="s">
        <v>1096</v>
      </c>
      <c r="Q2" s="62" t="s">
        <v>1096</v>
      </c>
      <c r="R2" s="73">
        <v>1000</v>
      </c>
      <c r="S2" s="62" t="s">
        <v>1096</v>
      </c>
      <c r="T2" s="62" t="s">
        <v>1096</v>
      </c>
      <c r="U2" s="62" t="s">
        <v>1096</v>
      </c>
      <c r="V2" s="62" t="s">
        <v>1096</v>
      </c>
      <c r="W2" s="62">
        <f>SUM(F2:V2)</f>
        <v>8925800</v>
      </c>
      <c r="X2" s="73"/>
      <c r="Y2" s="73"/>
      <c r="Z2" s="73"/>
      <c r="AA2" s="73"/>
      <c r="AB2" s="73"/>
      <c r="AC2" s="73"/>
      <c r="AD2" s="62" t="s">
        <v>1096</v>
      </c>
      <c r="AE2" s="62" t="s">
        <v>1096</v>
      </c>
      <c r="AF2" s="66">
        <f>Table1[[#This Row],[2019 Scope 1 (MeT Co2)]]</f>
        <v>4050000</v>
      </c>
      <c r="AG2" s="67">
        <f t="shared" ref="AG2:AG33" si="0">C2-AF2</f>
        <v>0</v>
      </c>
      <c r="AH2" s="68">
        <f t="shared" ref="AH2:AH33" si="1">AG2/C2</f>
        <v>0</v>
      </c>
      <c r="AK2" s="62" t="s">
        <v>1096</v>
      </c>
      <c r="AL2" s="62" t="s">
        <v>1096</v>
      </c>
      <c r="AM2" s="66">
        <f>Table1[[#This Row],[2019 Scope 2 ]]</f>
        <v>1320000</v>
      </c>
      <c r="AN2" s="67">
        <f t="shared" ref="AN2:AN33" si="2">D2-AM2</f>
        <v>460000</v>
      </c>
      <c r="AO2" s="68">
        <f t="shared" ref="AO2:AO33" si="3">AN2/D2</f>
        <v>0.25842696629213485</v>
      </c>
      <c r="AP2" s="67">
        <f t="shared" ref="AP2:AP33" si="4">AM2-E2</f>
        <v>0</v>
      </c>
      <c r="AQ2" s="68">
        <f t="shared" ref="AQ2:AQ33" si="5">AP2/E2</f>
        <v>0</v>
      </c>
      <c r="AR2" s="72">
        <f>Table1[[#This Row],[2019 Scope 3 ]]</f>
        <v>8920000</v>
      </c>
      <c r="AS2" s="71">
        <f t="shared" ref="AS2:AS33" si="6">W2-AR2</f>
        <v>5800</v>
      </c>
      <c r="AT2" s="51">
        <f t="shared" ref="AT2:AT33" si="7">AS2/W2</f>
        <v>6.4980169844719806E-4</v>
      </c>
      <c r="BI2" s="58">
        <v>285</v>
      </c>
    </row>
    <row r="3" spans="1:61">
      <c r="A3" s="59">
        <f>companies!A3</f>
        <v>2</v>
      </c>
      <c r="B3" s="61" t="s">
        <v>1056</v>
      </c>
      <c r="C3" s="73">
        <v>533000</v>
      </c>
      <c r="D3" s="73">
        <v>518000</v>
      </c>
      <c r="E3" s="73">
        <v>439000</v>
      </c>
      <c r="F3" s="73">
        <v>8382000</v>
      </c>
      <c r="G3" s="73">
        <v>2860000</v>
      </c>
      <c r="H3" s="73">
        <v>290000</v>
      </c>
      <c r="I3" s="73">
        <v>1501000</v>
      </c>
      <c r="J3" s="73">
        <v>15000</v>
      </c>
      <c r="K3" s="73">
        <v>332000</v>
      </c>
      <c r="L3" s="73">
        <v>306000</v>
      </c>
      <c r="M3" s="62" t="s">
        <v>1096</v>
      </c>
      <c r="N3" s="62" t="s">
        <v>1096</v>
      </c>
      <c r="O3" s="62" t="s">
        <v>1096</v>
      </c>
      <c r="P3" s="62">
        <v>508000</v>
      </c>
      <c r="Q3" s="62">
        <v>169000</v>
      </c>
      <c r="R3" s="73" t="s">
        <v>1096</v>
      </c>
      <c r="S3" s="62" t="s">
        <v>1096</v>
      </c>
      <c r="T3" s="62" t="s">
        <v>1096</v>
      </c>
      <c r="U3" s="62" t="s">
        <v>1096</v>
      </c>
      <c r="V3" s="62" t="s">
        <v>1096</v>
      </c>
      <c r="W3" s="62">
        <f t="shared" ref="W3:W66" si="8">SUM(F3:V3)</f>
        <v>14363000</v>
      </c>
      <c r="X3" s="73"/>
      <c r="Y3" s="73"/>
      <c r="Z3" s="73"/>
      <c r="AA3" s="73"/>
      <c r="AB3" s="73"/>
      <c r="AC3" s="73"/>
      <c r="AD3" s="62" t="s">
        <v>1064</v>
      </c>
      <c r="AE3" s="62" t="s">
        <v>1065</v>
      </c>
      <c r="AF3" s="66">
        <f>Table1[[#This Row],[2019 Scope 1 (MeT Co2)]]</f>
        <v>533000</v>
      </c>
      <c r="AG3" s="67">
        <f t="shared" si="0"/>
        <v>0</v>
      </c>
      <c r="AH3" s="68">
        <f t="shared" si="1"/>
        <v>0</v>
      </c>
      <c r="AK3" s="62" t="s">
        <v>1064</v>
      </c>
      <c r="AL3" s="62" t="s">
        <v>1065</v>
      </c>
      <c r="AM3" s="66">
        <f>Table1[[#This Row],[2019 Scope 2 ]]</f>
        <v>439000</v>
      </c>
      <c r="AN3" s="67">
        <f t="shared" si="2"/>
        <v>79000</v>
      </c>
      <c r="AO3" s="68">
        <f t="shared" si="3"/>
        <v>0.15250965250965251</v>
      </c>
      <c r="AP3" s="67">
        <f t="shared" si="4"/>
        <v>0</v>
      </c>
      <c r="AQ3" s="68">
        <f t="shared" si="5"/>
        <v>0</v>
      </c>
      <c r="AR3" s="72">
        <f>Table1[[#This Row],[2019 Scope 3 ]]</f>
        <v>14363000</v>
      </c>
      <c r="AS3" s="71">
        <f t="shared" si="6"/>
        <v>0</v>
      </c>
      <c r="AT3" s="51">
        <f t="shared" si="7"/>
        <v>0</v>
      </c>
      <c r="BI3" s="58">
        <v>64</v>
      </c>
    </row>
    <row r="4" spans="1:61">
      <c r="A4" s="59">
        <f>companies!A4</f>
        <v>3</v>
      </c>
      <c r="B4" s="61" t="s">
        <v>1056</v>
      </c>
      <c r="C4" s="73">
        <v>314421</v>
      </c>
      <c r="D4" s="73">
        <v>308204</v>
      </c>
      <c r="E4" s="73">
        <v>249777</v>
      </c>
      <c r="F4" s="73">
        <v>990981</v>
      </c>
      <c r="G4" s="73">
        <v>20324</v>
      </c>
      <c r="H4" s="73" t="s">
        <v>1096</v>
      </c>
      <c r="I4" s="73">
        <v>77371</v>
      </c>
      <c r="J4" s="73">
        <v>5483</v>
      </c>
      <c r="K4" s="73">
        <v>56303</v>
      </c>
      <c r="L4" s="73">
        <v>183747</v>
      </c>
      <c r="M4" s="62" t="s">
        <v>1096</v>
      </c>
      <c r="N4" s="62" t="s">
        <v>1096</v>
      </c>
      <c r="O4" s="62" t="s">
        <v>1096</v>
      </c>
      <c r="P4" s="62" t="s">
        <v>1096</v>
      </c>
      <c r="Q4" s="62" t="s">
        <v>1096</v>
      </c>
      <c r="R4" s="73" t="s">
        <v>1096</v>
      </c>
      <c r="S4" s="62" t="s">
        <v>1096</v>
      </c>
      <c r="T4" s="62" t="s">
        <v>1096</v>
      </c>
      <c r="U4" s="62" t="s">
        <v>1096</v>
      </c>
      <c r="V4" s="62" t="s">
        <v>1096</v>
      </c>
      <c r="W4" s="62">
        <f t="shared" si="8"/>
        <v>1334209</v>
      </c>
      <c r="X4" s="73"/>
      <c r="Y4" s="73"/>
      <c r="Z4" s="73"/>
      <c r="AA4" s="73"/>
      <c r="AB4" s="73"/>
      <c r="AC4" s="73"/>
      <c r="AD4" s="62" t="s">
        <v>1096</v>
      </c>
      <c r="AE4" s="62" t="s">
        <v>1096</v>
      </c>
      <c r="AF4" s="66">
        <f>Table1[[#This Row],[2019 Scope 1 (MeT Co2)]]</f>
        <v>314421</v>
      </c>
      <c r="AG4" s="67">
        <f t="shared" si="0"/>
        <v>0</v>
      </c>
      <c r="AH4" s="68">
        <f t="shared" si="1"/>
        <v>0</v>
      </c>
      <c r="AK4" s="62" t="s">
        <v>1096</v>
      </c>
      <c r="AL4" s="62" t="s">
        <v>1096</v>
      </c>
      <c r="AM4" s="66">
        <f>Table1[[#This Row],[2019 Scope 2 ]]</f>
        <v>249777</v>
      </c>
      <c r="AN4" s="67">
        <f t="shared" si="2"/>
        <v>58427</v>
      </c>
      <c r="AO4" s="68">
        <f t="shared" si="3"/>
        <v>0.18957249094755421</v>
      </c>
      <c r="AP4" s="67">
        <f t="shared" si="4"/>
        <v>0</v>
      </c>
      <c r="AQ4" s="68">
        <f t="shared" si="5"/>
        <v>0</v>
      </c>
      <c r="AR4" s="72">
        <f>Table1[[#This Row],[2019 Scope 3 ]]</f>
        <v>1334209</v>
      </c>
      <c r="AS4" s="71">
        <f t="shared" si="6"/>
        <v>0</v>
      </c>
      <c r="AT4" s="51">
        <f t="shared" si="7"/>
        <v>0</v>
      </c>
      <c r="BI4" s="58">
        <v>45103</v>
      </c>
    </row>
    <row r="5" spans="1:61">
      <c r="A5" s="59">
        <f>companies!A5</f>
        <v>4</v>
      </c>
      <c r="B5" s="61" t="s">
        <v>1056</v>
      </c>
      <c r="C5" s="73">
        <v>18923</v>
      </c>
      <c r="D5" s="73">
        <v>281489</v>
      </c>
      <c r="E5" s="73">
        <v>214680</v>
      </c>
      <c r="F5" s="73">
        <v>423771</v>
      </c>
      <c r="G5" s="73" t="s">
        <v>1096</v>
      </c>
      <c r="H5" s="73" t="s">
        <v>1096</v>
      </c>
      <c r="I5" s="73" t="s">
        <v>1096</v>
      </c>
      <c r="J5" s="73" t="s">
        <v>1096</v>
      </c>
      <c r="K5" s="73">
        <v>508882</v>
      </c>
      <c r="L5" s="73" t="s">
        <v>1096</v>
      </c>
      <c r="M5" s="62" t="s">
        <v>1096</v>
      </c>
      <c r="N5" s="62" t="s">
        <v>1096</v>
      </c>
      <c r="O5" s="62" t="s">
        <v>1096</v>
      </c>
      <c r="P5" s="62" t="s">
        <v>1096</v>
      </c>
      <c r="Q5" s="62" t="s">
        <v>1096</v>
      </c>
      <c r="R5" s="73" t="s">
        <v>1096</v>
      </c>
      <c r="S5" s="62" t="s">
        <v>1096</v>
      </c>
      <c r="T5" s="62" t="s">
        <v>1096</v>
      </c>
      <c r="U5" s="62" t="s">
        <v>1096</v>
      </c>
      <c r="V5" s="62" t="s">
        <v>1096</v>
      </c>
      <c r="W5" s="62">
        <f t="shared" si="8"/>
        <v>932653</v>
      </c>
      <c r="X5" s="73"/>
      <c r="Y5" s="73"/>
      <c r="Z5" s="73"/>
      <c r="AA5" s="73"/>
      <c r="AB5" s="73"/>
      <c r="AC5" s="73"/>
      <c r="AD5" s="62" t="s">
        <v>1096</v>
      </c>
      <c r="AE5" s="62" t="s">
        <v>1096</v>
      </c>
      <c r="AF5" s="66">
        <f>Table1[[#This Row],[2019 Scope 1 (MeT Co2)]]</f>
        <v>18923</v>
      </c>
      <c r="AG5" s="67">
        <f t="shared" si="0"/>
        <v>0</v>
      </c>
      <c r="AH5" s="68">
        <f t="shared" si="1"/>
        <v>0</v>
      </c>
      <c r="AK5" s="62" t="s">
        <v>1096</v>
      </c>
      <c r="AL5" s="62" t="s">
        <v>1096</v>
      </c>
      <c r="AM5" s="66">
        <f>Table1[[#This Row],[2019 Scope 2 ]]</f>
        <v>214680</v>
      </c>
      <c r="AN5" s="67">
        <f t="shared" si="2"/>
        <v>66809</v>
      </c>
      <c r="AO5" s="68">
        <f t="shared" si="3"/>
        <v>0.23734142364355268</v>
      </c>
      <c r="AP5" s="67">
        <f t="shared" si="4"/>
        <v>0</v>
      </c>
      <c r="AQ5" s="68">
        <f t="shared" si="5"/>
        <v>0</v>
      </c>
      <c r="AR5" s="72">
        <f>Table1[[#This Row],[2019 Scope 3 ]]</f>
        <v>932653</v>
      </c>
      <c r="AS5" s="71">
        <f t="shared" si="6"/>
        <v>0</v>
      </c>
      <c r="AT5" s="51">
        <f t="shared" si="7"/>
        <v>0</v>
      </c>
      <c r="BI5" s="58">
        <v>21318</v>
      </c>
    </row>
    <row r="6" spans="1:61">
      <c r="A6" s="59">
        <f>companies!A6</f>
        <v>5</v>
      </c>
      <c r="B6" s="61" t="s">
        <v>1056</v>
      </c>
      <c r="C6" s="73">
        <v>11816</v>
      </c>
      <c r="D6" s="73">
        <v>56113</v>
      </c>
      <c r="E6" s="73">
        <v>43526</v>
      </c>
      <c r="F6" s="73">
        <v>358472</v>
      </c>
      <c r="G6" s="73">
        <v>39706</v>
      </c>
      <c r="H6" s="73">
        <v>14180</v>
      </c>
      <c r="I6" s="73" t="s">
        <v>1096</v>
      </c>
      <c r="J6" s="73">
        <v>57.87</v>
      </c>
      <c r="K6" s="73">
        <v>88959</v>
      </c>
      <c r="L6" s="73">
        <v>42037</v>
      </c>
      <c r="M6" s="62" t="s">
        <v>1096</v>
      </c>
      <c r="N6" s="62" t="s">
        <v>1096</v>
      </c>
      <c r="O6" s="62" t="s">
        <v>1096</v>
      </c>
      <c r="P6" s="62" t="s">
        <v>1096</v>
      </c>
      <c r="Q6" s="62" t="s">
        <v>1096</v>
      </c>
      <c r="R6" s="73" t="s">
        <v>1096</v>
      </c>
      <c r="S6" s="62" t="s">
        <v>1096</v>
      </c>
      <c r="T6" s="62" t="s">
        <v>1096</v>
      </c>
      <c r="U6" s="62" t="s">
        <v>1096</v>
      </c>
      <c r="V6" s="62" t="s">
        <v>1096</v>
      </c>
      <c r="W6" s="62">
        <f t="shared" si="8"/>
        <v>543411.87</v>
      </c>
      <c r="X6" s="73"/>
      <c r="Y6" s="73"/>
      <c r="Z6" s="73"/>
      <c r="AA6" s="73"/>
      <c r="AB6" s="73"/>
      <c r="AC6" s="73"/>
      <c r="AD6" s="62" t="s">
        <v>1069</v>
      </c>
      <c r="AE6" s="62" t="s">
        <v>1068</v>
      </c>
      <c r="AF6" s="66">
        <f>Table1[[#This Row],[2019 Scope 1 (MeT Co2)]]</f>
        <v>11816</v>
      </c>
      <c r="AG6" s="67">
        <f t="shared" si="0"/>
        <v>0</v>
      </c>
      <c r="AH6" s="68">
        <f t="shared" si="1"/>
        <v>0</v>
      </c>
      <c r="AK6" s="62" t="s">
        <v>1069</v>
      </c>
      <c r="AL6" s="62" t="s">
        <v>1068</v>
      </c>
      <c r="AM6" s="66">
        <f>Table1[[#This Row],[2019 Scope 2 ]]</f>
        <v>43526</v>
      </c>
      <c r="AN6" s="67">
        <f t="shared" si="2"/>
        <v>12587</v>
      </c>
      <c r="AO6" s="68">
        <f t="shared" si="3"/>
        <v>0.22431522107176591</v>
      </c>
      <c r="AP6" s="67">
        <f t="shared" si="4"/>
        <v>0</v>
      </c>
      <c r="AQ6" s="68">
        <f t="shared" si="5"/>
        <v>0</v>
      </c>
      <c r="AR6" s="72">
        <f>Table1[[#This Row],[2019 Scope 3 ]]</f>
        <v>543411.87</v>
      </c>
      <c r="AS6" s="71">
        <f t="shared" si="6"/>
        <v>0</v>
      </c>
      <c r="AT6" s="51">
        <f t="shared" si="7"/>
        <v>0</v>
      </c>
      <c r="BI6" s="58">
        <v>333</v>
      </c>
    </row>
    <row r="7" spans="1:61">
      <c r="A7" s="59">
        <f>companies!A7</f>
        <v>6</v>
      </c>
      <c r="B7" s="61" t="s">
        <v>1056</v>
      </c>
      <c r="C7" s="73">
        <v>39230</v>
      </c>
      <c r="D7" s="73">
        <v>86863</v>
      </c>
      <c r="E7" s="73">
        <v>74230</v>
      </c>
      <c r="F7" s="73">
        <v>10528</v>
      </c>
      <c r="G7" s="73">
        <v>0</v>
      </c>
      <c r="H7" s="73">
        <v>4343</v>
      </c>
      <c r="I7" s="73">
        <v>3</v>
      </c>
      <c r="J7" s="73">
        <v>446</v>
      </c>
      <c r="K7" s="73">
        <v>8857</v>
      </c>
      <c r="L7" s="73">
        <v>13412</v>
      </c>
      <c r="M7" s="62" t="s">
        <v>1096</v>
      </c>
      <c r="N7" s="62" t="s">
        <v>1096</v>
      </c>
      <c r="O7" s="62" t="s">
        <v>1096</v>
      </c>
      <c r="P7" s="62" t="s">
        <v>1096</v>
      </c>
      <c r="Q7" s="62" t="s">
        <v>1096</v>
      </c>
      <c r="R7" s="73" t="s">
        <v>1096</v>
      </c>
      <c r="S7" s="62" t="s">
        <v>1096</v>
      </c>
      <c r="T7" s="62" t="s">
        <v>1096</v>
      </c>
      <c r="U7" s="62" t="s">
        <v>1096</v>
      </c>
      <c r="V7" s="62" t="s">
        <v>1096</v>
      </c>
      <c r="W7" s="62">
        <f t="shared" si="8"/>
        <v>37589</v>
      </c>
      <c r="X7" s="73"/>
      <c r="Y7" s="73"/>
      <c r="Z7" s="73"/>
      <c r="AA7" s="73"/>
      <c r="AB7" s="73"/>
      <c r="AC7" s="73"/>
      <c r="AD7" s="62" t="s">
        <v>1096</v>
      </c>
      <c r="AE7" s="62" t="s">
        <v>1096</v>
      </c>
      <c r="AF7" s="66">
        <f>Table1[[#This Row],[2019 Scope 1 (MeT Co2)]]</f>
        <v>39230</v>
      </c>
      <c r="AG7" s="67">
        <f t="shared" si="0"/>
        <v>0</v>
      </c>
      <c r="AH7" s="68">
        <f t="shared" si="1"/>
        <v>0</v>
      </c>
      <c r="AK7" s="62" t="s">
        <v>1096</v>
      </c>
      <c r="AL7" s="62" t="s">
        <v>1096</v>
      </c>
      <c r="AM7" s="66">
        <f>Table1[[#This Row],[2019 Scope 2 ]]</f>
        <v>74230</v>
      </c>
      <c r="AN7" s="67">
        <f t="shared" si="2"/>
        <v>12633</v>
      </c>
      <c r="AO7" s="68">
        <f t="shared" si="3"/>
        <v>0.14543591632801078</v>
      </c>
      <c r="AP7" s="67">
        <f t="shared" si="4"/>
        <v>0</v>
      </c>
      <c r="AQ7" s="68">
        <f t="shared" si="5"/>
        <v>0</v>
      </c>
      <c r="AR7" s="72">
        <f>Table1[[#This Row],[2019 Scope 3 ]]</f>
        <v>37589</v>
      </c>
      <c r="AS7" s="71">
        <f t="shared" si="6"/>
        <v>0</v>
      </c>
      <c r="AT7" s="51">
        <f t="shared" si="7"/>
        <v>0</v>
      </c>
      <c r="BI7" s="58">
        <v>582</v>
      </c>
    </row>
    <row r="8" spans="1:61">
      <c r="A8" s="59">
        <f>companies!A8</f>
        <v>7</v>
      </c>
      <c r="B8" s="61" t="s">
        <v>1056</v>
      </c>
      <c r="C8" s="73">
        <v>66686</v>
      </c>
      <c r="D8" s="73">
        <v>5116949</v>
      </c>
      <c r="E8" s="73">
        <v>794267</v>
      </c>
      <c r="F8" s="73">
        <v>0</v>
      </c>
      <c r="G8" s="73">
        <v>2158000</v>
      </c>
      <c r="H8" s="73">
        <v>0</v>
      </c>
      <c r="I8" s="73">
        <v>460000</v>
      </c>
      <c r="J8" s="73" t="s">
        <v>1096</v>
      </c>
      <c r="K8" s="73">
        <v>369000</v>
      </c>
      <c r="L8" s="73">
        <v>173000</v>
      </c>
      <c r="M8" s="62" t="s">
        <v>1096</v>
      </c>
      <c r="N8" s="62">
        <v>0</v>
      </c>
      <c r="O8" s="62" t="s">
        <v>1096</v>
      </c>
      <c r="P8" s="62">
        <v>0</v>
      </c>
      <c r="Q8" s="62">
        <v>0</v>
      </c>
      <c r="R8" s="73" t="s">
        <v>1096</v>
      </c>
      <c r="S8" s="62" t="s">
        <v>1096</v>
      </c>
      <c r="T8" s="62" t="s">
        <v>1096</v>
      </c>
      <c r="U8" s="62">
        <v>8509000</v>
      </c>
      <c r="V8" s="62" t="s">
        <v>1096</v>
      </c>
      <c r="W8" s="62">
        <f t="shared" si="8"/>
        <v>11669000</v>
      </c>
      <c r="X8" s="73"/>
      <c r="Y8" s="73"/>
      <c r="Z8" s="73"/>
      <c r="AA8" s="73"/>
      <c r="AB8" s="73"/>
      <c r="AC8" s="73"/>
      <c r="AD8" s="62" t="s">
        <v>1096</v>
      </c>
      <c r="AE8" s="62" t="s">
        <v>1096</v>
      </c>
      <c r="AF8" s="66">
        <f>Table1[[#This Row],[2019 Scope 1 (MeT Co2)]]</f>
        <v>66686</v>
      </c>
      <c r="AG8" s="67">
        <f t="shared" si="0"/>
        <v>0</v>
      </c>
      <c r="AH8" s="68">
        <f t="shared" si="1"/>
        <v>0</v>
      </c>
      <c r="AK8" s="62" t="s">
        <v>1096</v>
      </c>
      <c r="AL8" s="62" t="s">
        <v>1096</v>
      </c>
      <c r="AM8" s="66">
        <f>Table1[[#This Row],[2019 Scope 2 ]]</f>
        <v>794267</v>
      </c>
      <c r="AN8" s="67">
        <f t="shared" si="2"/>
        <v>4322682</v>
      </c>
      <c r="AO8" s="68">
        <f t="shared" si="3"/>
        <v>0.84477722955612811</v>
      </c>
      <c r="AP8" s="67">
        <f t="shared" si="4"/>
        <v>0</v>
      </c>
      <c r="AQ8" s="68">
        <f t="shared" si="5"/>
        <v>0</v>
      </c>
      <c r="AR8" s="72">
        <f>Table1[[#This Row],[2019 Scope 3 ]]</f>
        <v>3160000</v>
      </c>
      <c r="AS8" s="71">
        <f t="shared" si="6"/>
        <v>8509000</v>
      </c>
      <c r="AT8" s="51">
        <f t="shared" si="7"/>
        <v>0.72919701773930923</v>
      </c>
      <c r="BI8" s="58">
        <v>7616</v>
      </c>
    </row>
    <row r="9" spans="1:61">
      <c r="A9" s="59">
        <f>companies!A9</f>
        <v>8</v>
      </c>
      <c r="B9" s="61" t="s">
        <v>1056</v>
      </c>
      <c r="C9" s="73">
        <v>154507</v>
      </c>
      <c r="D9" s="73">
        <v>151259</v>
      </c>
      <c r="E9" s="73">
        <v>147909</v>
      </c>
      <c r="F9" s="73">
        <v>1297850</v>
      </c>
      <c r="G9" s="73">
        <v>6713</v>
      </c>
      <c r="H9" s="73">
        <v>96806</v>
      </c>
      <c r="I9" s="73">
        <v>278393</v>
      </c>
      <c r="J9" s="73">
        <v>27853</v>
      </c>
      <c r="K9" s="73">
        <v>14102</v>
      </c>
      <c r="L9" s="73">
        <v>11373</v>
      </c>
      <c r="M9" s="62" t="s">
        <v>1096</v>
      </c>
      <c r="N9" s="62">
        <v>199307</v>
      </c>
      <c r="O9" s="62" t="s">
        <v>1096</v>
      </c>
      <c r="P9" s="62" t="s">
        <v>1096</v>
      </c>
      <c r="Q9" s="62">
        <v>67173</v>
      </c>
      <c r="R9" s="73" t="s">
        <v>1096</v>
      </c>
      <c r="S9" s="62" t="s">
        <v>1096</v>
      </c>
      <c r="T9" s="62">
        <v>3228163</v>
      </c>
      <c r="U9" s="62">
        <v>194038</v>
      </c>
      <c r="V9" s="62">
        <v>146250</v>
      </c>
      <c r="W9" s="62">
        <f t="shared" si="8"/>
        <v>5568021</v>
      </c>
      <c r="X9" s="73"/>
      <c r="Y9" s="73"/>
      <c r="Z9" s="73"/>
      <c r="AA9" s="73"/>
      <c r="AB9" s="73"/>
      <c r="AC9" s="73"/>
      <c r="AD9" s="62" t="s">
        <v>1096</v>
      </c>
      <c r="AE9" s="62" t="s">
        <v>1096</v>
      </c>
      <c r="AF9" s="66">
        <f>Table1[[#This Row],[2019 Scope 1 (MeT Co2)]]</f>
        <v>154507</v>
      </c>
      <c r="AG9" s="67">
        <f t="shared" si="0"/>
        <v>0</v>
      </c>
      <c r="AH9" s="68">
        <f t="shared" si="1"/>
        <v>0</v>
      </c>
      <c r="AK9" s="62" t="s">
        <v>1096</v>
      </c>
      <c r="AL9" s="62" t="s">
        <v>1096</v>
      </c>
      <c r="AM9" s="66">
        <f>Table1[[#This Row],[2019 Scope 2 ]]</f>
        <v>146909</v>
      </c>
      <c r="AN9" s="67">
        <f t="shared" si="2"/>
        <v>4350</v>
      </c>
      <c r="AO9" s="68">
        <f t="shared" si="3"/>
        <v>2.8758619321825479E-2</v>
      </c>
      <c r="AP9" s="67">
        <f t="shared" si="4"/>
        <v>-1000</v>
      </c>
      <c r="AQ9" s="68">
        <f t="shared" si="5"/>
        <v>-6.7609138051098984E-3</v>
      </c>
      <c r="AR9" s="72" t="str">
        <f>Table1[[#This Row],[2019 Scope 3 ]]</f>
        <v>NR</v>
      </c>
      <c r="AS9" s="71" t="e">
        <f t="shared" si="6"/>
        <v>#VALUE!</v>
      </c>
      <c r="AT9" s="51" t="e">
        <f t="shared" si="7"/>
        <v>#VALUE!</v>
      </c>
      <c r="BI9" s="58">
        <v>628</v>
      </c>
    </row>
    <row r="10" spans="1:61">
      <c r="A10" s="59">
        <f>companies!A10</f>
        <v>9</v>
      </c>
      <c r="B10" s="61" t="s">
        <v>1056</v>
      </c>
      <c r="C10" s="73" t="s">
        <v>1095</v>
      </c>
      <c r="D10" s="73" t="s">
        <v>1095</v>
      </c>
      <c r="E10" s="73" t="s">
        <v>1095</v>
      </c>
      <c r="F10" s="73" t="s">
        <v>1095</v>
      </c>
      <c r="G10" s="73" t="s">
        <v>1095</v>
      </c>
      <c r="H10" s="73" t="s">
        <v>1095</v>
      </c>
      <c r="I10" s="73" t="s">
        <v>1095</v>
      </c>
      <c r="J10" s="73" t="s">
        <v>1095</v>
      </c>
      <c r="K10" s="73" t="s">
        <v>1095</v>
      </c>
      <c r="L10" s="73" t="s">
        <v>1095</v>
      </c>
      <c r="M10" s="73" t="s">
        <v>1095</v>
      </c>
      <c r="N10" s="73" t="s">
        <v>1095</v>
      </c>
      <c r="O10" s="73" t="s">
        <v>1095</v>
      </c>
      <c r="P10" s="73" t="s">
        <v>1095</v>
      </c>
      <c r="Q10" s="73" t="s">
        <v>1095</v>
      </c>
      <c r="R10" s="73" t="s">
        <v>1095</v>
      </c>
      <c r="S10" s="73" t="s">
        <v>1095</v>
      </c>
      <c r="T10" s="73" t="s">
        <v>1095</v>
      </c>
      <c r="U10" s="73" t="s">
        <v>1095</v>
      </c>
      <c r="V10" s="73" t="s">
        <v>1095</v>
      </c>
      <c r="W10" s="62">
        <f t="shared" si="8"/>
        <v>0</v>
      </c>
      <c r="X10" s="62"/>
      <c r="Y10" s="62"/>
      <c r="Z10" s="62"/>
      <c r="AA10" s="62"/>
      <c r="AB10" s="62"/>
      <c r="AC10" s="62"/>
      <c r="AD10" s="62" t="e">
        <v>#N/A</v>
      </c>
      <c r="AE10" s="62" t="e">
        <v>#N/A</v>
      </c>
      <c r="AF10" s="66">
        <f>Table1[[#This Row],[2019 Scope 1 (MeT Co2)]]</f>
        <v>5760000</v>
      </c>
      <c r="AG10" s="67" t="e">
        <f t="shared" si="0"/>
        <v>#VALUE!</v>
      </c>
      <c r="AH10" s="68" t="e">
        <f t="shared" si="1"/>
        <v>#VALUE!</v>
      </c>
      <c r="AK10" s="62" t="e">
        <v>#N/A</v>
      </c>
      <c r="AL10" s="62" t="e">
        <v>#N/A</v>
      </c>
      <c r="AM10" s="66">
        <f>Table1[[#This Row],[2019 Scope 2 ]]</f>
        <v>5500000</v>
      </c>
      <c r="AN10" s="67" t="e">
        <f t="shared" si="2"/>
        <v>#VALUE!</v>
      </c>
      <c r="AO10" s="68" t="e">
        <f t="shared" si="3"/>
        <v>#VALUE!</v>
      </c>
      <c r="AP10" s="67" t="e">
        <f t="shared" si="4"/>
        <v>#VALUE!</v>
      </c>
      <c r="AQ10" s="68" t="e">
        <f t="shared" si="5"/>
        <v>#VALUE!</v>
      </c>
      <c r="AR10" s="72">
        <f>Table1[[#This Row],[2019 Scope 3 ]]</f>
        <v>39910000</v>
      </c>
      <c r="AS10" s="71">
        <f t="shared" si="6"/>
        <v>-39910000</v>
      </c>
      <c r="AT10" s="51" t="e">
        <f t="shared" si="7"/>
        <v>#DIV/0!</v>
      </c>
    </row>
    <row r="11" spans="1:61">
      <c r="A11" s="59">
        <f>companies!A11</f>
        <v>10</v>
      </c>
      <c r="B11" s="61" t="s">
        <v>1056</v>
      </c>
      <c r="C11" s="73">
        <v>24363</v>
      </c>
      <c r="D11" s="73">
        <v>113964</v>
      </c>
      <c r="E11" s="73">
        <v>3153</v>
      </c>
      <c r="F11" s="73">
        <v>1956901</v>
      </c>
      <c r="G11" s="73">
        <v>24863</v>
      </c>
      <c r="H11" s="73">
        <v>30305</v>
      </c>
      <c r="I11" s="73" t="s">
        <v>1096</v>
      </c>
      <c r="J11" s="73">
        <v>1719</v>
      </c>
      <c r="K11" s="73">
        <v>51.679000000000002</v>
      </c>
      <c r="L11" s="73">
        <v>138358</v>
      </c>
      <c r="M11" s="62" t="s">
        <v>1096</v>
      </c>
      <c r="N11" s="62" t="s">
        <v>1096</v>
      </c>
      <c r="O11" s="62" t="s">
        <v>1096</v>
      </c>
      <c r="P11" s="62">
        <v>8000</v>
      </c>
      <c r="Q11" s="62">
        <v>9000</v>
      </c>
      <c r="R11" s="73" t="s">
        <v>1096</v>
      </c>
      <c r="S11" s="62" t="s">
        <v>1096</v>
      </c>
      <c r="T11" s="62" t="s">
        <v>1096</v>
      </c>
      <c r="U11" s="62" t="s">
        <v>1096</v>
      </c>
      <c r="V11" s="62" t="s">
        <v>1096</v>
      </c>
      <c r="W11" s="62">
        <f t="shared" si="8"/>
        <v>2169197.679</v>
      </c>
      <c r="X11" s="73"/>
      <c r="Y11" s="73"/>
      <c r="Z11" s="73"/>
      <c r="AA11" s="73"/>
      <c r="AB11" s="73"/>
      <c r="AC11" s="73"/>
      <c r="AD11" s="62" t="s">
        <v>1096</v>
      </c>
      <c r="AE11" s="62" t="s">
        <v>1096</v>
      </c>
      <c r="AF11" s="66">
        <f>Table1[[#This Row],[2019 Scope 1 (MeT Co2)]]</f>
        <v>24363</v>
      </c>
      <c r="AG11" s="67">
        <f t="shared" si="0"/>
        <v>0</v>
      </c>
      <c r="AH11" s="68">
        <f t="shared" si="1"/>
        <v>0</v>
      </c>
      <c r="AK11" s="62" t="s">
        <v>1096</v>
      </c>
      <c r="AL11" s="62" t="s">
        <v>1096</v>
      </c>
      <c r="AM11" s="66">
        <f>Table1[[#This Row],[2019 Scope 2 ]]</f>
        <v>3153</v>
      </c>
      <c r="AN11" s="67">
        <f t="shared" si="2"/>
        <v>110811</v>
      </c>
      <c r="AO11" s="68">
        <f t="shared" si="3"/>
        <v>0.97233336843213647</v>
      </c>
      <c r="AP11" s="67">
        <f t="shared" si="4"/>
        <v>0</v>
      </c>
      <c r="AQ11" s="68">
        <f t="shared" si="5"/>
        <v>0</v>
      </c>
      <c r="AR11" s="72">
        <f>Table1[[#This Row],[2019 Scope 3 ]]</f>
        <v>2169197.679</v>
      </c>
      <c r="AS11" s="71">
        <f t="shared" si="6"/>
        <v>0</v>
      </c>
      <c r="AT11" s="51">
        <f t="shared" si="7"/>
        <v>0</v>
      </c>
      <c r="BI11" s="58">
        <v>692</v>
      </c>
    </row>
    <row r="12" spans="1:61">
      <c r="A12" s="59">
        <f>companies!A12</f>
        <v>11</v>
      </c>
      <c r="B12" s="61" t="s">
        <v>1056</v>
      </c>
      <c r="C12" s="73">
        <v>17121</v>
      </c>
      <c r="D12" s="73">
        <v>93781</v>
      </c>
      <c r="E12" s="73" t="s">
        <v>1096</v>
      </c>
      <c r="F12" s="73" t="s">
        <v>1096</v>
      </c>
      <c r="G12" s="73" t="s">
        <v>1096</v>
      </c>
      <c r="H12" s="73" t="s">
        <v>1096</v>
      </c>
      <c r="I12" s="73" t="s">
        <v>1096</v>
      </c>
      <c r="J12" s="73" t="s">
        <v>1096</v>
      </c>
      <c r="K12" s="73">
        <v>44695</v>
      </c>
      <c r="L12" s="73" t="s">
        <v>1096</v>
      </c>
      <c r="M12" s="62" t="s">
        <v>1096</v>
      </c>
      <c r="N12" s="62" t="s">
        <v>1096</v>
      </c>
      <c r="O12" s="62" t="s">
        <v>1096</v>
      </c>
      <c r="P12" s="62" t="s">
        <v>1096</v>
      </c>
      <c r="Q12" s="62" t="s">
        <v>1096</v>
      </c>
      <c r="R12" s="73" t="s">
        <v>1096</v>
      </c>
      <c r="S12" s="62" t="s">
        <v>1096</v>
      </c>
      <c r="T12" s="62" t="s">
        <v>1096</v>
      </c>
      <c r="U12" s="62" t="s">
        <v>1096</v>
      </c>
      <c r="V12" s="62" t="s">
        <v>1096</v>
      </c>
      <c r="W12" s="62">
        <f t="shared" si="8"/>
        <v>44695</v>
      </c>
      <c r="X12" s="62"/>
      <c r="Y12" s="62"/>
      <c r="Z12" s="62"/>
      <c r="AA12" s="62"/>
      <c r="AB12" s="62"/>
      <c r="AC12" s="62"/>
      <c r="AD12" s="62" t="s">
        <v>1064</v>
      </c>
      <c r="AE12" s="62" t="s">
        <v>1065</v>
      </c>
      <c r="AF12" s="66">
        <f>Table1[[#This Row],[2019 Scope 1 (MeT Co2)]]</f>
        <v>17121</v>
      </c>
      <c r="AG12" s="67">
        <f t="shared" si="0"/>
        <v>0</v>
      </c>
      <c r="AH12" s="68">
        <f t="shared" si="1"/>
        <v>0</v>
      </c>
      <c r="AK12" s="62" t="s">
        <v>1064</v>
      </c>
      <c r="AL12" s="62" t="s">
        <v>1065</v>
      </c>
      <c r="AM12" s="66">
        <f>Table1[[#This Row],[2019 Scope 2 ]]</f>
        <v>93781</v>
      </c>
      <c r="AN12" s="67">
        <f t="shared" si="2"/>
        <v>0</v>
      </c>
      <c r="AO12" s="68">
        <f t="shared" si="3"/>
        <v>0</v>
      </c>
      <c r="AP12" s="67" t="e">
        <f t="shared" si="4"/>
        <v>#VALUE!</v>
      </c>
      <c r="AQ12" s="68" t="e">
        <f t="shared" si="5"/>
        <v>#VALUE!</v>
      </c>
      <c r="AR12" s="72" t="str">
        <f>Table1[[#This Row],[2019 Scope 3 ]]</f>
        <v>NR</v>
      </c>
      <c r="AS12" s="71" t="e">
        <f t="shared" si="6"/>
        <v>#VALUE!</v>
      </c>
      <c r="AT12" s="51" t="e">
        <f t="shared" si="7"/>
        <v>#VALUE!</v>
      </c>
      <c r="BI12" s="58">
        <v>699</v>
      </c>
    </row>
    <row r="13" spans="1:61">
      <c r="A13" s="59">
        <f>companies!A13</f>
        <v>12</v>
      </c>
      <c r="B13" s="61" t="s">
        <v>1056</v>
      </c>
      <c r="C13" s="73">
        <v>556281</v>
      </c>
      <c r="D13" s="73">
        <v>1780621</v>
      </c>
      <c r="E13" s="73" t="s">
        <v>1096</v>
      </c>
      <c r="F13" s="73" t="s">
        <v>1096</v>
      </c>
      <c r="G13" s="73" t="s">
        <v>1096</v>
      </c>
      <c r="H13" s="73" t="s">
        <v>1096</v>
      </c>
      <c r="I13" s="73" t="s">
        <v>1096</v>
      </c>
      <c r="J13" s="73" t="s">
        <v>1096</v>
      </c>
      <c r="K13" s="73" t="s">
        <v>1096</v>
      </c>
      <c r="L13" s="73" t="s">
        <v>1096</v>
      </c>
      <c r="M13" s="62" t="s">
        <v>1096</v>
      </c>
      <c r="N13" s="62" t="s">
        <v>1096</v>
      </c>
      <c r="O13" s="62" t="s">
        <v>1096</v>
      </c>
      <c r="P13" s="62" t="s">
        <v>1096</v>
      </c>
      <c r="Q13" s="62" t="s">
        <v>1096</v>
      </c>
      <c r="R13" s="73" t="s">
        <v>1096</v>
      </c>
      <c r="S13" s="62" t="s">
        <v>1096</v>
      </c>
      <c r="T13" s="62" t="s">
        <v>1096</v>
      </c>
      <c r="U13" s="62" t="s">
        <v>1096</v>
      </c>
      <c r="V13" s="62" t="s">
        <v>1096</v>
      </c>
      <c r="W13" s="62">
        <f t="shared" si="8"/>
        <v>0</v>
      </c>
      <c r="X13" s="62"/>
      <c r="Y13" s="62"/>
      <c r="Z13" s="62"/>
      <c r="AA13" s="62"/>
      <c r="AB13" s="62"/>
      <c r="AC13" s="62"/>
      <c r="AD13" s="62" t="s">
        <v>1064</v>
      </c>
      <c r="AE13" s="62" t="s">
        <v>1065</v>
      </c>
      <c r="AF13" s="66">
        <f>Table1[[#This Row],[2019 Scope 1 (MeT Co2)]]</f>
        <v>556281</v>
      </c>
      <c r="AG13" s="67">
        <f t="shared" si="0"/>
        <v>0</v>
      </c>
      <c r="AH13" s="68">
        <f t="shared" si="1"/>
        <v>0</v>
      </c>
      <c r="AK13" s="62" t="s">
        <v>1064</v>
      </c>
      <c r="AL13" s="62" t="s">
        <v>1065</v>
      </c>
      <c r="AM13" s="66">
        <f>Table1[[#This Row],[2019 Scope 2 ]]</f>
        <v>1780621</v>
      </c>
      <c r="AN13" s="67">
        <f t="shared" si="2"/>
        <v>0</v>
      </c>
      <c r="AO13" s="68">
        <f t="shared" si="3"/>
        <v>0</v>
      </c>
      <c r="AP13" s="67" t="e">
        <f t="shared" si="4"/>
        <v>#VALUE!</v>
      </c>
      <c r="AQ13" s="68" t="e">
        <f t="shared" si="5"/>
        <v>#VALUE!</v>
      </c>
      <c r="AR13" s="72" t="str">
        <f>Table1[[#This Row],[2019 Scope 3 ]]</f>
        <v>NR</v>
      </c>
      <c r="AS13" s="71" t="e">
        <f t="shared" si="6"/>
        <v>#VALUE!</v>
      </c>
      <c r="AT13" s="51" t="e">
        <f t="shared" si="7"/>
        <v>#VALUE!</v>
      </c>
      <c r="BI13" s="58">
        <v>706</v>
      </c>
    </row>
    <row r="14" spans="1:61">
      <c r="A14" s="59">
        <f>companies!A14</f>
        <v>13</v>
      </c>
      <c r="B14" s="61" t="s">
        <v>1056</v>
      </c>
      <c r="C14" s="73">
        <v>135954</v>
      </c>
      <c r="D14" s="73">
        <v>173922</v>
      </c>
      <c r="E14" s="73">
        <v>160360</v>
      </c>
      <c r="F14" s="73">
        <v>2323917</v>
      </c>
      <c r="G14" s="73">
        <v>258132</v>
      </c>
      <c r="H14" s="73">
        <v>52554</v>
      </c>
      <c r="I14" s="73">
        <v>22572</v>
      </c>
      <c r="J14" s="73">
        <v>3454</v>
      </c>
      <c r="K14" s="73">
        <v>56478</v>
      </c>
      <c r="L14" s="73">
        <v>56210</v>
      </c>
      <c r="M14" s="62" t="s">
        <v>1096</v>
      </c>
      <c r="N14" s="62">
        <v>52991</v>
      </c>
      <c r="O14" s="62" t="s">
        <v>1096</v>
      </c>
      <c r="P14" s="62" t="s">
        <v>1096</v>
      </c>
      <c r="Q14" s="62">
        <v>3047</v>
      </c>
      <c r="R14" s="73" t="s">
        <v>1096</v>
      </c>
      <c r="S14" s="62" t="s">
        <v>1096</v>
      </c>
      <c r="T14" s="62" t="s">
        <v>1096</v>
      </c>
      <c r="U14" s="62" t="s">
        <v>1096</v>
      </c>
      <c r="V14" s="62" t="s">
        <v>1096</v>
      </c>
      <c r="W14" s="62">
        <f t="shared" si="8"/>
        <v>2829355</v>
      </c>
      <c r="X14" s="73"/>
      <c r="Y14" s="73"/>
      <c r="Z14" s="73"/>
      <c r="AA14" s="73"/>
      <c r="AB14" s="73"/>
      <c r="AC14" s="73"/>
      <c r="AD14" s="62" t="s">
        <v>1096</v>
      </c>
      <c r="AE14" s="62" t="s">
        <v>1096</v>
      </c>
      <c r="AF14" s="66">
        <f>Table1[[#This Row],[2019 Scope 1 (MeT Co2)]]</f>
        <v>135954</v>
      </c>
      <c r="AG14" s="67">
        <f t="shared" si="0"/>
        <v>0</v>
      </c>
      <c r="AH14" s="68">
        <f t="shared" si="1"/>
        <v>0</v>
      </c>
      <c r="AK14" s="62" t="s">
        <v>1096</v>
      </c>
      <c r="AL14" s="62" t="s">
        <v>1096</v>
      </c>
      <c r="AM14" s="66">
        <f>Table1[[#This Row],[2019 Scope 2 ]]</f>
        <v>160360</v>
      </c>
      <c r="AN14" s="67">
        <f t="shared" si="2"/>
        <v>13562</v>
      </c>
      <c r="AO14" s="68">
        <f t="shared" si="3"/>
        <v>7.7977484159565777E-2</v>
      </c>
      <c r="AP14" s="67">
        <f t="shared" si="4"/>
        <v>0</v>
      </c>
      <c r="AQ14" s="68">
        <f t="shared" si="5"/>
        <v>0</v>
      </c>
      <c r="AR14" s="72">
        <f>Table1[[#This Row],[2019 Scope 3 ]]</f>
        <v>2829355</v>
      </c>
      <c r="AS14" s="71">
        <f t="shared" si="6"/>
        <v>0</v>
      </c>
      <c r="AT14" s="51">
        <f t="shared" si="7"/>
        <v>0</v>
      </c>
      <c r="BI14" s="58">
        <v>716</v>
      </c>
    </row>
    <row r="15" spans="1:61">
      <c r="A15" s="59">
        <f>companies!A15</f>
        <v>14</v>
      </c>
      <c r="B15" s="61" t="s">
        <v>1056</v>
      </c>
      <c r="C15" s="73">
        <v>50549</v>
      </c>
      <c r="D15" s="73">
        <v>862127</v>
      </c>
      <c r="E15" s="73">
        <v>0</v>
      </c>
      <c r="F15" s="73">
        <v>18900000</v>
      </c>
      <c r="G15" s="73" t="s">
        <v>1096</v>
      </c>
      <c r="H15" s="73" t="s">
        <v>1096</v>
      </c>
      <c r="I15" s="73">
        <v>486000</v>
      </c>
      <c r="J15" s="73" t="s">
        <v>1096</v>
      </c>
      <c r="K15" s="73">
        <v>325500</v>
      </c>
      <c r="L15" s="73">
        <v>194700</v>
      </c>
      <c r="M15" s="62" t="s">
        <v>1096</v>
      </c>
      <c r="N15" s="62">
        <v>999000</v>
      </c>
      <c r="O15" s="62" t="s">
        <v>1096</v>
      </c>
      <c r="P15" s="62">
        <v>4100000</v>
      </c>
      <c r="Q15" s="62">
        <v>60000</v>
      </c>
      <c r="R15" s="73" t="s">
        <v>1096</v>
      </c>
      <c r="S15" s="62" t="s">
        <v>1096</v>
      </c>
      <c r="T15" s="62" t="s">
        <v>1096</v>
      </c>
      <c r="U15" s="62" t="s">
        <v>1096</v>
      </c>
      <c r="V15" s="62" t="s">
        <v>1096</v>
      </c>
      <c r="W15" s="62">
        <f t="shared" si="8"/>
        <v>25065200</v>
      </c>
      <c r="X15" s="73"/>
      <c r="Y15" s="73"/>
      <c r="Z15" s="73"/>
      <c r="AA15" s="73"/>
      <c r="AB15" s="73"/>
      <c r="AC15" s="73"/>
      <c r="AD15" s="62" t="s">
        <v>1096</v>
      </c>
      <c r="AE15" s="62" t="s">
        <v>1096</v>
      </c>
      <c r="AF15" s="66">
        <f>Table1[[#This Row],[2019 Scope 1 (MeT Co2)]]</f>
        <v>50549</v>
      </c>
      <c r="AG15" s="67">
        <f t="shared" si="0"/>
        <v>0</v>
      </c>
      <c r="AH15" s="68">
        <f t="shared" si="1"/>
        <v>0</v>
      </c>
      <c r="AK15" s="62" t="s">
        <v>1096</v>
      </c>
      <c r="AL15" s="62" t="s">
        <v>1096</v>
      </c>
      <c r="AM15" s="66">
        <f>Table1[[#This Row],[2019 Scope 2 ]]</f>
        <v>0</v>
      </c>
      <c r="AN15" s="67">
        <f t="shared" si="2"/>
        <v>862127</v>
      </c>
      <c r="AO15" s="68">
        <f t="shared" si="3"/>
        <v>1</v>
      </c>
      <c r="AP15" s="67">
        <f t="shared" si="4"/>
        <v>0</v>
      </c>
      <c r="AQ15" s="68" t="e">
        <f t="shared" si="5"/>
        <v>#DIV/0!</v>
      </c>
      <c r="AR15" s="72">
        <f>Table1[[#This Row],[2019 Scope 3 ]]</f>
        <v>25065200</v>
      </c>
      <c r="AS15" s="71">
        <f t="shared" si="6"/>
        <v>0</v>
      </c>
      <c r="AT15" s="51">
        <f t="shared" si="7"/>
        <v>0</v>
      </c>
      <c r="BI15" s="58">
        <v>865</v>
      </c>
    </row>
    <row r="16" spans="1:61">
      <c r="A16" s="59">
        <f>companies!A16</f>
        <v>15</v>
      </c>
      <c r="B16" s="61" t="s">
        <v>1056</v>
      </c>
      <c r="C16" s="73">
        <v>990955</v>
      </c>
      <c r="D16" s="73">
        <v>6015122</v>
      </c>
      <c r="E16" s="73">
        <v>5534088</v>
      </c>
      <c r="F16" s="73">
        <v>2166116</v>
      </c>
      <c r="G16" s="73">
        <v>167125</v>
      </c>
      <c r="H16" s="73" t="s">
        <v>1096</v>
      </c>
      <c r="I16" s="73">
        <v>64038</v>
      </c>
      <c r="J16" s="73">
        <v>34267</v>
      </c>
      <c r="K16" s="73">
        <v>154670</v>
      </c>
      <c r="L16" s="73" t="s">
        <v>1096</v>
      </c>
      <c r="M16" s="62" t="s">
        <v>1096</v>
      </c>
      <c r="N16" s="62" t="s">
        <v>1096</v>
      </c>
      <c r="O16" s="62" t="s">
        <v>1096</v>
      </c>
      <c r="P16" s="62" t="s">
        <v>1096</v>
      </c>
      <c r="Q16" s="62" t="s">
        <v>1096</v>
      </c>
      <c r="R16" s="73">
        <v>3705329</v>
      </c>
      <c r="S16" s="62" t="s">
        <v>1096</v>
      </c>
      <c r="T16" s="62" t="s">
        <v>1096</v>
      </c>
      <c r="U16" s="62" t="s">
        <v>1096</v>
      </c>
      <c r="V16" s="62" t="s">
        <v>1096</v>
      </c>
      <c r="W16" s="62">
        <f t="shared" si="8"/>
        <v>6291545</v>
      </c>
      <c r="X16" s="73"/>
      <c r="Y16" s="73"/>
      <c r="Z16" s="73"/>
      <c r="AA16" s="73"/>
      <c r="AB16" s="73"/>
      <c r="AC16" s="73"/>
      <c r="AD16" s="62" t="s">
        <v>1096</v>
      </c>
      <c r="AE16" s="62" t="s">
        <v>1096</v>
      </c>
      <c r="AF16" s="66">
        <f>Table1[[#This Row],[2019 Scope 1 (MeT Co2)]]</f>
        <v>990000</v>
      </c>
      <c r="AG16" s="67">
        <f t="shared" si="0"/>
        <v>955</v>
      </c>
      <c r="AH16" s="68">
        <f t="shared" si="1"/>
        <v>9.6371681862445825E-4</v>
      </c>
      <c r="AK16" s="62" t="s">
        <v>1096</v>
      </c>
      <c r="AL16" s="62" t="s">
        <v>1096</v>
      </c>
      <c r="AM16" s="66">
        <f>Table1[[#This Row],[2019 Scope 2 ]]</f>
        <v>5530000</v>
      </c>
      <c r="AN16" s="67">
        <f t="shared" si="2"/>
        <v>485122</v>
      </c>
      <c r="AO16" s="68">
        <f t="shared" si="3"/>
        <v>8.0650400773251155E-2</v>
      </c>
      <c r="AP16" s="67">
        <f t="shared" si="4"/>
        <v>-4088</v>
      </c>
      <c r="AQ16" s="68">
        <f t="shared" si="5"/>
        <v>-7.3869443348208413E-4</v>
      </c>
      <c r="AR16" s="72">
        <f>Table1[[#This Row],[2019 Scope 3 ]]</f>
        <v>3890000</v>
      </c>
      <c r="AS16" s="71">
        <f t="shared" si="6"/>
        <v>2401545</v>
      </c>
      <c r="AT16" s="51">
        <f t="shared" si="7"/>
        <v>0.38170989796623883</v>
      </c>
      <c r="BI16" s="61">
        <v>1113</v>
      </c>
    </row>
    <row r="17" spans="1:61">
      <c r="A17" s="59">
        <f>companies!A17</f>
        <v>16</v>
      </c>
      <c r="B17" s="61" t="s">
        <v>1056</v>
      </c>
      <c r="C17" s="73">
        <v>62639</v>
      </c>
      <c r="D17" s="73">
        <v>728771</v>
      </c>
      <c r="E17" s="73">
        <v>17523</v>
      </c>
      <c r="F17" s="73">
        <v>2329208</v>
      </c>
      <c r="G17" s="73">
        <v>251336</v>
      </c>
      <c r="H17" s="73">
        <v>161151</v>
      </c>
      <c r="I17" s="73">
        <v>140215</v>
      </c>
      <c r="J17" s="73">
        <v>22386</v>
      </c>
      <c r="K17" s="73">
        <v>162457</v>
      </c>
      <c r="L17" s="73">
        <v>378088</v>
      </c>
      <c r="M17" s="62" t="s">
        <v>1096</v>
      </c>
      <c r="N17" s="62">
        <v>1400000</v>
      </c>
      <c r="O17" s="62" t="s">
        <v>1096</v>
      </c>
      <c r="P17" s="62">
        <v>4000</v>
      </c>
      <c r="Q17" s="62">
        <v>19000</v>
      </c>
      <c r="R17" s="73" t="s">
        <v>1096</v>
      </c>
      <c r="S17" s="62" t="s">
        <v>1096</v>
      </c>
      <c r="T17" s="62" t="s">
        <v>1096</v>
      </c>
      <c r="U17" s="62" t="s">
        <v>1096</v>
      </c>
      <c r="V17" s="62" t="s">
        <v>1096</v>
      </c>
      <c r="W17" s="62">
        <f t="shared" si="8"/>
        <v>4867841</v>
      </c>
      <c r="X17" s="73"/>
      <c r="Y17" s="73"/>
      <c r="Z17" s="73"/>
      <c r="AA17" s="73"/>
      <c r="AB17" s="73"/>
      <c r="AC17" s="73"/>
      <c r="AD17" s="62" t="s">
        <v>1096</v>
      </c>
      <c r="AE17" s="62" t="s">
        <v>1096</v>
      </c>
      <c r="AF17" s="66">
        <f>Table1[[#This Row],[2019 Scope 1 (MeT Co2)]]</f>
        <v>62639</v>
      </c>
      <c r="AG17" s="67">
        <f t="shared" si="0"/>
        <v>0</v>
      </c>
      <c r="AH17" s="68">
        <f t="shared" si="1"/>
        <v>0</v>
      </c>
      <c r="AK17" s="62" t="s">
        <v>1096</v>
      </c>
      <c r="AL17" s="62" t="s">
        <v>1096</v>
      </c>
      <c r="AM17" s="66">
        <f>Table1[[#This Row],[2019 Scope 2 ]]</f>
        <v>17523</v>
      </c>
      <c r="AN17" s="67">
        <f t="shared" si="2"/>
        <v>711248</v>
      </c>
      <c r="AO17" s="68">
        <f t="shared" si="3"/>
        <v>0.97595540986125962</v>
      </c>
      <c r="AP17" s="67">
        <f t="shared" si="4"/>
        <v>0</v>
      </c>
      <c r="AQ17" s="68">
        <f t="shared" si="5"/>
        <v>0</v>
      </c>
      <c r="AR17" s="72">
        <f>Table1[[#This Row],[2019 Scope 3 ]]</f>
        <v>4867841</v>
      </c>
      <c r="AS17" s="71">
        <f t="shared" si="6"/>
        <v>0</v>
      </c>
      <c r="AT17" s="51">
        <f t="shared" si="7"/>
        <v>0</v>
      </c>
      <c r="BI17" s="58">
        <v>1452</v>
      </c>
    </row>
    <row r="18" spans="1:61">
      <c r="A18" s="59">
        <f>companies!A18</f>
        <v>17</v>
      </c>
      <c r="B18" s="61" t="s">
        <v>1056</v>
      </c>
      <c r="C18" s="73" t="s">
        <v>1095</v>
      </c>
      <c r="D18" s="73" t="s">
        <v>1095</v>
      </c>
      <c r="E18" s="73" t="s">
        <v>1095</v>
      </c>
      <c r="F18" s="73" t="s">
        <v>1095</v>
      </c>
      <c r="G18" s="73" t="s">
        <v>1095</v>
      </c>
      <c r="H18" s="73" t="s">
        <v>1095</v>
      </c>
      <c r="I18" s="73" t="s">
        <v>1095</v>
      </c>
      <c r="J18" s="73" t="s">
        <v>1095</v>
      </c>
      <c r="K18" s="73" t="s">
        <v>1095</v>
      </c>
      <c r="L18" s="73" t="s">
        <v>1095</v>
      </c>
      <c r="M18" s="73" t="s">
        <v>1095</v>
      </c>
      <c r="N18" s="73" t="s">
        <v>1095</v>
      </c>
      <c r="O18" s="73" t="s">
        <v>1095</v>
      </c>
      <c r="P18" s="73" t="s">
        <v>1095</v>
      </c>
      <c r="Q18" s="73" t="s">
        <v>1095</v>
      </c>
      <c r="R18" s="73" t="s">
        <v>1095</v>
      </c>
      <c r="S18" s="73" t="s">
        <v>1095</v>
      </c>
      <c r="T18" s="73" t="s">
        <v>1095</v>
      </c>
      <c r="U18" s="73" t="s">
        <v>1095</v>
      </c>
      <c r="V18" s="73" t="s">
        <v>1095</v>
      </c>
      <c r="W18" s="62">
        <f t="shared" si="8"/>
        <v>0</v>
      </c>
      <c r="X18" s="62"/>
      <c r="Y18" s="62"/>
      <c r="Z18" s="62"/>
      <c r="AA18" s="62"/>
      <c r="AB18" s="62"/>
      <c r="AC18" s="62"/>
      <c r="AD18" s="62" t="e">
        <v>#N/A</v>
      </c>
      <c r="AE18" s="62" t="e">
        <v>#N/A</v>
      </c>
      <c r="AF18" s="66" t="str">
        <f>Table1[[#This Row],[2019 Scope 1 (MeT Co2)]]</f>
        <v>NR</v>
      </c>
      <c r="AG18" s="67" t="e">
        <f t="shared" si="0"/>
        <v>#VALUE!</v>
      </c>
      <c r="AH18" s="68" t="e">
        <f t="shared" si="1"/>
        <v>#VALUE!</v>
      </c>
      <c r="AK18" s="62" t="e">
        <v>#N/A</v>
      </c>
      <c r="AL18" s="62" t="e">
        <v>#N/A</v>
      </c>
      <c r="AM18" s="66" t="str">
        <f>Table1[[#This Row],[2019 Scope 2 ]]</f>
        <v>NR</v>
      </c>
      <c r="AN18" s="67" t="e">
        <f t="shared" si="2"/>
        <v>#VALUE!</v>
      </c>
      <c r="AO18" s="68" t="e">
        <f t="shared" si="3"/>
        <v>#VALUE!</v>
      </c>
      <c r="AP18" s="67" t="e">
        <f t="shared" si="4"/>
        <v>#VALUE!</v>
      </c>
      <c r="AQ18" s="68" t="e">
        <f t="shared" si="5"/>
        <v>#VALUE!</v>
      </c>
      <c r="AR18" s="72" t="str">
        <f>Table1[[#This Row],[2019 Scope 3 ]]</f>
        <v>NR</v>
      </c>
      <c r="AS18" s="71" t="e">
        <f t="shared" si="6"/>
        <v>#VALUE!</v>
      </c>
      <c r="AT18" s="51" t="e">
        <f t="shared" si="7"/>
        <v>#VALUE!</v>
      </c>
    </row>
    <row r="19" spans="1:61">
      <c r="A19" s="59">
        <f>companies!A19</f>
        <v>18</v>
      </c>
      <c r="B19" s="61" t="s">
        <v>1056</v>
      </c>
      <c r="C19" s="73">
        <v>67031</v>
      </c>
      <c r="D19" s="73">
        <v>36802</v>
      </c>
      <c r="E19" s="73">
        <v>106</v>
      </c>
      <c r="F19" s="73">
        <v>334954</v>
      </c>
      <c r="G19" s="73">
        <v>32759</v>
      </c>
      <c r="H19" s="73">
        <v>10515</v>
      </c>
      <c r="I19" s="73" t="s">
        <v>1096</v>
      </c>
      <c r="J19" s="73">
        <v>645</v>
      </c>
      <c r="K19" s="73">
        <v>24083</v>
      </c>
      <c r="L19" s="73">
        <v>9516</v>
      </c>
      <c r="M19" s="62">
        <v>0</v>
      </c>
      <c r="N19" s="62" t="s">
        <v>1096</v>
      </c>
      <c r="O19" s="62" t="s">
        <v>1096</v>
      </c>
      <c r="P19" s="62" t="s">
        <v>1096</v>
      </c>
      <c r="Q19" s="62">
        <v>12065</v>
      </c>
      <c r="R19" s="73" t="s">
        <v>1096</v>
      </c>
      <c r="S19" s="62" t="s">
        <v>1096</v>
      </c>
      <c r="T19" s="62" t="s">
        <v>1096</v>
      </c>
      <c r="U19" s="62" t="s">
        <v>1096</v>
      </c>
      <c r="V19" s="62" t="s">
        <v>1096</v>
      </c>
      <c r="W19" s="62">
        <f t="shared" si="8"/>
        <v>424537</v>
      </c>
      <c r="X19" s="73"/>
      <c r="Y19" s="73"/>
      <c r="Z19" s="73"/>
      <c r="AA19" s="73"/>
      <c r="AB19" s="73"/>
      <c r="AC19" s="73"/>
      <c r="AD19" s="62" t="s">
        <v>1096</v>
      </c>
      <c r="AE19" s="62" t="s">
        <v>1096</v>
      </c>
      <c r="AF19" s="66">
        <f>Table1[[#This Row],[2019 Scope 1 (MeT Co2)]]</f>
        <v>67031</v>
      </c>
      <c r="AG19" s="67">
        <f t="shared" si="0"/>
        <v>0</v>
      </c>
      <c r="AH19" s="68">
        <f t="shared" si="1"/>
        <v>0</v>
      </c>
      <c r="AK19" s="62" t="s">
        <v>1096</v>
      </c>
      <c r="AL19" s="62" t="s">
        <v>1096</v>
      </c>
      <c r="AM19" s="66">
        <f>Table1[[#This Row],[2019 Scope 2 ]]</f>
        <v>106</v>
      </c>
      <c r="AN19" s="67">
        <f t="shared" si="2"/>
        <v>36696</v>
      </c>
      <c r="AO19" s="68">
        <f t="shared" si="3"/>
        <v>0.99711972175425245</v>
      </c>
      <c r="AP19" s="67">
        <f t="shared" si="4"/>
        <v>0</v>
      </c>
      <c r="AQ19" s="68">
        <f t="shared" si="5"/>
        <v>0</v>
      </c>
      <c r="AR19" s="72">
        <f>Table1[[#This Row],[2019 Scope 3 ]]</f>
        <v>424537</v>
      </c>
      <c r="AS19" s="71">
        <f t="shared" si="6"/>
        <v>0</v>
      </c>
      <c r="AT19" s="51">
        <f t="shared" si="7"/>
        <v>0</v>
      </c>
      <c r="BI19" s="58">
        <v>1857</v>
      </c>
    </row>
    <row r="20" spans="1:61">
      <c r="A20" s="59">
        <f>companies!A20</f>
        <v>19</v>
      </c>
      <c r="B20" s="61" t="s">
        <v>1056</v>
      </c>
      <c r="C20" s="73">
        <v>5589</v>
      </c>
      <c r="D20" s="73">
        <v>20369</v>
      </c>
      <c r="E20" s="73">
        <v>0</v>
      </c>
      <c r="F20" s="73">
        <v>351950</v>
      </c>
      <c r="G20" s="73">
        <v>15521</v>
      </c>
      <c r="H20" s="73">
        <v>7865</v>
      </c>
      <c r="I20" s="73">
        <v>2462</v>
      </c>
      <c r="J20" s="73">
        <v>1162</v>
      </c>
      <c r="K20" s="73">
        <v>39116</v>
      </c>
      <c r="L20" s="73">
        <v>1161</v>
      </c>
      <c r="M20" s="62">
        <v>777</v>
      </c>
      <c r="N20" s="62" t="s">
        <v>1096</v>
      </c>
      <c r="O20" s="62" t="s">
        <v>1096</v>
      </c>
      <c r="P20" s="62" t="s">
        <v>1096</v>
      </c>
      <c r="Q20" s="62" t="s">
        <v>1096</v>
      </c>
      <c r="R20" s="73" t="s">
        <v>1096</v>
      </c>
      <c r="S20" s="62" t="s">
        <v>1096</v>
      </c>
      <c r="T20" s="62" t="s">
        <v>1096</v>
      </c>
      <c r="U20" s="62" t="s">
        <v>1096</v>
      </c>
      <c r="V20" s="62" t="s">
        <v>1096</v>
      </c>
      <c r="W20" s="62">
        <f t="shared" si="8"/>
        <v>420014</v>
      </c>
      <c r="X20" s="73"/>
      <c r="Y20" s="73"/>
      <c r="Z20" s="73"/>
      <c r="AA20" s="73"/>
      <c r="AB20" s="73"/>
      <c r="AC20" s="73"/>
      <c r="AD20" s="62" t="s">
        <v>1096</v>
      </c>
      <c r="AE20" s="62" t="s">
        <v>1096</v>
      </c>
      <c r="AF20" s="66">
        <f>Table1[[#This Row],[2019 Scope 1 (MeT Co2)]]</f>
        <v>5589</v>
      </c>
      <c r="AG20" s="67">
        <f t="shared" si="0"/>
        <v>0</v>
      </c>
      <c r="AH20" s="68">
        <f t="shared" si="1"/>
        <v>0</v>
      </c>
      <c r="AK20" s="62" t="s">
        <v>1096</v>
      </c>
      <c r="AL20" s="62" t="s">
        <v>1096</v>
      </c>
      <c r="AM20" s="66">
        <f>Table1[[#This Row],[2019 Scope 2 ]]</f>
        <v>0</v>
      </c>
      <c r="AN20" s="67">
        <f t="shared" si="2"/>
        <v>20369</v>
      </c>
      <c r="AO20" s="68">
        <f t="shared" si="3"/>
        <v>1</v>
      </c>
      <c r="AP20" s="67">
        <f t="shared" si="4"/>
        <v>0</v>
      </c>
      <c r="AQ20" s="68" t="e">
        <f t="shared" si="5"/>
        <v>#DIV/0!</v>
      </c>
      <c r="AR20" s="72">
        <f>Table1[[#This Row],[2019 Scope 3 ]]</f>
        <v>420014</v>
      </c>
      <c r="AS20" s="71">
        <f t="shared" si="6"/>
        <v>0</v>
      </c>
      <c r="AT20" s="51">
        <f t="shared" si="7"/>
        <v>0</v>
      </c>
      <c r="BI20" s="58">
        <v>1875</v>
      </c>
    </row>
    <row r="21" spans="1:61">
      <c r="A21" s="59">
        <f>companies!A21</f>
        <v>20</v>
      </c>
      <c r="B21" s="61" t="s">
        <v>1056</v>
      </c>
      <c r="C21" s="73">
        <v>613000</v>
      </c>
      <c r="D21" s="73">
        <v>871000</v>
      </c>
      <c r="E21" s="73">
        <v>733000</v>
      </c>
      <c r="F21" s="73" t="s">
        <v>1096</v>
      </c>
      <c r="G21" s="73" t="s">
        <v>1096</v>
      </c>
      <c r="H21" s="73" t="s">
        <v>1096</v>
      </c>
      <c r="I21" s="73" t="s">
        <v>1096</v>
      </c>
      <c r="J21" s="73" t="s">
        <v>1096</v>
      </c>
      <c r="K21" s="73">
        <v>290000</v>
      </c>
      <c r="L21" s="73" t="s">
        <v>1096</v>
      </c>
      <c r="M21" s="62" t="s">
        <v>1096</v>
      </c>
      <c r="N21" s="62" t="s">
        <v>1096</v>
      </c>
      <c r="O21" s="62" t="s">
        <v>1096</v>
      </c>
      <c r="P21" s="62" t="s">
        <v>1096</v>
      </c>
      <c r="Q21" s="62" t="s">
        <v>1096</v>
      </c>
      <c r="R21" s="73" t="s">
        <v>1096</v>
      </c>
      <c r="S21" s="62" t="s">
        <v>1096</v>
      </c>
      <c r="T21" s="62" t="s">
        <v>1096</v>
      </c>
      <c r="U21" s="62" t="s">
        <v>1096</v>
      </c>
      <c r="V21" s="62" t="s">
        <v>1096</v>
      </c>
      <c r="W21" s="62">
        <f t="shared" si="8"/>
        <v>290000</v>
      </c>
      <c r="X21" s="73"/>
      <c r="Y21" s="73"/>
      <c r="Z21" s="73"/>
      <c r="AA21" s="73"/>
      <c r="AB21" s="73"/>
      <c r="AC21" s="73"/>
      <c r="AD21" s="62" t="s">
        <v>1096</v>
      </c>
      <c r="AE21" s="62" t="s">
        <v>1096</v>
      </c>
      <c r="AF21" s="66">
        <f>Table1[[#This Row],[2019 Scope 1 (MeT Co2)]]</f>
        <v>613000</v>
      </c>
      <c r="AG21" s="67">
        <f t="shared" si="0"/>
        <v>0</v>
      </c>
      <c r="AH21" s="68">
        <f t="shared" si="1"/>
        <v>0</v>
      </c>
      <c r="AK21" s="62" t="s">
        <v>1096</v>
      </c>
      <c r="AL21" s="62" t="s">
        <v>1096</v>
      </c>
      <c r="AM21" s="66">
        <f>Table1[[#This Row],[2019 Scope 2 ]]</f>
        <v>733000</v>
      </c>
      <c r="AN21" s="67">
        <f t="shared" si="2"/>
        <v>138000</v>
      </c>
      <c r="AO21" s="68">
        <f t="shared" si="3"/>
        <v>0.15843857634902411</v>
      </c>
      <c r="AP21" s="67">
        <f t="shared" si="4"/>
        <v>0</v>
      </c>
      <c r="AQ21" s="68">
        <f t="shared" si="5"/>
        <v>0</v>
      </c>
      <c r="AR21" s="72">
        <f>Table1[[#This Row],[2019 Scope 3 ]]</f>
        <v>290000</v>
      </c>
      <c r="AS21" s="71">
        <f t="shared" si="6"/>
        <v>0</v>
      </c>
      <c r="AT21" s="51">
        <f t="shared" si="7"/>
        <v>0</v>
      </c>
      <c r="BI21" s="58">
        <v>2017</v>
      </c>
    </row>
    <row r="22" spans="1:61">
      <c r="A22" s="59">
        <f>companies!A22</f>
        <v>21</v>
      </c>
      <c r="B22" s="61" t="s">
        <v>1056</v>
      </c>
      <c r="C22" s="73" t="s">
        <v>1095</v>
      </c>
      <c r="D22" s="73" t="s">
        <v>1095</v>
      </c>
      <c r="E22" s="73" t="s">
        <v>1095</v>
      </c>
      <c r="F22" s="73" t="s">
        <v>1095</v>
      </c>
      <c r="G22" s="73" t="s">
        <v>1095</v>
      </c>
      <c r="H22" s="73" t="s">
        <v>1095</v>
      </c>
      <c r="I22" s="73" t="s">
        <v>1095</v>
      </c>
      <c r="J22" s="73" t="s">
        <v>1095</v>
      </c>
      <c r="K22" s="73" t="s">
        <v>1095</v>
      </c>
      <c r="L22" s="73" t="s">
        <v>1095</v>
      </c>
      <c r="M22" s="73" t="s">
        <v>1095</v>
      </c>
      <c r="N22" s="73" t="s">
        <v>1095</v>
      </c>
      <c r="O22" s="73" t="s">
        <v>1095</v>
      </c>
      <c r="P22" s="73" t="s">
        <v>1095</v>
      </c>
      <c r="Q22" s="73" t="s">
        <v>1095</v>
      </c>
      <c r="R22" s="73" t="s">
        <v>1095</v>
      </c>
      <c r="S22" s="73" t="s">
        <v>1095</v>
      </c>
      <c r="T22" s="73" t="s">
        <v>1095</v>
      </c>
      <c r="U22" s="73" t="s">
        <v>1095</v>
      </c>
      <c r="V22" s="73" t="s">
        <v>1095</v>
      </c>
      <c r="W22" s="62">
        <f t="shared" si="8"/>
        <v>0</v>
      </c>
      <c r="X22" s="62"/>
      <c r="Y22" s="62"/>
      <c r="Z22" s="62"/>
      <c r="AA22" s="62"/>
      <c r="AB22" s="62"/>
      <c r="AC22" s="62"/>
      <c r="AD22" s="62" t="e">
        <v>#N/A</v>
      </c>
      <c r="AE22" s="62" t="e">
        <v>#N/A</v>
      </c>
      <c r="AF22" s="66" t="str">
        <f>Table1[[#This Row],[2019 Scope 1 (MeT Co2)]]</f>
        <v>NR</v>
      </c>
      <c r="AG22" s="67" t="e">
        <f t="shared" si="0"/>
        <v>#VALUE!</v>
      </c>
      <c r="AH22" s="68" t="e">
        <f t="shared" si="1"/>
        <v>#VALUE!</v>
      </c>
      <c r="AK22" s="62" t="e">
        <v>#N/A</v>
      </c>
      <c r="AL22" s="62" t="e">
        <v>#N/A</v>
      </c>
      <c r="AM22" s="66" t="str">
        <f>Table1[[#This Row],[2019 Scope 2 ]]</f>
        <v>NR</v>
      </c>
      <c r="AN22" s="67" t="e">
        <f t="shared" si="2"/>
        <v>#VALUE!</v>
      </c>
      <c r="AO22" s="68" t="e">
        <f t="shared" si="3"/>
        <v>#VALUE!</v>
      </c>
      <c r="AP22" s="67" t="e">
        <f t="shared" si="4"/>
        <v>#VALUE!</v>
      </c>
      <c r="AQ22" s="68" t="e">
        <f t="shared" si="5"/>
        <v>#VALUE!</v>
      </c>
      <c r="AR22" s="72" t="str">
        <f>Table1[[#This Row],[2019 Scope 3 ]]</f>
        <v>NR</v>
      </c>
      <c r="AS22" s="71" t="e">
        <f t="shared" si="6"/>
        <v>#VALUE!</v>
      </c>
      <c r="AT22" s="51" t="e">
        <f t="shared" si="7"/>
        <v>#VALUE!</v>
      </c>
    </row>
    <row r="23" spans="1:61">
      <c r="A23" s="59">
        <f>companies!A23</f>
        <v>22</v>
      </c>
      <c r="B23" s="61" t="s">
        <v>1056</v>
      </c>
      <c r="C23" s="73">
        <v>189193.66500000001</v>
      </c>
      <c r="D23" s="73">
        <v>122295.068</v>
      </c>
      <c r="E23" s="73">
        <v>111155.772</v>
      </c>
      <c r="F23" s="73">
        <v>17052094.850000001</v>
      </c>
      <c r="G23" s="73" t="s">
        <v>1096</v>
      </c>
      <c r="H23" s="73">
        <v>23768.400000000001</v>
      </c>
      <c r="I23" s="73">
        <v>28267.279999999999</v>
      </c>
      <c r="J23" s="73">
        <v>4607.3100000000004</v>
      </c>
      <c r="K23" s="73">
        <v>55785.66</v>
      </c>
      <c r="L23" s="73">
        <v>20400</v>
      </c>
      <c r="M23" s="62" t="s">
        <v>1096</v>
      </c>
      <c r="N23" s="62" t="s">
        <v>1096</v>
      </c>
      <c r="O23" s="62" t="s">
        <v>1096</v>
      </c>
      <c r="P23" s="62" t="s">
        <v>1096</v>
      </c>
      <c r="Q23" s="62" t="s">
        <v>1096</v>
      </c>
      <c r="R23" s="73" t="s">
        <v>1096</v>
      </c>
      <c r="S23" s="62" t="s">
        <v>1096</v>
      </c>
      <c r="T23" s="62" t="s">
        <v>1096</v>
      </c>
      <c r="U23" s="62" t="s">
        <v>1096</v>
      </c>
      <c r="V23" s="62" t="s">
        <v>1096</v>
      </c>
      <c r="W23" s="62">
        <f t="shared" si="8"/>
        <v>17184923.5</v>
      </c>
      <c r="X23" s="62"/>
      <c r="Y23" s="62"/>
      <c r="Z23" s="62"/>
      <c r="AA23" s="62"/>
      <c r="AB23" s="62"/>
      <c r="AC23" s="62"/>
      <c r="AD23" s="62" t="s">
        <v>1096</v>
      </c>
      <c r="AE23" s="62" t="s">
        <v>1096</v>
      </c>
      <c r="AF23" s="66" t="str">
        <f>Table1[[#This Row],[2019 Scope 1 (MeT Co2)]]</f>
        <v>NR</v>
      </c>
      <c r="AG23" s="67" t="e">
        <f t="shared" si="0"/>
        <v>#VALUE!</v>
      </c>
      <c r="AH23" s="68" t="e">
        <f t="shared" si="1"/>
        <v>#VALUE!</v>
      </c>
      <c r="AK23" s="62" t="s">
        <v>1096</v>
      </c>
      <c r="AL23" s="62" t="s">
        <v>1096</v>
      </c>
      <c r="AM23" s="66" t="str">
        <f>Table1[[#This Row],[2019 Scope 2 ]]</f>
        <v>NR</v>
      </c>
      <c r="AN23" s="67" t="e">
        <f t="shared" si="2"/>
        <v>#VALUE!</v>
      </c>
      <c r="AO23" s="68" t="e">
        <f t="shared" si="3"/>
        <v>#VALUE!</v>
      </c>
      <c r="AP23" s="67" t="e">
        <f t="shared" si="4"/>
        <v>#VALUE!</v>
      </c>
      <c r="AQ23" s="68" t="e">
        <f t="shared" si="5"/>
        <v>#VALUE!</v>
      </c>
      <c r="AR23" s="72" t="str">
        <f>Table1[[#This Row],[2019 Scope 3 ]]</f>
        <v>NR</v>
      </c>
      <c r="AS23" s="71" t="e">
        <f t="shared" si="6"/>
        <v>#VALUE!</v>
      </c>
      <c r="AT23" s="51" t="e">
        <f t="shared" si="7"/>
        <v>#VALUE!</v>
      </c>
      <c r="BI23" s="58">
        <v>2191</v>
      </c>
    </row>
    <row r="24" spans="1:61">
      <c r="A24" s="59">
        <f>companies!A24</f>
        <v>23</v>
      </c>
      <c r="B24" s="61" t="s">
        <v>1056</v>
      </c>
      <c r="C24" s="73">
        <v>9495</v>
      </c>
      <c r="D24" s="73">
        <v>146671</v>
      </c>
      <c r="E24" s="73">
        <v>135</v>
      </c>
      <c r="F24" s="73">
        <v>165571</v>
      </c>
      <c r="G24" s="73" t="s">
        <v>1096</v>
      </c>
      <c r="H24" s="73">
        <v>8156</v>
      </c>
      <c r="I24" s="73">
        <v>67870</v>
      </c>
      <c r="J24" s="73">
        <v>4762</v>
      </c>
      <c r="K24" s="73">
        <v>37500</v>
      </c>
      <c r="L24" s="73">
        <v>101249</v>
      </c>
      <c r="M24" s="62" t="s">
        <v>1096</v>
      </c>
      <c r="N24" s="62" t="s">
        <v>1096</v>
      </c>
      <c r="O24" s="62" t="s">
        <v>1096</v>
      </c>
      <c r="P24" s="62" t="s">
        <v>1096</v>
      </c>
      <c r="Q24" s="62" t="s">
        <v>1096</v>
      </c>
      <c r="R24" s="73">
        <v>5866.51</v>
      </c>
      <c r="S24" s="62" t="s">
        <v>1096</v>
      </c>
      <c r="T24" s="62" t="s">
        <v>1096</v>
      </c>
      <c r="U24" s="62" t="s">
        <v>1096</v>
      </c>
      <c r="V24" s="62" t="s">
        <v>1096</v>
      </c>
      <c r="W24" s="62">
        <f t="shared" si="8"/>
        <v>390974.51</v>
      </c>
      <c r="X24" s="73"/>
      <c r="Y24" s="73"/>
      <c r="Z24" s="73"/>
      <c r="AA24" s="73"/>
      <c r="AB24" s="73"/>
      <c r="AC24" s="73"/>
      <c r="AD24" s="62" t="s">
        <v>1096</v>
      </c>
      <c r="AE24" s="62" t="s">
        <v>1096</v>
      </c>
      <c r="AF24" s="66">
        <f>Table1[[#This Row],[2019 Scope 1 (MeT Co2)]]</f>
        <v>9495</v>
      </c>
      <c r="AG24" s="67">
        <f t="shared" si="0"/>
        <v>0</v>
      </c>
      <c r="AH24" s="68">
        <f t="shared" si="1"/>
        <v>0</v>
      </c>
      <c r="AK24" s="62" t="s">
        <v>1096</v>
      </c>
      <c r="AL24" s="62" t="s">
        <v>1096</v>
      </c>
      <c r="AM24" s="66">
        <f>Table1[[#This Row],[2019 Scope 2 ]]</f>
        <v>135</v>
      </c>
      <c r="AN24" s="67">
        <f t="shared" si="2"/>
        <v>146536</v>
      </c>
      <c r="AO24" s="68">
        <f t="shared" si="3"/>
        <v>0.99907957264898994</v>
      </c>
      <c r="AP24" s="67">
        <f t="shared" si="4"/>
        <v>0</v>
      </c>
      <c r="AQ24" s="68">
        <f t="shared" si="5"/>
        <v>0</v>
      </c>
      <c r="AR24" s="72">
        <f>Table1[[#This Row],[2019 Scope 3 ]]</f>
        <v>390974.51</v>
      </c>
      <c r="AS24" s="71">
        <f t="shared" si="6"/>
        <v>0</v>
      </c>
      <c r="AT24" s="51">
        <f t="shared" si="7"/>
        <v>0</v>
      </c>
      <c r="BI24" s="58">
        <v>2695</v>
      </c>
    </row>
    <row r="25" spans="1:61">
      <c r="A25" s="59">
        <f>companies!A25</f>
        <v>24</v>
      </c>
      <c r="B25" s="61" t="s">
        <v>1056</v>
      </c>
      <c r="C25" s="73" t="s">
        <v>1095</v>
      </c>
      <c r="D25" s="73" t="s">
        <v>1095</v>
      </c>
      <c r="E25" s="73" t="s">
        <v>1095</v>
      </c>
      <c r="F25" s="73" t="s">
        <v>1095</v>
      </c>
      <c r="G25" s="73" t="s">
        <v>1095</v>
      </c>
      <c r="H25" s="73" t="s">
        <v>1095</v>
      </c>
      <c r="I25" s="73" t="s">
        <v>1095</v>
      </c>
      <c r="J25" s="73" t="s">
        <v>1095</v>
      </c>
      <c r="K25" s="73" t="s">
        <v>1095</v>
      </c>
      <c r="L25" s="73" t="s">
        <v>1095</v>
      </c>
      <c r="M25" s="73" t="s">
        <v>1095</v>
      </c>
      <c r="N25" s="73" t="s">
        <v>1095</v>
      </c>
      <c r="O25" s="73" t="s">
        <v>1095</v>
      </c>
      <c r="P25" s="73" t="s">
        <v>1095</v>
      </c>
      <c r="Q25" s="73" t="s">
        <v>1095</v>
      </c>
      <c r="R25" s="73" t="s">
        <v>1095</v>
      </c>
      <c r="S25" s="73" t="s">
        <v>1095</v>
      </c>
      <c r="T25" s="73" t="s">
        <v>1095</v>
      </c>
      <c r="U25" s="73" t="s">
        <v>1095</v>
      </c>
      <c r="V25" s="73" t="s">
        <v>1095</v>
      </c>
      <c r="W25" s="62">
        <f t="shared" si="8"/>
        <v>0</v>
      </c>
      <c r="X25" s="62"/>
      <c r="Y25" s="62"/>
      <c r="Z25" s="62"/>
      <c r="AA25" s="62"/>
      <c r="AB25" s="62"/>
      <c r="AC25" s="62"/>
      <c r="AD25" s="62" t="e">
        <v>#N/A</v>
      </c>
      <c r="AE25" s="62" t="e">
        <v>#N/A</v>
      </c>
      <c r="AF25" s="66">
        <f>Table1[[#This Row],[2019 Scope 1 (MeT Co2)]]</f>
        <v>905000</v>
      </c>
      <c r="AG25" s="67" t="e">
        <f t="shared" si="0"/>
        <v>#VALUE!</v>
      </c>
      <c r="AH25" s="68" t="e">
        <f t="shared" si="1"/>
        <v>#VALUE!</v>
      </c>
      <c r="AK25" s="62" t="e">
        <v>#N/A</v>
      </c>
      <c r="AL25" s="62" t="e">
        <v>#N/A</v>
      </c>
      <c r="AM25" s="66">
        <f>Table1[[#This Row],[2019 Scope 2 ]]</f>
        <v>869000</v>
      </c>
      <c r="AN25" s="67" t="e">
        <f t="shared" si="2"/>
        <v>#VALUE!</v>
      </c>
      <c r="AO25" s="68" t="e">
        <f t="shared" si="3"/>
        <v>#VALUE!</v>
      </c>
      <c r="AP25" s="67" t="e">
        <f t="shared" si="4"/>
        <v>#VALUE!</v>
      </c>
      <c r="AQ25" s="68" t="e">
        <f t="shared" si="5"/>
        <v>#VALUE!</v>
      </c>
      <c r="AR25" s="72" t="str">
        <f>Table1[[#This Row],[2019 Scope 3 ]]</f>
        <v>NR</v>
      </c>
      <c r="AS25" s="71" t="e">
        <f t="shared" si="6"/>
        <v>#VALUE!</v>
      </c>
      <c r="AT25" s="51" t="e">
        <f t="shared" si="7"/>
        <v>#VALUE!</v>
      </c>
    </row>
    <row r="26" spans="1:61">
      <c r="A26" s="59">
        <f>companies!A26</f>
        <v>25</v>
      </c>
      <c r="B26" s="61" t="s">
        <v>1056</v>
      </c>
      <c r="C26" s="73" t="s">
        <v>1095</v>
      </c>
      <c r="D26" s="73" t="s">
        <v>1095</v>
      </c>
      <c r="E26" s="73" t="s">
        <v>1095</v>
      </c>
      <c r="F26" s="73" t="s">
        <v>1095</v>
      </c>
      <c r="G26" s="73" t="s">
        <v>1095</v>
      </c>
      <c r="H26" s="73" t="s">
        <v>1095</v>
      </c>
      <c r="I26" s="73" t="s">
        <v>1095</v>
      </c>
      <c r="J26" s="73" t="s">
        <v>1095</v>
      </c>
      <c r="K26" s="73" t="s">
        <v>1095</v>
      </c>
      <c r="L26" s="73" t="s">
        <v>1095</v>
      </c>
      <c r="M26" s="73" t="s">
        <v>1095</v>
      </c>
      <c r="N26" s="73" t="s">
        <v>1095</v>
      </c>
      <c r="O26" s="73" t="s">
        <v>1095</v>
      </c>
      <c r="P26" s="73" t="s">
        <v>1095</v>
      </c>
      <c r="Q26" s="73" t="s">
        <v>1095</v>
      </c>
      <c r="R26" s="73" t="s">
        <v>1095</v>
      </c>
      <c r="S26" s="73" t="s">
        <v>1095</v>
      </c>
      <c r="T26" s="73" t="s">
        <v>1095</v>
      </c>
      <c r="U26" s="73" t="s">
        <v>1095</v>
      </c>
      <c r="V26" s="73" t="s">
        <v>1095</v>
      </c>
      <c r="W26" s="62">
        <f t="shared" si="8"/>
        <v>0</v>
      </c>
      <c r="X26" s="62"/>
      <c r="Y26" s="62"/>
      <c r="Z26" s="62"/>
      <c r="AA26" s="62"/>
      <c r="AB26" s="62"/>
      <c r="AC26" s="62"/>
      <c r="AD26" s="62" t="e">
        <v>#N/A</v>
      </c>
      <c r="AE26" s="62" t="e">
        <v>#N/A</v>
      </c>
      <c r="AF26" s="66" t="str">
        <f>Table1[[#This Row],[2019 Scope 1 (MeT Co2)]]</f>
        <v>NR</v>
      </c>
      <c r="AG26" s="67" t="e">
        <f t="shared" si="0"/>
        <v>#VALUE!</v>
      </c>
      <c r="AH26" s="68" t="e">
        <f t="shared" si="1"/>
        <v>#VALUE!</v>
      </c>
      <c r="AK26" s="62" t="e">
        <v>#N/A</v>
      </c>
      <c r="AL26" s="62" t="e">
        <v>#N/A</v>
      </c>
      <c r="AM26" s="66" t="str">
        <f>Table1[[#This Row],[2019 Scope 2 ]]</f>
        <v>NR</v>
      </c>
      <c r="AN26" s="67" t="e">
        <f t="shared" si="2"/>
        <v>#VALUE!</v>
      </c>
      <c r="AO26" s="68" t="e">
        <f t="shared" si="3"/>
        <v>#VALUE!</v>
      </c>
      <c r="AP26" s="67" t="e">
        <f t="shared" si="4"/>
        <v>#VALUE!</v>
      </c>
      <c r="AQ26" s="68" t="e">
        <f t="shared" si="5"/>
        <v>#VALUE!</v>
      </c>
      <c r="AR26" s="72" t="str">
        <f>Table1[[#This Row],[2019 Scope 3 ]]</f>
        <v>NR</v>
      </c>
      <c r="AS26" s="71" t="e">
        <f t="shared" si="6"/>
        <v>#VALUE!</v>
      </c>
      <c r="AT26" s="51" t="e">
        <f t="shared" si="7"/>
        <v>#VALUE!</v>
      </c>
    </row>
    <row r="27" spans="1:61">
      <c r="A27" s="59">
        <f>companies!A27</f>
        <v>26</v>
      </c>
      <c r="B27" s="61" t="s">
        <v>1056</v>
      </c>
      <c r="C27" s="73" t="s">
        <v>1095</v>
      </c>
      <c r="D27" s="73" t="s">
        <v>1095</v>
      </c>
      <c r="E27" s="73" t="s">
        <v>1095</v>
      </c>
      <c r="F27" s="73" t="s">
        <v>1095</v>
      </c>
      <c r="G27" s="73" t="s">
        <v>1095</v>
      </c>
      <c r="H27" s="73" t="s">
        <v>1095</v>
      </c>
      <c r="I27" s="73" t="s">
        <v>1095</v>
      </c>
      <c r="J27" s="73" t="s">
        <v>1095</v>
      </c>
      <c r="K27" s="73" t="s">
        <v>1095</v>
      </c>
      <c r="L27" s="73" t="s">
        <v>1095</v>
      </c>
      <c r="M27" s="73" t="s">
        <v>1095</v>
      </c>
      <c r="N27" s="73" t="s">
        <v>1095</v>
      </c>
      <c r="O27" s="73" t="s">
        <v>1095</v>
      </c>
      <c r="P27" s="73" t="s">
        <v>1095</v>
      </c>
      <c r="Q27" s="73" t="s">
        <v>1095</v>
      </c>
      <c r="R27" s="73" t="s">
        <v>1095</v>
      </c>
      <c r="S27" s="73" t="s">
        <v>1095</v>
      </c>
      <c r="T27" s="73" t="s">
        <v>1095</v>
      </c>
      <c r="U27" s="73" t="s">
        <v>1095</v>
      </c>
      <c r="V27" s="73" t="s">
        <v>1095</v>
      </c>
      <c r="W27" s="62">
        <f t="shared" si="8"/>
        <v>0</v>
      </c>
      <c r="X27" s="62"/>
      <c r="Y27" s="62"/>
      <c r="Z27" s="62"/>
      <c r="AA27" s="62"/>
      <c r="AB27" s="62"/>
      <c r="AC27" s="62"/>
      <c r="AD27" s="62" t="e">
        <v>#N/A</v>
      </c>
      <c r="AE27" s="62" t="e">
        <v>#N/A</v>
      </c>
      <c r="AF27" s="66">
        <f>Table1[[#This Row],[2019 Scope 1 (MeT Co2)]]</f>
        <v>55000000</v>
      </c>
      <c r="AG27" s="67" t="e">
        <f t="shared" si="0"/>
        <v>#VALUE!</v>
      </c>
      <c r="AH27" s="68" t="e">
        <f t="shared" si="1"/>
        <v>#VALUE!</v>
      </c>
      <c r="AK27" s="62" t="e">
        <v>#N/A</v>
      </c>
      <c r="AL27" s="62" t="e">
        <v>#N/A</v>
      </c>
      <c r="AM27" s="66">
        <f>Table1[[#This Row],[2019 Scope 2 ]]</f>
        <v>2000000</v>
      </c>
      <c r="AN27" s="67" t="e">
        <f t="shared" si="2"/>
        <v>#VALUE!</v>
      </c>
      <c r="AO27" s="68" t="e">
        <f t="shared" si="3"/>
        <v>#VALUE!</v>
      </c>
      <c r="AP27" s="67" t="e">
        <f t="shared" si="4"/>
        <v>#VALUE!</v>
      </c>
      <c r="AQ27" s="68" t="e">
        <f t="shared" si="5"/>
        <v>#VALUE!</v>
      </c>
      <c r="AR27" s="72">
        <f>Table1[[#This Row],[2019 Scope 3 ]]</f>
        <v>413000000</v>
      </c>
      <c r="AS27" s="71">
        <f t="shared" si="6"/>
        <v>-413000000</v>
      </c>
      <c r="AT27" s="51" t="e">
        <f t="shared" si="7"/>
        <v>#DIV/0!</v>
      </c>
    </row>
    <row r="28" spans="1:61">
      <c r="A28" s="59">
        <f>companies!A28</f>
        <v>27</v>
      </c>
      <c r="B28" s="61" t="s">
        <v>1056</v>
      </c>
      <c r="C28" s="73">
        <v>41181</v>
      </c>
      <c r="D28" s="73">
        <v>651331</v>
      </c>
      <c r="E28" s="73">
        <v>187428</v>
      </c>
      <c r="F28" s="73">
        <v>1154682</v>
      </c>
      <c r="G28" s="73">
        <v>40020</v>
      </c>
      <c r="H28" s="73">
        <v>39054</v>
      </c>
      <c r="I28" s="73">
        <v>36598</v>
      </c>
      <c r="J28" s="73">
        <v>779</v>
      </c>
      <c r="K28" s="73">
        <v>207323</v>
      </c>
      <c r="L28" s="73">
        <v>79699</v>
      </c>
      <c r="M28" s="62" t="s">
        <v>1096</v>
      </c>
      <c r="N28" s="62">
        <v>83396</v>
      </c>
      <c r="O28" s="62" t="s">
        <v>1096</v>
      </c>
      <c r="P28" s="62">
        <v>24929174</v>
      </c>
      <c r="Q28" s="62">
        <v>272</v>
      </c>
      <c r="R28" s="73" t="s">
        <v>1096</v>
      </c>
      <c r="S28" s="62" t="s">
        <v>1096</v>
      </c>
      <c r="T28" s="62" t="s">
        <v>1096</v>
      </c>
      <c r="U28" s="62" t="s">
        <v>1096</v>
      </c>
      <c r="V28" s="62" t="s">
        <v>1096</v>
      </c>
      <c r="W28" s="62">
        <f t="shared" si="8"/>
        <v>26570997</v>
      </c>
      <c r="X28" s="73"/>
      <c r="Y28" s="73"/>
      <c r="Z28" s="73"/>
      <c r="AA28" s="73"/>
      <c r="AB28" s="73"/>
      <c r="AC28" s="73"/>
      <c r="AD28" s="62" t="s">
        <v>1096</v>
      </c>
      <c r="AE28" s="62" t="s">
        <v>1096</v>
      </c>
      <c r="AF28" s="66">
        <f>Table1[[#This Row],[2019 Scope 1 (MeT Co2)]]</f>
        <v>41181</v>
      </c>
      <c r="AG28" s="67">
        <f t="shared" si="0"/>
        <v>0</v>
      </c>
      <c r="AH28" s="68">
        <f t="shared" si="1"/>
        <v>0</v>
      </c>
      <c r="AK28" s="62" t="s">
        <v>1096</v>
      </c>
      <c r="AL28" s="62" t="s">
        <v>1096</v>
      </c>
      <c r="AM28" s="66">
        <f>Table1[[#This Row],[2019 Scope 2 ]]</f>
        <v>187428</v>
      </c>
      <c r="AN28" s="67">
        <f t="shared" si="2"/>
        <v>463903</v>
      </c>
      <c r="AO28" s="68">
        <f t="shared" si="3"/>
        <v>0.71223847782463912</v>
      </c>
      <c r="AP28" s="67">
        <f t="shared" si="4"/>
        <v>0</v>
      </c>
      <c r="AQ28" s="68">
        <f t="shared" si="5"/>
        <v>0</v>
      </c>
      <c r="AR28" s="72">
        <f>Table1[[#This Row],[2019 Scope 3 ]]</f>
        <v>26570997</v>
      </c>
      <c r="AS28" s="71">
        <f t="shared" si="6"/>
        <v>0</v>
      </c>
      <c r="AT28" s="51">
        <f t="shared" si="7"/>
        <v>0</v>
      </c>
      <c r="BI28" s="58">
        <v>3329</v>
      </c>
    </row>
    <row r="29" spans="1:61">
      <c r="A29" s="59">
        <f>companies!A29</f>
        <v>28</v>
      </c>
      <c r="B29" s="61" t="s">
        <v>1056</v>
      </c>
      <c r="C29" s="73">
        <v>23289</v>
      </c>
      <c r="D29" s="73">
        <v>593611</v>
      </c>
      <c r="E29" s="73">
        <v>359748</v>
      </c>
      <c r="F29" s="73">
        <v>3057.83</v>
      </c>
      <c r="G29" s="73">
        <v>365372.29</v>
      </c>
      <c r="H29" s="73">
        <v>170626.34</v>
      </c>
      <c r="I29" s="73" t="s">
        <v>1096</v>
      </c>
      <c r="J29" s="73" t="s">
        <v>1096</v>
      </c>
      <c r="K29" s="73">
        <v>126229</v>
      </c>
      <c r="L29" s="73">
        <v>82627.850000000006</v>
      </c>
      <c r="M29" s="62" t="s">
        <v>1096</v>
      </c>
      <c r="N29" s="62" t="s">
        <v>1096</v>
      </c>
      <c r="O29" s="62" t="s">
        <v>1096</v>
      </c>
      <c r="P29" s="62" t="s">
        <v>1096</v>
      </c>
      <c r="Q29" s="62" t="s">
        <v>1096</v>
      </c>
      <c r="R29" s="73" t="s">
        <v>1096</v>
      </c>
      <c r="S29" s="62" t="s">
        <v>1096</v>
      </c>
      <c r="T29" s="62" t="s">
        <v>1096</v>
      </c>
      <c r="U29" s="62" t="s">
        <v>1096</v>
      </c>
      <c r="V29" s="62" t="s">
        <v>1096</v>
      </c>
      <c r="W29" s="62">
        <f t="shared" si="8"/>
        <v>747913.30999999994</v>
      </c>
      <c r="X29" s="73"/>
      <c r="Y29" s="73"/>
      <c r="Z29" s="73"/>
      <c r="AA29" s="73"/>
      <c r="AB29" s="73"/>
      <c r="AC29" s="73"/>
      <c r="AD29" s="62" t="s">
        <v>1096</v>
      </c>
      <c r="AE29" s="62" t="s">
        <v>1096</v>
      </c>
      <c r="AF29" s="66">
        <f>Table1[[#This Row],[2019 Scope 1 (MeT Co2)]]</f>
        <v>23289</v>
      </c>
      <c r="AG29" s="67">
        <f t="shared" si="0"/>
        <v>0</v>
      </c>
      <c r="AH29" s="68">
        <f t="shared" si="1"/>
        <v>0</v>
      </c>
      <c r="AK29" s="62" t="s">
        <v>1096</v>
      </c>
      <c r="AL29" s="62" t="s">
        <v>1096</v>
      </c>
      <c r="AM29" s="66">
        <f>Table1[[#This Row],[2019 Scope 2 ]]</f>
        <v>593611</v>
      </c>
      <c r="AN29" s="67">
        <f t="shared" si="2"/>
        <v>0</v>
      </c>
      <c r="AO29" s="68">
        <f t="shared" si="3"/>
        <v>0</v>
      </c>
      <c r="AP29" s="67">
        <f t="shared" si="4"/>
        <v>233863</v>
      </c>
      <c r="AQ29" s="68">
        <f t="shared" si="5"/>
        <v>0.65007449659205885</v>
      </c>
      <c r="AR29" s="72">
        <f>Table1[[#This Row],[2019 Scope 3 ]]</f>
        <v>747913.30999999994</v>
      </c>
      <c r="AS29" s="71">
        <f t="shared" si="6"/>
        <v>0</v>
      </c>
      <c r="AT29" s="51">
        <f t="shared" si="7"/>
        <v>0</v>
      </c>
      <c r="BI29" s="58">
        <v>3398</v>
      </c>
    </row>
    <row r="30" spans="1:61">
      <c r="A30" s="59">
        <f>companies!A30</f>
        <v>29</v>
      </c>
      <c r="B30" s="61" t="s">
        <v>1056</v>
      </c>
      <c r="C30" s="73">
        <v>687597</v>
      </c>
      <c r="D30" s="73">
        <v>868343</v>
      </c>
      <c r="E30" s="73">
        <v>871304</v>
      </c>
      <c r="F30" s="73">
        <v>22809959</v>
      </c>
      <c r="G30" s="73">
        <v>1799000</v>
      </c>
      <c r="H30" s="73" t="s">
        <v>1096</v>
      </c>
      <c r="I30" s="73" t="s">
        <v>1096</v>
      </c>
      <c r="J30" s="73">
        <v>0</v>
      </c>
      <c r="K30" s="73">
        <v>130838</v>
      </c>
      <c r="L30" s="73" t="s">
        <v>1096</v>
      </c>
      <c r="M30" s="62" t="s">
        <v>1096</v>
      </c>
      <c r="N30" s="62">
        <v>2290854</v>
      </c>
      <c r="O30" s="62">
        <v>22630377</v>
      </c>
      <c r="P30" s="62" t="s">
        <v>1096</v>
      </c>
      <c r="Q30" s="62" t="s">
        <v>1096</v>
      </c>
      <c r="R30" s="73" t="s">
        <v>1096</v>
      </c>
      <c r="S30" s="62">
        <v>4378013</v>
      </c>
      <c r="T30" s="62" t="s">
        <v>1096</v>
      </c>
      <c r="U30" s="62" t="s">
        <v>1096</v>
      </c>
      <c r="V30" s="62" t="s">
        <v>1096</v>
      </c>
      <c r="W30" s="62">
        <f t="shared" si="8"/>
        <v>54039041</v>
      </c>
      <c r="X30" s="73"/>
      <c r="Y30" s="73"/>
      <c r="Z30" s="73"/>
      <c r="AA30" s="73"/>
      <c r="AB30" s="73"/>
      <c r="AC30" s="73"/>
      <c r="AD30" s="62" t="s">
        <v>1096</v>
      </c>
      <c r="AE30" s="62" t="s">
        <v>1096</v>
      </c>
      <c r="AF30" s="66">
        <f>Table1[[#This Row],[2019 Scope 1 (MeT Co2)]]</f>
        <v>1830000</v>
      </c>
      <c r="AG30" s="67">
        <f t="shared" si="0"/>
        <v>-1142403</v>
      </c>
      <c r="AH30" s="69">
        <f t="shared" si="1"/>
        <v>-1.661442676451468</v>
      </c>
      <c r="AK30" s="62" t="s">
        <v>1096</v>
      </c>
      <c r="AL30" s="62" t="s">
        <v>1096</v>
      </c>
      <c r="AM30" s="66">
        <f>Table1[[#This Row],[2019 Scope 2 ]]</f>
        <v>3730000</v>
      </c>
      <c r="AN30" s="67">
        <f t="shared" si="2"/>
        <v>-2861657</v>
      </c>
      <c r="AO30" s="69">
        <f t="shared" si="3"/>
        <v>-3.2955375928636497</v>
      </c>
      <c r="AP30" s="67">
        <f t="shared" si="4"/>
        <v>2858696</v>
      </c>
      <c r="AQ30" s="69">
        <f t="shared" si="5"/>
        <v>3.2809398327105121</v>
      </c>
      <c r="AR30" s="72" t="str">
        <f>Table1[[#This Row],[2019 Scope 3 ]]</f>
        <v>NR</v>
      </c>
      <c r="AS30" s="71" t="e">
        <f t="shared" si="6"/>
        <v>#VALUE!</v>
      </c>
      <c r="AT30" s="51" t="e">
        <f t="shared" si="7"/>
        <v>#VALUE!</v>
      </c>
      <c r="BI30" s="61">
        <v>3564</v>
      </c>
    </row>
    <row r="31" spans="1:61">
      <c r="A31" s="59">
        <f>companies!A31</f>
        <v>30</v>
      </c>
      <c r="B31" s="61" t="s">
        <v>1056</v>
      </c>
      <c r="C31" s="73">
        <v>197523</v>
      </c>
      <c r="D31" s="73">
        <v>379901</v>
      </c>
      <c r="E31" s="73">
        <v>283289</v>
      </c>
      <c r="F31" s="73">
        <v>3998484</v>
      </c>
      <c r="G31" s="73">
        <v>107147</v>
      </c>
      <c r="H31" s="73">
        <v>144711</v>
      </c>
      <c r="I31" s="73">
        <v>622256</v>
      </c>
      <c r="J31" s="73">
        <v>43842</v>
      </c>
      <c r="K31" s="73">
        <v>43504</v>
      </c>
      <c r="L31" s="73">
        <v>75573</v>
      </c>
      <c r="M31" s="62">
        <v>70599</v>
      </c>
      <c r="N31" s="62" t="s">
        <v>1096</v>
      </c>
      <c r="O31" s="62" t="s">
        <v>1096</v>
      </c>
      <c r="P31" s="62">
        <v>42014727</v>
      </c>
      <c r="Q31" s="62">
        <v>1559375</v>
      </c>
      <c r="R31" s="73" t="s">
        <v>1096</v>
      </c>
      <c r="S31" s="62" t="s">
        <v>1096</v>
      </c>
      <c r="T31" s="62" t="s">
        <v>1096</v>
      </c>
      <c r="U31" s="62" t="s">
        <v>1096</v>
      </c>
      <c r="V31" s="62" t="s">
        <v>1096</v>
      </c>
      <c r="W31" s="62">
        <f t="shared" si="8"/>
        <v>48680218</v>
      </c>
      <c r="X31" s="73"/>
      <c r="Y31" s="73"/>
      <c r="Z31" s="73"/>
      <c r="AA31" s="73"/>
      <c r="AB31" s="73"/>
      <c r="AC31" s="73"/>
      <c r="AD31" s="62" t="s">
        <v>1096</v>
      </c>
      <c r="AE31" s="62" t="s">
        <v>1096</v>
      </c>
      <c r="AF31" s="66">
        <f>Table1[[#This Row],[2019 Scope 1 (MeT Co2)]]</f>
        <v>191000</v>
      </c>
      <c r="AG31" s="67">
        <f t="shared" si="0"/>
        <v>6523</v>
      </c>
      <c r="AH31" s="68">
        <f t="shared" si="1"/>
        <v>3.3024002268090297E-2</v>
      </c>
      <c r="AK31" s="62" t="s">
        <v>1096</v>
      </c>
      <c r="AL31" s="62" t="s">
        <v>1096</v>
      </c>
      <c r="AM31" s="66">
        <f>Table1[[#This Row],[2019 Scope 2 ]]</f>
        <v>283000</v>
      </c>
      <c r="AN31" s="67">
        <f t="shared" si="2"/>
        <v>96901</v>
      </c>
      <c r="AO31" s="68">
        <f t="shared" si="3"/>
        <v>0.25506908378761833</v>
      </c>
      <c r="AP31" s="67">
        <f t="shared" si="4"/>
        <v>-289</v>
      </c>
      <c r="AQ31" s="68">
        <f t="shared" si="5"/>
        <v>-1.0201596249766139E-3</v>
      </c>
      <c r="AR31" s="72">
        <f>Table1[[#This Row],[2019 Scope 3 ]]</f>
        <v>48680000</v>
      </c>
      <c r="AS31" s="71">
        <f t="shared" si="6"/>
        <v>218</v>
      </c>
      <c r="AT31" s="51">
        <f t="shared" si="7"/>
        <v>4.4782050893855896E-6</v>
      </c>
      <c r="BI31" s="61">
        <v>3551</v>
      </c>
    </row>
    <row r="32" spans="1:61">
      <c r="A32" s="59">
        <f>companies!A32</f>
        <v>31</v>
      </c>
      <c r="B32" s="61" t="s">
        <v>1056</v>
      </c>
      <c r="C32" s="73">
        <v>498455</v>
      </c>
      <c r="D32" s="73">
        <v>1568717</v>
      </c>
      <c r="E32" s="73">
        <v>1496771</v>
      </c>
      <c r="F32" s="73" t="s">
        <v>1096</v>
      </c>
      <c r="G32" s="73" t="s">
        <v>1096</v>
      </c>
      <c r="H32" s="73" t="s">
        <v>1096</v>
      </c>
      <c r="I32" s="73" t="s">
        <v>1096</v>
      </c>
      <c r="J32" s="73" t="s">
        <v>1096</v>
      </c>
      <c r="K32" s="73" t="s">
        <v>1096</v>
      </c>
      <c r="L32" s="73" t="s">
        <v>1096</v>
      </c>
      <c r="M32" s="62" t="s">
        <v>1096</v>
      </c>
      <c r="N32" s="62" t="s">
        <v>1096</v>
      </c>
      <c r="O32" s="62" t="s">
        <v>1096</v>
      </c>
      <c r="P32" s="62" t="s">
        <v>1096</v>
      </c>
      <c r="Q32" s="62" t="s">
        <v>1096</v>
      </c>
      <c r="R32" s="73" t="s">
        <v>1096</v>
      </c>
      <c r="S32" s="62" t="s">
        <v>1096</v>
      </c>
      <c r="T32" s="62" t="s">
        <v>1096</v>
      </c>
      <c r="U32" s="62" t="s">
        <v>1096</v>
      </c>
      <c r="V32" s="62" t="s">
        <v>1096</v>
      </c>
      <c r="W32" s="62">
        <f t="shared" si="8"/>
        <v>0</v>
      </c>
      <c r="X32" s="73"/>
      <c r="Y32" s="73"/>
      <c r="Z32" s="73"/>
      <c r="AA32" s="73"/>
      <c r="AB32" s="73"/>
      <c r="AC32" s="73"/>
      <c r="AD32" s="62" t="s">
        <v>1096</v>
      </c>
      <c r="AE32" s="62" t="s">
        <v>1096</v>
      </c>
      <c r="AF32" s="66">
        <f>Table1[[#This Row],[2019 Scope 1 (MeT Co2)]]</f>
        <v>498455</v>
      </c>
      <c r="AG32" s="67">
        <f t="shared" si="0"/>
        <v>0</v>
      </c>
      <c r="AH32" s="68">
        <f t="shared" si="1"/>
        <v>0</v>
      </c>
      <c r="AK32" s="62" t="s">
        <v>1096</v>
      </c>
      <c r="AL32" s="62" t="s">
        <v>1096</v>
      </c>
      <c r="AM32" s="66">
        <f>Table1[[#This Row],[2019 Scope 2 ]]</f>
        <v>1496771</v>
      </c>
      <c r="AN32" s="67">
        <f t="shared" si="2"/>
        <v>71946</v>
      </c>
      <c r="AO32" s="68">
        <f t="shared" si="3"/>
        <v>4.5862956798453772E-2</v>
      </c>
      <c r="AP32" s="67">
        <f t="shared" si="4"/>
        <v>0</v>
      </c>
      <c r="AQ32" s="68">
        <f t="shared" si="5"/>
        <v>0</v>
      </c>
      <c r="AR32" s="72" t="str">
        <f>Table1[[#This Row],[2019 Scope 3 ]]</f>
        <v>NR</v>
      </c>
      <c r="AS32" s="71" t="e">
        <f t="shared" si="6"/>
        <v>#VALUE!</v>
      </c>
      <c r="AT32" s="51" t="e">
        <f t="shared" si="7"/>
        <v>#VALUE!</v>
      </c>
      <c r="BI32" s="58">
        <v>3635</v>
      </c>
    </row>
    <row r="33" spans="1:61">
      <c r="A33" s="59">
        <f>companies!A33</f>
        <v>32</v>
      </c>
      <c r="B33" s="61" t="s">
        <v>1056</v>
      </c>
      <c r="C33" s="73">
        <v>19500244</v>
      </c>
      <c r="D33" s="73">
        <v>956931</v>
      </c>
      <c r="E33" s="73" t="s">
        <v>1096</v>
      </c>
      <c r="F33" s="73" t="s">
        <v>1096</v>
      </c>
      <c r="G33" s="73" t="s">
        <v>1096</v>
      </c>
      <c r="H33" s="73" t="s">
        <v>1096</v>
      </c>
      <c r="I33" s="73">
        <v>2672913</v>
      </c>
      <c r="J33" s="73" t="s">
        <v>1096</v>
      </c>
      <c r="K33" s="73" t="s">
        <v>1096</v>
      </c>
      <c r="L33" s="73" t="s">
        <v>1096</v>
      </c>
      <c r="M33" s="62" t="s">
        <v>1096</v>
      </c>
      <c r="N33" s="62">
        <v>4901363</v>
      </c>
      <c r="O33" s="62">
        <v>14236023</v>
      </c>
      <c r="P33" s="62">
        <v>173354465</v>
      </c>
      <c r="Q33" s="62" t="s">
        <v>1096</v>
      </c>
      <c r="R33" s="73" t="s">
        <v>1096</v>
      </c>
      <c r="S33" s="62" t="s">
        <v>1096</v>
      </c>
      <c r="T33" s="62" t="s">
        <v>1096</v>
      </c>
      <c r="U33" s="62" t="s">
        <v>1096</v>
      </c>
      <c r="V33" s="62" t="s">
        <v>1096</v>
      </c>
      <c r="W33" s="62">
        <f t="shared" si="8"/>
        <v>195164764</v>
      </c>
      <c r="X33" s="62"/>
      <c r="Y33" s="62"/>
      <c r="Z33" s="62"/>
      <c r="AA33" s="62"/>
      <c r="AB33" s="62"/>
      <c r="AC33" s="62"/>
      <c r="AD33" s="62" t="s">
        <v>1096</v>
      </c>
      <c r="AE33" s="62" t="s">
        <v>1096</v>
      </c>
      <c r="AF33" s="66">
        <f>Table1[[#This Row],[2019 Scope 1 (MeT Co2)]]</f>
        <v>19500000</v>
      </c>
      <c r="AG33" s="67">
        <f t="shared" si="0"/>
        <v>244</v>
      </c>
      <c r="AH33" s="68">
        <f t="shared" si="1"/>
        <v>1.2512663944102444E-5</v>
      </c>
      <c r="AK33" s="62" t="s">
        <v>1096</v>
      </c>
      <c r="AL33" s="62" t="s">
        <v>1096</v>
      </c>
      <c r="AM33" s="66">
        <f>Table1[[#This Row],[2019 Scope 2 ]]</f>
        <v>1000000</v>
      </c>
      <c r="AN33" s="67">
        <f t="shared" si="2"/>
        <v>-43069</v>
      </c>
      <c r="AO33" s="68">
        <f t="shared" si="3"/>
        <v>-4.5007424777753047E-2</v>
      </c>
      <c r="AP33" s="67" t="e">
        <f t="shared" si="4"/>
        <v>#VALUE!</v>
      </c>
      <c r="AQ33" s="68" t="e">
        <f t="shared" si="5"/>
        <v>#VALUE!</v>
      </c>
      <c r="AR33" s="72">
        <f>Table1[[#This Row],[2019 Scope 3 ]]</f>
        <v>173400000</v>
      </c>
      <c r="AS33" s="71">
        <f t="shared" si="6"/>
        <v>21764764</v>
      </c>
      <c r="AT33" s="51">
        <f t="shared" si="7"/>
        <v>0.11151994629522366</v>
      </c>
      <c r="BI33" s="61">
        <v>3751</v>
      </c>
    </row>
    <row r="34" spans="1:61">
      <c r="A34" s="59">
        <f>companies!A34</f>
        <v>33</v>
      </c>
      <c r="B34" s="61" t="s">
        <v>1056</v>
      </c>
      <c r="C34" s="73">
        <v>1108562.25</v>
      </c>
      <c r="D34" s="73">
        <v>1473874.16</v>
      </c>
      <c r="E34" s="73" t="s">
        <v>1096</v>
      </c>
      <c r="F34" s="73" t="s">
        <v>1096</v>
      </c>
      <c r="G34" s="73" t="s">
        <v>1096</v>
      </c>
      <c r="H34" s="73" t="s">
        <v>1096</v>
      </c>
      <c r="I34" s="73" t="s">
        <v>1096</v>
      </c>
      <c r="J34" s="73" t="s">
        <v>1096</v>
      </c>
      <c r="K34" s="73" t="s">
        <v>1096</v>
      </c>
      <c r="L34" s="73" t="s">
        <v>1096</v>
      </c>
      <c r="M34" s="62" t="s">
        <v>1096</v>
      </c>
      <c r="N34" s="62" t="s">
        <v>1096</v>
      </c>
      <c r="O34" s="62" t="s">
        <v>1096</v>
      </c>
      <c r="P34" s="62" t="s">
        <v>1096</v>
      </c>
      <c r="Q34" s="62" t="s">
        <v>1096</v>
      </c>
      <c r="R34" s="73" t="s">
        <v>1096</v>
      </c>
      <c r="S34" s="62" t="s">
        <v>1096</v>
      </c>
      <c r="T34" s="62" t="s">
        <v>1096</v>
      </c>
      <c r="U34" s="62" t="s">
        <v>1096</v>
      </c>
      <c r="V34" s="62" t="s">
        <v>1096</v>
      </c>
      <c r="W34" s="62">
        <f t="shared" si="8"/>
        <v>0</v>
      </c>
      <c r="X34" s="62"/>
      <c r="Y34" s="62"/>
      <c r="Z34" s="62"/>
      <c r="AA34" s="62"/>
      <c r="AB34" s="62"/>
      <c r="AC34" s="62"/>
      <c r="AD34" s="62" t="s">
        <v>1064</v>
      </c>
      <c r="AE34" s="62" t="s">
        <v>1065</v>
      </c>
      <c r="AF34" s="66">
        <f>Table1[[#This Row],[2019 Scope 1 (MeT Co2)]]</f>
        <v>1108562.25</v>
      </c>
      <c r="AG34" s="67">
        <f t="shared" ref="AG34:AG65" si="9">C34-AF34</f>
        <v>0</v>
      </c>
      <c r="AH34" s="68">
        <f t="shared" ref="AH34:AH65" si="10">AG34/C34</f>
        <v>0</v>
      </c>
      <c r="AK34" s="62" t="s">
        <v>1064</v>
      </c>
      <c r="AL34" s="62" t="s">
        <v>1065</v>
      </c>
      <c r="AM34" s="66">
        <f>Table1[[#This Row],[2019 Scope 2 ]]</f>
        <v>1473874.16</v>
      </c>
      <c r="AN34" s="67">
        <f t="shared" ref="AN34:AN65" si="11">D34-AM34</f>
        <v>0</v>
      </c>
      <c r="AO34" s="68">
        <f t="shared" ref="AO34:AO65" si="12">AN34/D34</f>
        <v>0</v>
      </c>
      <c r="AP34" s="67" t="e">
        <f t="shared" ref="AP34:AP65" si="13">AM34-E34</f>
        <v>#VALUE!</v>
      </c>
      <c r="AQ34" s="68" t="e">
        <f t="shared" ref="AQ34:AQ65" si="14">AP34/E34</f>
        <v>#VALUE!</v>
      </c>
      <c r="AR34" s="72" t="str">
        <f>Table1[[#This Row],[2019 Scope 3 ]]</f>
        <v>NR</v>
      </c>
      <c r="AS34" s="71" t="e">
        <f t="shared" ref="AS34:AS65" si="15">W34-AR34</f>
        <v>#VALUE!</v>
      </c>
      <c r="AT34" s="51" t="e">
        <f t="shared" ref="AT34:AT65" si="16">AS34/W34</f>
        <v>#VALUE!</v>
      </c>
      <c r="BI34" s="58">
        <v>3944</v>
      </c>
    </row>
    <row r="35" spans="1:61">
      <c r="A35" s="59">
        <f>companies!A35</f>
        <v>34</v>
      </c>
      <c r="B35" s="61" t="s">
        <v>1056</v>
      </c>
      <c r="C35" s="73">
        <v>157199.32</v>
      </c>
      <c r="D35" s="73">
        <v>1024681.56</v>
      </c>
      <c r="E35" s="73">
        <v>1036690.44</v>
      </c>
      <c r="F35" s="73">
        <v>14584739.119999999</v>
      </c>
      <c r="G35" s="73">
        <v>1011729.83</v>
      </c>
      <c r="H35" s="73">
        <v>51656.89</v>
      </c>
      <c r="I35" s="73" t="s">
        <v>1096</v>
      </c>
      <c r="J35" s="73">
        <v>35236.879999999997</v>
      </c>
      <c r="K35" s="73">
        <v>106796.09</v>
      </c>
      <c r="L35" s="73">
        <v>20400</v>
      </c>
      <c r="M35" s="62" t="s">
        <v>1096</v>
      </c>
      <c r="N35" s="62">
        <v>46624.82</v>
      </c>
      <c r="O35" s="62" t="s">
        <v>1096</v>
      </c>
      <c r="P35" s="62" t="s">
        <v>1096</v>
      </c>
      <c r="Q35" s="62" t="s">
        <v>1096</v>
      </c>
      <c r="R35" s="73" t="s">
        <v>1096</v>
      </c>
      <c r="S35" s="62" t="s">
        <v>1096</v>
      </c>
      <c r="T35" s="62" t="s">
        <v>1096</v>
      </c>
      <c r="U35" s="62" t="s">
        <v>1096</v>
      </c>
      <c r="V35" s="62" t="s">
        <v>1096</v>
      </c>
      <c r="W35" s="62">
        <f t="shared" si="8"/>
        <v>15857183.630000001</v>
      </c>
      <c r="X35" s="62"/>
      <c r="Y35" s="62"/>
      <c r="Z35" s="62"/>
      <c r="AA35" s="62"/>
      <c r="AB35" s="62"/>
      <c r="AC35" s="62"/>
      <c r="AD35" s="62" t="s">
        <v>1096</v>
      </c>
      <c r="AE35" s="62" t="s">
        <v>1096</v>
      </c>
      <c r="AF35" s="66">
        <f>Table1[[#This Row],[2019 Scope 1 (MeT Co2)]]</f>
        <v>157114</v>
      </c>
      <c r="AG35" s="67">
        <f t="shared" si="9"/>
        <v>85.320000000006985</v>
      </c>
      <c r="AH35" s="68">
        <f t="shared" si="10"/>
        <v>5.4275043937853534E-4</v>
      </c>
      <c r="AK35" s="62" t="s">
        <v>1096</v>
      </c>
      <c r="AL35" s="62" t="s">
        <v>1096</v>
      </c>
      <c r="AM35" s="66">
        <f>Table1[[#This Row],[2019 Scope 2 ]]</f>
        <v>1024682</v>
      </c>
      <c r="AN35" s="67">
        <f t="shared" si="11"/>
        <v>-0.43999999994412065</v>
      </c>
      <c r="AO35" s="68">
        <f t="shared" si="12"/>
        <v>-4.2940169621489102E-7</v>
      </c>
      <c r="AP35" s="67">
        <f t="shared" si="13"/>
        <v>-12008.439999999944</v>
      </c>
      <c r="AQ35" s="68">
        <f t="shared" si="14"/>
        <v>-1.1583438543139209E-2</v>
      </c>
      <c r="AR35" s="72">
        <f>Table1[[#This Row],[2019 Scope 3 ]]</f>
        <v>15857183.630000001</v>
      </c>
      <c r="AS35" s="71">
        <f t="shared" si="15"/>
        <v>0</v>
      </c>
      <c r="AT35" s="51">
        <f t="shared" si="16"/>
        <v>0</v>
      </c>
      <c r="BI35" s="61">
        <v>4151</v>
      </c>
    </row>
    <row r="36" spans="1:61">
      <c r="A36" s="59">
        <f>companies!A36</f>
        <v>35</v>
      </c>
      <c r="B36" s="61" t="s">
        <v>1056</v>
      </c>
      <c r="C36" s="73" t="s">
        <v>1095</v>
      </c>
      <c r="D36" s="73" t="s">
        <v>1095</v>
      </c>
      <c r="E36" s="73" t="s">
        <v>1095</v>
      </c>
      <c r="F36" s="73" t="s">
        <v>1095</v>
      </c>
      <c r="G36" s="73" t="s">
        <v>1095</v>
      </c>
      <c r="H36" s="73" t="s">
        <v>1095</v>
      </c>
      <c r="I36" s="73" t="s">
        <v>1095</v>
      </c>
      <c r="J36" s="73" t="s">
        <v>1095</v>
      </c>
      <c r="K36" s="73" t="s">
        <v>1095</v>
      </c>
      <c r="L36" s="73" t="s">
        <v>1095</v>
      </c>
      <c r="M36" s="73" t="s">
        <v>1095</v>
      </c>
      <c r="N36" s="73" t="s">
        <v>1095</v>
      </c>
      <c r="O36" s="73" t="s">
        <v>1095</v>
      </c>
      <c r="P36" s="73" t="s">
        <v>1095</v>
      </c>
      <c r="Q36" s="73" t="s">
        <v>1095</v>
      </c>
      <c r="R36" s="73" t="s">
        <v>1095</v>
      </c>
      <c r="S36" s="73" t="s">
        <v>1095</v>
      </c>
      <c r="T36" s="73" t="s">
        <v>1095</v>
      </c>
      <c r="U36" s="73" t="s">
        <v>1095</v>
      </c>
      <c r="V36" s="73" t="s">
        <v>1095</v>
      </c>
      <c r="W36" s="62">
        <f t="shared" si="8"/>
        <v>0</v>
      </c>
      <c r="X36" s="62"/>
      <c r="Y36" s="62"/>
      <c r="Z36" s="62"/>
      <c r="AA36" s="62"/>
      <c r="AB36" s="62"/>
      <c r="AC36" s="62"/>
      <c r="AD36" s="62" t="e">
        <v>#N/A</v>
      </c>
      <c r="AE36" s="62" t="e">
        <v>#N/A</v>
      </c>
      <c r="AF36" s="66" t="str">
        <f>Table1[[#This Row],[2019 Scope 1 (MeT Co2)]]</f>
        <v>NR</v>
      </c>
      <c r="AG36" s="67" t="e">
        <f t="shared" si="9"/>
        <v>#VALUE!</v>
      </c>
      <c r="AH36" s="68" t="e">
        <f t="shared" si="10"/>
        <v>#VALUE!</v>
      </c>
      <c r="AK36" s="62" t="e">
        <v>#N/A</v>
      </c>
      <c r="AL36" s="62" t="e">
        <v>#N/A</v>
      </c>
      <c r="AM36" s="66" t="str">
        <f>Table1[[#This Row],[2019 Scope 2 ]]</f>
        <v>NR</v>
      </c>
      <c r="AN36" s="67" t="e">
        <f t="shared" si="11"/>
        <v>#VALUE!</v>
      </c>
      <c r="AO36" s="68" t="e">
        <f t="shared" si="12"/>
        <v>#VALUE!</v>
      </c>
      <c r="AP36" s="67" t="e">
        <f t="shared" si="13"/>
        <v>#VALUE!</v>
      </c>
      <c r="AQ36" s="68" t="e">
        <f t="shared" si="14"/>
        <v>#VALUE!</v>
      </c>
      <c r="AR36" s="72" t="str">
        <f>Table1[[#This Row],[2019 Scope 3 ]]</f>
        <v>NR</v>
      </c>
      <c r="AS36" s="71" t="e">
        <f t="shared" si="15"/>
        <v>#VALUE!</v>
      </c>
      <c r="AT36" s="51" t="e">
        <f t="shared" si="16"/>
        <v>#VALUE!</v>
      </c>
    </row>
    <row r="37" spans="1:61">
      <c r="A37" s="59">
        <f>companies!A37</f>
        <v>36</v>
      </c>
      <c r="B37" s="61" t="s">
        <v>1056</v>
      </c>
      <c r="C37" s="73">
        <v>27522854</v>
      </c>
      <c r="D37" s="73">
        <v>5058885</v>
      </c>
      <c r="E37" s="73">
        <v>6058164</v>
      </c>
      <c r="F37" s="73">
        <v>60053499</v>
      </c>
      <c r="G37" s="73">
        <v>2776452</v>
      </c>
      <c r="H37" s="73">
        <v>8269874</v>
      </c>
      <c r="I37" s="73" t="s">
        <v>1096</v>
      </c>
      <c r="J37" s="73">
        <v>1560507</v>
      </c>
      <c r="K37" s="73">
        <v>31832</v>
      </c>
      <c r="L37" s="73">
        <v>86849</v>
      </c>
      <c r="M37" s="62">
        <v>16600</v>
      </c>
      <c r="N37" s="62">
        <v>4094062</v>
      </c>
      <c r="O37" s="62" t="s">
        <v>1096</v>
      </c>
      <c r="P37" s="62">
        <v>3184348</v>
      </c>
      <c r="Q37" s="62">
        <v>7052492</v>
      </c>
      <c r="R37" s="73" t="s">
        <v>1096</v>
      </c>
      <c r="S37" s="62" t="s">
        <v>1096</v>
      </c>
      <c r="T37" s="62">
        <v>4295442</v>
      </c>
      <c r="U37" s="62" t="s">
        <v>1096</v>
      </c>
      <c r="V37" s="62" t="s">
        <v>1096</v>
      </c>
      <c r="W37" s="62">
        <f t="shared" si="8"/>
        <v>91421957</v>
      </c>
      <c r="X37" s="73"/>
      <c r="Y37" s="73"/>
      <c r="Z37" s="73"/>
      <c r="AA37" s="73"/>
      <c r="AB37" s="73"/>
      <c r="AC37" s="73"/>
      <c r="AD37" s="62" t="s">
        <v>1064</v>
      </c>
      <c r="AE37" s="62" t="s">
        <v>1065</v>
      </c>
      <c r="AF37" s="66">
        <f>Table1[[#This Row],[2019 Scope 1 (MeT Co2)]]</f>
        <v>27600000</v>
      </c>
      <c r="AG37" s="67">
        <f t="shared" si="9"/>
        <v>-77146</v>
      </c>
      <c r="AH37" s="68">
        <f t="shared" si="10"/>
        <v>-2.8029796619202354E-3</v>
      </c>
      <c r="AK37" s="62" t="s">
        <v>1064</v>
      </c>
      <c r="AL37" s="62" t="s">
        <v>1065</v>
      </c>
      <c r="AM37" s="66">
        <f>Table1[[#This Row],[2019 Scope 2 ]]</f>
        <v>6050000</v>
      </c>
      <c r="AN37" s="67">
        <f t="shared" si="11"/>
        <v>-991115</v>
      </c>
      <c r="AO37" s="68">
        <f t="shared" si="12"/>
        <v>-0.19591570079177525</v>
      </c>
      <c r="AP37" s="67">
        <f t="shared" si="13"/>
        <v>-8164</v>
      </c>
      <c r="AQ37" s="68">
        <f t="shared" si="14"/>
        <v>-1.3476030031540909E-3</v>
      </c>
      <c r="AR37" s="72">
        <f>Table1[[#This Row],[2019 Scope 3 ]]</f>
        <v>91400000</v>
      </c>
      <c r="AS37" s="71">
        <f t="shared" si="15"/>
        <v>21957</v>
      </c>
      <c r="AT37" s="51">
        <f t="shared" si="16"/>
        <v>2.401720628229387E-4</v>
      </c>
      <c r="BI37" s="46">
        <v>4826</v>
      </c>
    </row>
    <row r="38" spans="1:61">
      <c r="A38" s="59">
        <f>companies!A38</f>
        <v>37</v>
      </c>
      <c r="B38" s="61" t="s">
        <v>1056</v>
      </c>
      <c r="C38" s="73">
        <v>85525000</v>
      </c>
      <c r="D38" s="73">
        <v>5200</v>
      </c>
      <c r="E38" s="73" t="s">
        <v>1096</v>
      </c>
      <c r="F38" s="73" t="s">
        <v>1096</v>
      </c>
      <c r="G38" s="73" t="s">
        <v>1096</v>
      </c>
      <c r="H38" s="73">
        <v>12100000</v>
      </c>
      <c r="I38" s="73" t="s">
        <v>1096</v>
      </c>
      <c r="J38" s="73" t="s">
        <v>1096</v>
      </c>
      <c r="K38" s="73">
        <v>15113</v>
      </c>
      <c r="L38" s="73" t="s">
        <v>1096</v>
      </c>
      <c r="M38" s="62" t="s">
        <v>1096</v>
      </c>
      <c r="N38" s="62" t="s">
        <v>1096</v>
      </c>
      <c r="O38" s="62" t="s">
        <v>1096</v>
      </c>
      <c r="P38" s="62">
        <v>17600000</v>
      </c>
      <c r="Q38" s="62" t="s">
        <v>1096</v>
      </c>
      <c r="R38" s="73" t="s">
        <v>1096</v>
      </c>
      <c r="S38" s="62" t="s">
        <v>1096</v>
      </c>
      <c r="T38" s="62" t="s">
        <v>1096</v>
      </c>
      <c r="U38" s="62" t="s">
        <v>1096</v>
      </c>
      <c r="V38" s="62" t="s">
        <v>1096</v>
      </c>
      <c r="W38" s="62">
        <f t="shared" si="8"/>
        <v>29715113</v>
      </c>
      <c r="X38" s="62"/>
      <c r="Y38" s="62"/>
      <c r="Z38" s="62"/>
      <c r="AA38" s="62"/>
      <c r="AB38" s="62"/>
      <c r="AC38" s="62"/>
      <c r="AD38" s="62" t="s">
        <v>1096</v>
      </c>
      <c r="AE38" s="62" t="s">
        <v>1096</v>
      </c>
      <c r="AF38" s="66">
        <f>Table1[[#This Row],[2019 Scope 1 (MeT Co2)]]</f>
        <v>93000000</v>
      </c>
      <c r="AG38" s="67">
        <f t="shared" si="9"/>
        <v>-7475000</v>
      </c>
      <c r="AH38" s="69">
        <f t="shared" si="10"/>
        <v>-8.7401344636071326E-2</v>
      </c>
      <c r="AK38" s="62" t="s">
        <v>1096</v>
      </c>
      <c r="AL38" s="62" t="s">
        <v>1096</v>
      </c>
      <c r="AM38" s="66">
        <f>Table1[[#This Row],[2019 Scope 2 ]]</f>
        <v>11122000</v>
      </c>
      <c r="AN38" s="67">
        <f t="shared" si="11"/>
        <v>-11116800</v>
      </c>
      <c r="AO38" s="69">
        <f t="shared" si="12"/>
        <v>-2137.8461538461538</v>
      </c>
      <c r="AP38" s="67" t="e">
        <f t="shared" si="13"/>
        <v>#VALUE!</v>
      </c>
      <c r="AQ38" s="69" t="e">
        <f t="shared" si="14"/>
        <v>#VALUE!</v>
      </c>
      <c r="AR38" s="72">
        <f>Table1[[#This Row],[2019 Scope 3 ]]</f>
        <v>19811000</v>
      </c>
      <c r="AS38" s="71">
        <f t="shared" si="15"/>
        <v>9904113</v>
      </c>
      <c r="AT38" s="51">
        <f t="shared" si="16"/>
        <v>0.33330221560994905</v>
      </c>
      <c r="BI38" s="61">
        <v>5052</v>
      </c>
    </row>
    <row r="39" spans="1:61">
      <c r="A39" s="59">
        <f>companies!A39</f>
        <v>38</v>
      </c>
      <c r="B39" s="61" t="s">
        <v>1056</v>
      </c>
      <c r="C39" s="73">
        <v>3057437</v>
      </c>
      <c r="D39" s="73">
        <v>2322922</v>
      </c>
      <c r="E39" s="73">
        <v>2532756</v>
      </c>
      <c r="F39" s="73" t="s">
        <v>1096</v>
      </c>
      <c r="G39" s="73" t="s">
        <v>1096</v>
      </c>
      <c r="H39" s="73">
        <v>1207243</v>
      </c>
      <c r="I39" s="73" t="s">
        <v>1096</v>
      </c>
      <c r="J39" s="73" t="s">
        <v>1096</v>
      </c>
      <c r="K39" s="73">
        <v>23037</v>
      </c>
      <c r="L39" s="73" t="s">
        <v>1096</v>
      </c>
      <c r="M39" s="62" t="s">
        <v>1096</v>
      </c>
      <c r="N39" s="62" t="s">
        <v>1096</v>
      </c>
      <c r="O39" s="62" t="s">
        <v>1096</v>
      </c>
      <c r="P39" s="62" t="s">
        <v>1096</v>
      </c>
      <c r="Q39" s="62" t="s">
        <v>1096</v>
      </c>
      <c r="R39" s="73">
        <v>72464</v>
      </c>
      <c r="S39" s="62" t="s">
        <v>1096</v>
      </c>
      <c r="T39" s="62" t="s">
        <v>1096</v>
      </c>
      <c r="U39" s="62" t="s">
        <v>1096</v>
      </c>
      <c r="V39" s="62" t="s">
        <v>1096</v>
      </c>
      <c r="W39" s="62">
        <f t="shared" si="8"/>
        <v>1302744</v>
      </c>
      <c r="X39" s="73"/>
      <c r="Y39" s="73"/>
      <c r="Z39" s="73"/>
      <c r="AA39" s="73"/>
      <c r="AB39" s="73"/>
      <c r="AC39" s="73"/>
      <c r="AD39" s="62" t="s">
        <v>1096</v>
      </c>
      <c r="AE39" s="62" t="s">
        <v>1096</v>
      </c>
      <c r="AF39" s="66">
        <f>Table1[[#This Row],[2019 Scope 1 (MeT Co2)]]</f>
        <v>3057000</v>
      </c>
      <c r="AG39" s="67">
        <f t="shared" si="9"/>
        <v>437</v>
      </c>
      <c r="AH39" s="68">
        <f t="shared" si="10"/>
        <v>1.429301732137081E-4</v>
      </c>
      <c r="AK39" s="62" t="s">
        <v>1096</v>
      </c>
      <c r="AL39" s="62" t="s">
        <v>1096</v>
      </c>
      <c r="AM39" s="66">
        <f>Table1[[#This Row],[2019 Scope 2 ]]</f>
        <v>2323000</v>
      </c>
      <c r="AN39" s="67">
        <f t="shared" si="11"/>
        <v>-78</v>
      </c>
      <c r="AO39" s="68">
        <f t="shared" si="12"/>
        <v>-3.3578398241525114E-5</v>
      </c>
      <c r="AP39" s="67">
        <f t="shared" si="13"/>
        <v>-209756</v>
      </c>
      <c r="AQ39" s="68">
        <f t="shared" si="14"/>
        <v>-8.2817294678208239E-2</v>
      </c>
      <c r="AR39" s="72">
        <f>Table1[[#This Row],[2019 Scope 3 ]]</f>
        <v>1302744</v>
      </c>
      <c r="AS39" s="71">
        <f t="shared" si="15"/>
        <v>0</v>
      </c>
      <c r="AT39" s="51">
        <f t="shared" si="16"/>
        <v>0</v>
      </c>
      <c r="BI39" s="61">
        <v>73894</v>
      </c>
    </row>
    <row r="40" spans="1:61">
      <c r="A40" s="59">
        <f>companies!A40</f>
        <v>39</v>
      </c>
      <c r="B40" s="61" t="s">
        <v>1056</v>
      </c>
      <c r="C40" s="73">
        <v>192075</v>
      </c>
      <c r="D40" s="73">
        <v>616431</v>
      </c>
      <c r="E40" s="73">
        <v>556855</v>
      </c>
      <c r="F40" s="73" t="s">
        <v>1096</v>
      </c>
      <c r="G40" s="73" t="s">
        <v>1096</v>
      </c>
      <c r="H40" s="73" t="s">
        <v>1096</v>
      </c>
      <c r="I40" s="73">
        <v>32680</v>
      </c>
      <c r="J40" s="73">
        <v>42021</v>
      </c>
      <c r="K40" s="73">
        <v>98410</v>
      </c>
      <c r="L40" s="73">
        <v>61685</v>
      </c>
      <c r="M40" s="62">
        <v>0</v>
      </c>
      <c r="N40" s="62" t="s">
        <v>1096</v>
      </c>
      <c r="O40" s="62" t="s">
        <v>1096</v>
      </c>
      <c r="P40" s="62" t="s">
        <v>1096</v>
      </c>
      <c r="Q40" s="62" t="s">
        <v>1096</v>
      </c>
      <c r="R40" s="73">
        <v>0</v>
      </c>
      <c r="S40" s="62">
        <v>0</v>
      </c>
      <c r="T40" s="62">
        <v>0</v>
      </c>
      <c r="U40" s="62" t="s">
        <v>1096</v>
      </c>
      <c r="V40" s="62" t="s">
        <v>1096</v>
      </c>
      <c r="W40" s="62">
        <f t="shared" si="8"/>
        <v>234796</v>
      </c>
      <c r="X40" s="73"/>
      <c r="Y40" s="73"/>
      <c r="Z40" s="73"/>
      <c r="AA40" s="73"/>
      <c r="AB40" s="73"/>
      <c r="AC40" s="73"/>
      <c r="AD40" s="62" t="s">
        <v>1096</v>
      </c>
      <c r="AE40" s="62" t="s">
        <v>1096</v>
      </c>
      <c r="AF40" s="66">
        <f>Table1[[#This Row],[2019 Scope 1 (MeT Co2)]]</f>
        <v>193000</v>
      </c>
      <c r="AG40" s="67">
        <f t="shared" si="9"/>
        <v>-925</v>
      </c>
      <c r="AH40" s="68">
        <f t="shared" si="10"/>
        <v>-4.8158271508525318E-3</v>
      </c>
      <c r="AK40" s="62" t="s">
        <v>1096</v>
      </c>
      <c r="AL40" s="62" t="s">
        <v>1096</v>
      </c>
      <c r="AM40" s="66">
        <f>Table1[[#This Row],[2019 Scope 2 ]]</f>
        <v>671000</v>
      </c>
      <c r="AN40" s="67">
        <f t="shared" si="11"/>
        <v>-54569</v>
      </c>
      <c r="AO40" s="69">
        <f t="shared" si="12"/>
        <v>-8.8524100832047703E-2</v>
      </c>
      <c r="AP40" s="67">
        <f t="shared" si="13"/>
        <v>114145</v>
      </c>
      <c r="AQ40" s="69">
        <f t="shared" si="14"/>
        <v>0.20498154815885644</v>
      </c>
      <c r="AR40" s="72">
        <f>Table1[[#This Row],[2019 Scope 3 ]]</f>
        <v>240000</v>
      </c>
      <c r="AS40" s="71">
        <f t="shared" si="15"/>
        <v>-5204</v>
      </c>
      <c r="AT40" s="51">
        <f t="shared" si="16"/>
        <v>-2.2163921020801034E-2</v>
      </c>
      <c r="BI40" s="61">
        <v>5377</v>
      </c>
    </row>
    <row r="41" spans="1:61">
      <c r="A41" s="59">
        <f>companies!A41</f>
        <v>40</v>
      </c>
      <c r="B41" s="61" t="s">
        <v>1056</v>
      </c>
      <c r="C41" s="73" t="s">
        <v>1095</v>
      </c>
      <c r="D41" s="73" t="s">
        <v>1095</v>
      </c>
      <c r="E41" s="73" t="s">
        <v>1095</v>
      </c>
      <c r="F41" s="73" t="s">
        <v>1095</v>
      </c>
      <c r="G41" s="73" t="s">
        <v>1095</v>
      </c>
      <c r="H41" s="73" t="s">
        <v>1095</v>
      </c>
      <c r="I41" s="73" t="s">
        <v>1095</v>
      </c>
      <c r="J41" s="73" t="s">
        <v>1095</v>
      </c>
      <c r="K41" s="73" t="s">
        <v>1095</v>
      </c>
      <c r="L41" s="73" t="s">
        <v>1095</v>
      </c>
      <c r="M41" s="73" t="s">
        <v>1095</v>
      </c>
      <c r="N41" s="73" t="s">
        <v>1095</v>
      </c>
      <c r="O41" s="73" t="s">
        <v>1095</v>
      </c>
      <c r="P41" s="73" t="s">
        <v>1095</v>
      </c>
      <c r="Q41" s="73" t="s">
        <v>1095</v>
      </c>
      <c r="R41" s="73" t="s">
        <v>1095</v>
      </c>
      <c r="S41" s="73" t="s">
        <v>1095</v>
      </c>
      <c r="T41" s="73" t="s">
        <v>1095</v>
      </c>
      <c r="U41" s="73" t="s">
        <v>1095</v>
      </c>
      <c r="V41" s="73" t="s">
        <v>1095</v>
      </c>
      <c r="W41" s="62">
        <f t="shared" si="8"/>
        <v>0</v>
      </c>
      <c r="X41" s="62"/>
      <c r="Y41" s="62"/>
      <c r="Z41" s="62"/>
      <c r="AA41" s="62"/>
      <c r="AB41" s="62"/>
      <c r="AC41" s="62"/>
      <c r="AD41" s="62" t="e">
        <v>#N/A</v>
      </c>
      <c r="AE41" s="62" t="e">
        <v>#N/A</v>
      </c>
      <c r="AF41" s="66">
        <f>Table1[[#This Row],[2019 Scope 1 (MeT Co2)]]</f>
        <v>163945</v>
      </c>
      <c r="AG41" s="67" t="e">
        <f t="shared" si="9"/>
        <v>#VALUE!</v>
      </c>
      <c r="AH41" s="68" t="e">
        <f t="shared" si="10"/>
        <v>#VALUE!</v>
      </c>
      <c r="AK41" s="62" t="e">
        <v>#N/A</v>
      </c>
      <c r="AL41" s="62" t="e">
        <v>#N/A</v>
      </c>
      <c r="AM41" s="66">
        <f>Table1[[#This Row],[2019 Scope 2 ]]</f>
        <v>699739</v>
      </c>
      <c r="AN41" s="67" t="e">
        <f t="shared" si="11"/>
        <v>#VALUE!</v>
      </c>
      <c r="AO41" s="68" t="e">
        <f t="shared" si="12"/>
        <v>#VALUE!</v>
      </c>
      <c r="AP41" s="67" t="e">
        <f t="shared" si="13"/>
        <v>#VALUE!</v>
      </c>
      <c r="AQ41" s="68" t="e">
        <f t="shared" si="14"/>
        <v>#VALUE!</v>
      </c>
      <c r="AR41" s="72" t="str">
        <f>Table1[[#This Row],[2019 Scope 3 ]]</f>
        <v>NR</v>
      </c>
      <c r="AS41" s="71" t="e">
        <f t="shared" si="15"/>
        <v>#VALUE!</v>
      </c>
      <c r="AT41" s="51" t="e">
        <f t="shared" si="16"/>
        <v>#VALUE!</v>
      </c>
    </row>
    <row r="42" spans="1:61">
      <c r="A42" s="59">
        <f>companies!A42</f>
        <v>41</v>
      </c>
      <c r="B42" s="61" t="s">
        <v>1056</v>
      </c>
      <c r="C42" s="73">
        <v>9394598</v>
      </c>
      <c r="D42" s="73">
        <v>6103307</v>
      </c>
      <c r="E42" s="73">
        <v>4913525</v>
      </c>
      <c r="F42" s="73" t="s">
        <v>1096</v>
      </c>
      <c r="G42" s="73" t="s">
        <v>1096</v>
      </c>
      <c r="H42" s="73">
        <v>18864278</v>
      </c>
      <c r="I42" s="73" t="s">
        <v>1096</v>
      </c>
      <c r="J42" s="73">
        <v>63094</v>
      </c>
      <c r="K42" s="73">
        <v>28980</v>
      </c>
      <c r="L42" s="73" t="s">
        <v>1096</v>
      </c>
      <c r="M42" s="62">
        <v>19363</v>
      </c>
      <c r="N42" s="62">
        <v>0</v>
      </c>
      <c r="O42" s="62">
        <v>0</v>
      </c>
      <c r="P42" s="62">
        <v>84817268</v>
      </c>
      <c r="Q42" s="62">
        <v>0</v>
      </c>
      <c r="R42" s="73" t="s">
        <v>1096</v>
      </c>
      <c r="S42" s="62">
        <v>0</v>
      </c>
      <c r="T42" s="62" t="s">
        <v>1096</v>
      </c>
      <c r="U42" s="62">
        <v>0</v>
      </c>
      <c r="V42" s="62">
        <v>76320</v>
      </c>
      <c r="W42" s="62">
        <f t="shared" si="8"/>
        <v>103869303</v>
      </c>
      <c r="X42" s="73"/>
      <c r="Y42" s="73"/>
      <c r="Z42" s="73"/>
      <c r="AA42" s="73"/>
      <c r="AB42" s="73"/>
      <c r="AC42" s="73"/>
      <c r="AD42" s="62" t="s">
        <v>1096</v>
      </c>
      <c r="AE42" s="62" t="s">
        <v>1096</v>
      </c>
      <c r="AF42" s="66">
        <f>Table1[[#This Row],[2019 Scope 1 (MeT Co2)]]</f>
        <v>9395000</v>
      </c>
      <c r="AG42" s="67">
        <f t="shared" si="9"/>
        <v>-402</v>
      </c>
      <c r="AH42" s="68">
        <f t="shared" si="10"/>
        <v>-4.2790548355554969E-5</v>
      </c>
      <c r="AK42" s="62" t="s">
        <v>1096</v>
      </c>
      <c r="AL42" s="62" t="s">
        <v>1096</v>
      </c>
      <c r="AM42" s="66">
        <f>Table1[[#This Row],[2019 Scope 2 ]]</f>
        <v>6103000</v>
      </c>
      <c r="AN42" s="67">
        <f t="shared" si="11"/>
        <v>307</v>
      </c>
      <c r="AO42" s="68">
        <f t="shared" si="12"/>
        <v>5.0300599330821797E-5</v>
      </c>
      <c r="AP42" s="67">
        <f t="shared" si="13"/>
        <v>1189475</v>
      </c>
      <c r="AQ42" s="68">
        <f t="shared" si="14"/>
        <v>0.24208180481426267</v>
      </c>
      <c r="AR42" s="72">
        <f>Table1[[#This Row],[2019 Scope 3 ]]</f>
        <v>180732000</v>
      </c>
      <c r="AS42" s="71">
        <f t="shared" si="15"/>
        <v>-76862697</v>
      </c>
      <c r="AT42" s="51">
        <f t="shared" si="16"/>
        <v>-0.73999434654914364</v>
      </c>
      <c r="BI42" s="61">
        <v>6113</v>
      </c>
    </row>
    <row r="43" spans="1:61">
      <c r="A43" s="59">
        <f>companies!A43</f>
        <v>42</v>
      </c>
      <c r="B43" s="61" t="s">
        <v>1056</v>
      </c>
      <c r="C43" s="73" t="s">
        <v>1095</v>
      </c>
      <c r="D43" s="73" t="s">
        <v>1095</v>
      </c>
      <c r="E43" s="73" t="s">
        <v>1095</v>
      </c>
      <c r="F43" s="73" t="s">
        <v>1095</v>
      </c>
      <c r="G43" s="73" t="s">
        <v>1095</v>
      </c>
      <c r="H43" s="73" t="s">
        <v>1095</v>
      </c>
      <c r="I43" s="73" t="s">
        <v>1095</v>
      </c>
      <c r="J43" s="73" t="s">
        <v>1095</v>
      </c>
      <c r="K43" s="73" t="s">
        <v>1095</v>
      </c>
      <c r="L43" s="73" t="s">
        <v>1095</v>
      </c>
      <c r="M43" s="73" t="s">
        <v>1095</v>
      </c>
      <c r="N43" s="73" t="s">
        <v>1095</v>
      </c>
      <c r="O43" s="73" t="s">
        <v>1095</v>
      </c>
      <c r="P43" s="73" t="s">
        <v>1095</v>
      </c>
      <c r="Q43" s="73" t="s">
        <v>1095</v>
      </c>
      <c r="R43" s="73" t="s">
        <v>1095</v>
      </c>
      <c r="S43" s="73" t="s">
        <v>1095</v>
      </c>
      <c r="T43" s="73" t="s">
        <v>1095</v>
      </c>
      <c r="U43" s="73" t="s">
        <v>1095</v>
      </c>
      <c r="V43" s="73" t="s">
        <v>1095</v>
      </c>
      <c r="W43" s="62">
        <f t="shared" si="8"/>
        <v>0</v>
      </c>
      <c r="X43" s="62"/>
      <c r="Y43" s="62"/>
      <c r="Z43" s="62"/>
      <c r="AA43" s="62"/>
      <c r="AB43" s="62"/>
      <c r="AC43" s="62"/>
      <c r="AD43" s="62" t="e">
        <v>#N/A</v>
      </c>
      <c r="AE43" s="62" t="e">
        <v>#N/A</v>
      </c>
      <c r="AF43" s="66" t="str">
        <f>Table1[[#This Row],[2019 Scope 1 (MeT Co2)]]</f>
        <v>NR</v>
      </c>
      <c r="AG43" s="67" t="e">
        <f t="shared" si="9"/>
        <v>#VALUE!</v>
      </c>
      <c r="AH43" s="68" t="e">
        <f t="shared" si="10"/>
        <v>#VALUE!</v>
      </c>
      <c r="AK43" s="62" t="e">
        <v>#N/A</v>
      </c>
      <c r="AL43" s="62" t="e">
        <v>#N/A</v>
      </c>
      <c r="AM43" s="66" t="str">
        <f>Table1[[#This Row],[2019 Scope 2 ]]</f>
        <v>NR</v>
      </c>
      <c r="AN43" s="67" t="e">
        <f t="shared" si="11"/>
        <v>#VALUE!</v>
      </c>
      <c r="AO43" s="68" t="e">
        <f t="shared" si="12"/>
        <v>#VALUE!</v>
      </c>
      <c r="AP43" s="67" t="e">
        <f t="shared" si="13"/>
        <v>#VALUE!</v>
      </c>
      <c r="AQ43" s="68" t="e">
        <f t="shared" si="14"/>
        <v>#VALUE!</v>
      </c>
      <c r="AR43" s="72" t="str">
        <f>Table1[[#This Row],[2019 Scope 3 ]]</f>
        <v>NR</v>
      </c>
      <c r="AS43" s="71" t="e">
        <f t="shared" si="15"/>
        <v>#VALUE!</v>
      </c>
      <c r="AT43" s="51" t="e">
        <f t="shared" si="16"/>
        <v>#VALUE!</v>
      </c>
    </row>
    <row r="44" spans="1:61">
      <c r="A44" s="59">
        <f>companies!A44</f>
        <v>43</v>
      </c>
      <c r="B44" s="61" t="s">
        <v>1056</v>
      </c>
      <c r="C44" s="73" t="s">
        <v>1095</v>
      </c>
      <c r="D44" s="73" t="s">
        <v>1095</v>
      </c>
      <c r="E44" s="73" t="s">
        <v>1095</v>
      </c>
      <c r="F44" s="73" t="s">
        <v>1095</v>
      </c>
      <c r="G44" s="73" t="s">
        <v>1095</v>
      </c>
      <c r="H44" s="73" t="s">
        <v>1095</v>
      </c>
      <c r="I44" s="73" t="s">
        <v>1095</v>
      </c>
      <c r="J44" s="73" t="s">
        <v>1095</v>
      </c>
      <c r="K44" s="73" t="s">
        <v>1095</v>
      </c>
      <c r="L44" s="73" t="s">
        <v>1095</v>
      </c>
      <c r="M44" s="73" t="s">
        <v>1095</v>
      </c>
      <c r="N44" s="73" t="s">
        <v>1095</v>
      </c>
      <c r="O44" s="73" t="s">
        <v>1095</v>
      </c>
      <c r="P44" s="73" t="s">
        <v>1095</v>
      </c>
      <c r="Q44" s="73" t="s">
        <v>1095</v>
      </c>
      <c r="R44" s="73" t="s">
        <v>1095</v>
      </c>
      <c r="S44" s="73" t="s">
        <v>1095</v>
      </c>
      <c r="T44" s="73" t="s">
        <v>1095</v>
      </c>
      <c r="U44" s="73" t="s">
        <v>1095</v>
      </c>
      <c r="V44" s="73" t="s">
        <v>1095</v>
      </c>
      <c r="W44" s="62">
        <f t="shared" si="8"/>
        <v>0</v>
      </c>
      <c r="X44" s="62"/>
      <c r="Y44" s="62"/>
      <c r="Z44" s="62"/>
      <c r="AA44" s="62"/>
      <c r="AB44" s="62"/>
      <c r="AC44" s="62"/>
      <c r="AD44" s="62" t="e">
        <v>#N/A</v>
      </c>
      <c r="AE44" s="62" t="e">
        <v>#N/A</v>
      </c>
      <c r="AF44" s="66">
        <f>Table1[[#This Row],[2019 Scope 1 (MeT Co2)]]</f>
        <v>207000</v>
      </c>
      <c r="AG44" s="67" t="e">
        <f t="shared" si="9"/>
        <v>#VALUE!</v>
      </c>
      <c r="AH44" s="68" t="e">
        <f t="shared" si="10"/>
        <v>#VALUE!</v>
      </c>
      <c r="AK44" s="62" t="e">
        <v>#N/A</v>
      </c>
      <c r="AL44" s="62" t="e">
        <v>#N/A</v>
      </c>
      <c r="AM44" s="66">
        <f>Table1[[#This Row],[2019 Scope 2 ]]</f>
        <v>44000</v>
      </c>
      <c r="AN44" s="67" t="e">
        <f t="shared" si="11"/>
        <v>#VALUE!</v>
      </c>
      <c r="AO44" s="68" t="e">
        <f t="shared" si="12"/>
        <v>#VALUE!</v>
      </c>
      <c r="AP44" s="67" t="e">
        <f t="shared" si="13"/>
        <v>#VALUE!</v>
      </c>
      <c r="AQ44" s="68" t="e">
        <f t="shared" si="14"/>
        <v>#VALUE!</v>
      </c>
      <c r="AR44" s="72" t="str">
        <f>Table1[[#This Row],[2019 Scope 3 ]]</f>
        <v>NR</v>
      </c>
      <c r="AS44" s="71" t="e">
        <f t="shared" si="15"/>
        <v>#VALUE!</v>
      </c>
      <c r="AT44" s="51" t="e">
        <f t="shared" si="16"/>
        <v>#VALUE!</v>
      </c>
    </row>
    <row r="45" spans="1:61">
      <c r="A45" s="59">
        <f>companies!A45</f>
        <v>44</v>
      </c>
      <c r="B45" s="61" t="s">
        <v>1056</v>
      </c>
      <c r="C45" s="73">
        <v>15406173</v>
      </c>
      <c r="D45" s="73">
        <v>995988</v>
      </c>
      <c r="E45" s="73">
        <v>995988</v>
      </c>
      <c r="F45" s="73" t="s">
        <v>1096</v>
      </c>
      <c r="G45" s="73" t="s">
        <v>1096</v>
      </c>
      <c r="H45" s="73" t="s">
        <v>1096</v>
      </c>
      <c r="I45" s="73">
        <v>2817829</v>
      </c>
      <c r="J45" s="73" t="s">
        <v>1096</v>
      </c>
      <c r="K45" s="73">
        <v>79054</v>
      </c>
      <c r="L45" s="73" t="s">
        <v>1096</v>
      </c>
      <c r="M45" s="62" t="s">
        <v>1096</v>
      </c>
      <c r="N45" s="62" t="s">
        <v>1096</v>
      </c>
      <c r="O45" s="62" t="s">
        <v>1096</v>
      </c>
      <c r="P45" s="62" t="s">
        <v>1096</v>
      </c>
      <c r="Q45" s="62" t="s">
        <v>1096</v>
      </c>
      <c r="R45" s="73">
        <v>202410</v>
      </c>
      <c r="S45" s="62" t="s">
        <v>1096</v>
      </c>
      <c r="T45" s="62" t="s">
        <v>1096</v>
      </c>
      <c r="U45" s="62" t="s">
        <v>1096</v>
      </c>
      <c r="V45" s="62" t="s">
        <v>1096</v>
      </c>
      <c r="W45" s="62">
        <f t="shared" si="8"/>
        <v>3099293</v>
      </c>
      <c r="X45" s="73"/>
      <c r="Y45" s="73"/>
      <c r="Z45" s="73"/>
      <c r="AA45" s="73"/>
      <c r="AB45" s="73"/>
      <c r="AC45" s="73"/>
      <c r="AD45" s="62" t="s">
        <v>1096</v>
      </c>
      <c r="AE45" s="62" t="s">
        <v>1096</v>
      </c>
      <c r="AF45" s="66">
        <f>Table1[[#This Row],[2019 Scope 1 (MeT Co2)]]</f>
        <v>15406173</v>
      </c>
      <c r="AG45" s="67">
        <f t="shared" si="9"/>
        <v>0</v>
      </c>
      <c r="AH45" s="68">
        <f t="shared" si="10"/>
        <v>0</v>
      </c>
      <c r="AK45" s="62" t="s">
        <v>1096</v>
      </c>
      <c r="AL45" s="62" t="s">
        <v>1096</v>
      </c>
      <c r="AM45" s="66">
        <f>Table1[[#This Row],[2019 Scope 2 ]]</f>
        <v>995988</v>
      </c>
      <c r="AN45" s="67">
        <f t="shared" si="11"/>
        <v>0</v>
      </c>
      <c r="AO45" s="68">
        <f t="shared" si="12"/>
        <v>0</v>
      </c>
      <c r="AP45" s="67">
        <f t="shared" si="13"/>
        <v>0</v>
      </c>
      <c r="AQ45" s="68">
        <f t="shared" si="14"/>
        <v>0</v>
      </c>
      <c r="AR45" s="72">
        <f>Table1[[#This Row],[2019 Scope 3 ]]</f>
        <v>3099293</v>
      </c>
      <c r="AS45" s="71">
        <f t="shared" si="15"/>
        <v>0</v>
      </c>
      <c r="AT45" s="51">
        <f t="shared" si="16"/>
        <v>0</v>
      </c>
      <c r="BI45" s="58">
        <v>6287</v>
      </c>
    </row>
    <row r="46" spans="1:61">
      <c r="A46" s="59">
        <f>companies!A46</f>
        <v>45</v>
      </c>
      <c r="B46" s="61" t="s">
        <v>1056</v>
      </c>
      <c r="C46" s="73">
        <v>1451947</v>
      </c>
      <c r="D46" s="73">
        <v>3195704</v>
      </c>
      <c r="E46" s="73">
        <v>3068182</v>
      </c>
      <c r="F46" s="73">
        <v>39676648</v>
      </c>
      <c r="G46" s="73">
        <v>1280384</v>
      </c>
      <c r="H46" s="73">
        <v>1066000</v>
      </c>
      <c r="I46" s="73">
        <v>2102900</v>
      </c>
      <c r="J46" s="73">
        <v>9297</v>
      </c>
      <c r="K46" s="73">
        <v>61306</v>
      </c>
      <c r="L46" s="73">
        <v>803387</v>
      </c>
      <c r="M46" s="62" t="s">
        <v>1096</v>
      </c>
      <c r="N46" s="62" t="s">
        <v>1096</v>
      </c>
      <c r="O46" s="62" t="s">
        <v>1096</v>
      </c>
      <c r="P46" s="62">
        <v>134760000</v>
      </c>
      <c r="Q46" s="62">
        <v>1360000</v>
      </c>
      <c r="R46" s="73" t="s">
        <v>1096</v>
      </c>
      <c r="S46" s="62">
        <v>1957800</v>
      </c>
      <c r="T46" s="62" t="s">
        <v>1096</v>
      </c>
      <c r="U46" s="62" t="s">
        <v>1096</v>
      </c>
      <c r="V46" s="62" t="s">
        <v>1096</v>
      </c>
      <c r="W46" s="62">
        <f t="shared" si="8"/>
        <v>183077722</v>
      </c>
      <c r="X46" s="73"/>
      <c r="Y46" s="73"/>
      <c r="Z46" s="73"/>
      <c r="AA46" s="73"/>
      <c r="AB46" s="73"/>
      <c r="AC46" s="73"/>
      <c r="AD46" s="62" t="s">
        <v>1096</v>
      </c>
      <c r="AE46" s="62" t="s">
        <v>1096</v>
      </c>
      <c r="AF46" s="66">
        <f>Table1[[#This Row],[2019 Scope 1 (MeT Co2)]]</f>
        <v>1451947</v>
      </c>
      <c r="AG46" s="67">
        <f t="shared" si="9"/>
        <v>0</v>
      </c>
      <c r="AH46" s="68">
        <f t="shared" si="10"/>
        <v>0</v>
      </c>
      <c r="AK46" s="62" t="s">
        <v>1096</v>
      </c>
      <c r="AL46" s="62" t="s">
        <v>1096</v>
      </c>
      <c r="AM46" s="66">
        <f>Table1[[#This Row],[2019 Scope 2 ]]</f>
        <v>3068182</v>
      </c>
      <c r="AN46" s="67">
        <f t="shared" si="11"/>
        <v>127522</v>
      </c>
      <c r="AO46" s="68">
        <f t="shared" si="12"/>
        <v>3.9904196383645042E-2</v>
      </c>
      <c r="AP46" s="67">
        <f t="shared" si="13"/>
        <v>0</v>
      </c>
      <c r="AQ46" s="68">
        <f t="shared" si="14"/>
        <v>0</v>
      </c>
      <c r="AR46" s="72">
        <f>Table1[[#This Row],[2019 Scope 3 ]]</f>
        <v>183077722</v>
      </c>
      <c r="AS46" s="71">
        <f t="shared" si="15"/>
        <v>0</v>
      </c>
      <c r="AT46" s="51">
        <f t="shared" si="16"/>
        <v>0</v>
      </c>
      <c r="BI46" s="58">
        <v>6595</v>
      </c>
    </row>
    <row r="47" spans="1:61">
      <c r="A47" s="59">
        <f>companies!A47</f>
        <v>46</v>
      </c>
      <c r="B47" s="61" t="s">
        <v>1056</v>
      </c>
      <c r="C47" s="73">
        <v>317081</v>
      </c>
      <c r="D47" s="73" t="s">
        <v>1096</v>
      </c>
      <c r="E47" s="73">
        <v>445119</v>
      </c>
      <c r="F47" s="73" t="s">
        <v>1096</v>
      </c>
      <c r="G47" s="73" t="s">
        <v>1096</v>
      </c>
      <c r="H47" s="73" t="s">
        <v>1096</v>
      </c>
      <c r="I47" s="73" t="s">
        <v>1096</v>
      </c>
      <c r="J47" s="73" t="s">
        <v>1096</v>
      </c>
      <c r="K47" s="73" t="s">
        <v>1096</v>
      </c>
      <c r="L47" s="73" t="s">
        <v>1096</v>
      </c>
      <c r="M47" s="62" t="s">
        <v>1096</v>
      </c>
      <c r="N47" s="62" t="s">
        <v>1096</v>
      </c>
      <c r="O47" s="62" t="s">
        <v>1096</v>
      </c>
      <c r="P47" s="62" t="s">
        <v>1096</v>
      </c>
      <c r="Q47" s="62" t="s">
        <v>1096</v>
      </c>
      <c r="R47" s="73" t="s">
        <v>1096</v>
      </c>
      <c r="S47" s="62" t="s">
        <v>1096</v>
      </c>
      <c r="T47" s="62" t="s">
        <v>1096</v>
      </c>
      <c r="U47" s="62" t="s">
        <v>1096</v>
      </c>
      <c r="V47" s="62" t="s">
        <v>1096</v>
      </c>
      <c r="W47" s="62">
        <f t="shared" si="8"/>
        <v>0</v>
      </c>
      <c r="X47" s="73"/>
      <c r="Y47" s="73"/>
      <c r="Z47" s="73"/>
      <c r="AA47" s="73"/>
      <c r="AB47" s="73"/>
      <c r="AC47" s="73"/>
      <c r="AD47" s="62" t="s">
        <v>1064</v>
      </c>
      <c r="AE47" s="62" t="s">
        <v>1065</v>
      </c>
      <c r="AF47" s="66">
        <f>Table1[[#This Row],[2019 Scope 1 (MeT Co2)]]</f>
        <v>317081</v>
      </c>
      <c r="AG47" s="67">
        <f t="shared" si="9"/>
        <v>0</v>
      </c>
      <c r="AH47" s="68">
        <f t="shared" si="10"/>
        <v>0</v>
      </c>
      <c r="AK47" s="62" t="s">
        <v>1064</v>
      </c>
      <c r="AL47" s="62" t="s">
        <v>1065</v>
      </c>
      <c r="AM47" s="66">
        <f>Table1[[#This Row],[2019 Scope 2 ]]</f>
        <v>445119</v>
      </c>
      <c r="AN47" s="67" t="e">
        <f t="shared" si="11"/>
        <v>#VALUE!</v>
      </c>
      <c r="AO47" s="68" t="e">
        <f t="shared" si="12"/>
        <v>#VALUE!</v>
      </c>
      <c r="AP47" s="67">
        <f t="shared" si="13"/>
        <v>0</v>
      </c>
      <c r="AQ47" s="68">
        <f t="shared" si="14"/>
        <v>0</v>
      </c>
      <c r="AR47" s="72" t="str">
        <f>Table1[[#This Row],[2019 Scope 3 ]]</f>
        <v>NR</v>
      </c>
      <c r="AS47" s="71" t="e">
        <f t="shared" si="15"/>
        <v>#VALUE!</v>
      </c>
      <c r="AT47" s="51" t="e">
        <f t="shared" si="16"/>
        <v>#VALUE!</v>
      </c>
      <c r="BI47" s="58">
        <v>7147</v>
      </c>
    </row>
    <row r="48" spans="1:61">
      <c r="A48" s="59">
        <f>companies!A48</f>
        <v>47</v>
      </c>
      <c r="B48" s="61" t="s">
        <v>1056</v>
      </c>
      <c r="C48" s="73">
        <v>997409.51899999997</v>
      </c>
      <c r="D48" s="73">
        <v>1416578.8840000001</v>
      </c>
      <c r="E48" s="73">
        <v>1387615.0179999999</v>
      </c>
      <c r="F48" s="73" t="s">
        <v>1096</v>
      </c>
      <c r="G48" s="73" t="s">
        <v>1096</v>
      </c>
      <c r="H48" s="73" t="s">
        <v>1096</v>
      </c>
      <c r="I48" s="73" t="s">
        <v>1096</v>
      </c>
      <c r="J48" s="73" t="s">
        <v>1096</v>
      </c>
      <c r="K48" s="73">
        <v>183639.07800000001</v>
      </c>
      <c r="L48" s="73" t="s">
        <v>1096</v>
      </c>
      <c r="M48" s="62" t="s">
        <v>1096</v>
      </c>
      <c r="N48" s="62" t="s">
        <v>1096</v>
      </c>
      <c r="O48" s="62" t="s">
        <v>1096</v>
      </c>
      <c r="P48" s="62" t="s">
        <v>1096</v>
      </c>
      <c r="Q48" s="62" t="s">
        <v>1096</v>
      </c>
      <c r="R48" s="73" t="s">
        <v>1096</v>
      </c>
      <c r="S48" s="62" t="s">
        <v>1096</v>
      </c>
      <c r="T48" s="62">
        <v>682075</v>
      </c>
      <c r="U48" s="62" t="s">
        <v>1096</v>
      </c>
      <c r="V48" s="62" t="s">
        <v>1096</v>
      </c>
      <c r="W48" s="62">
        <f t="shared" si="8"/>
        <v>865714.07799999998</v>
      </c>
      <c r="X48" s="62"/>
      <c r="Y48" s="62"/>
      <c r="Z48" s="62"/>
      <c r="AA48" s="62"/>
      <c r="AB48" s="62"/>
      <c r="AC48" s="62"/>
      <c r="AD48" s="62" t="s">
        <v>1096</v>
      </c>
      <c r="AE48" s="62" t="s">
        <v>1096</v>
      </c>
      <c r="AF48" s="66">
        <f>Table1[[#This Row],[2019 Scope 1 (MeT Co2)]]</f>
        <v>1000000</v>
      </c>
      <c r="AG48" s="67">
        <f t="shared" si="9"/>
        <v>-2590.4810000000289</v>
      </c>
      <c r="AH48" s="68">
        <f t="shared" si="10"/>
        <v>-2.5972090206209763E-3</v>
      </c>
      <c r="AK48" s="62" t="s">
        <v>1096</v>
      </c>
      <c r="AL48" s="62" t="s">
        <v>1096</v>
      </c>
      <c r="AM48" s="66">
        <f>Table1[[#This Row],[2019 Scope 2 ]]</f>
        <v>1390000</v>
      </c>
      <c r="AN48" s="67">
        <f t="shared" si="11"/>
        <v>26578.884000000078</v>
      </c>
      <c r="AO48" s="68">
        <f t="shared" si="12"/>
        <v>1.8762727794550463E-2</v>
      </c>
      <c r="AP48" s="67">
        <f t="shared" si="13"/>
        <v>2384.9820000000764</v>
      </c>
      <c r="AQ48" s="68">
        <f t="shared" si="14"/>
        <v>1.7187634675773424E-3</v>
      </c>
      <c r="AR48" s="72">
        <f>Table1[[#This Row],[2019 Scope 3 ]]</f>
        <v>680000</v>
      </c>
      <c r="AS48" s="71">
        <f t="shared" si="15"/>
        <v>185714.07799999998</v>
      </c>
      <c r="AT48" s="51">
        <f t="shared" si="16"/>
        <v>0.21452126368216456</v>
      </c>
      <c r="BI48" s="61">
        <v>7166</v>
      </c>
    </row>
    <row r="49" spans="1:61">
      <c r="A49" s="59">
        <f>companies!A49</f>
        <v>48</v>
      </c>
      <c r="B49" s="61" t="s">
        <v>1056</v>
      </c>
      <c r="C49" s="73">
        <v>1589700</v>
      </c>
      <c r="D49" s="73">
        <v>4381970</v>
      </c>
      <c r="E49" s="73">
        <v>3721875</v>
      </c>
      <c r="F49" s="73">
        <v>45505504</v>
      </c>
      <c r="G49" s="73">
        <v>4597425</v>
      </c>
      <c r="H49" s="73">
        <v>322403</v>
      </c>
      <c r="I49" s="73">
        <v>3449729</v>
      </c>
      <c r="J49" s="73">
        <v>954</v>
      </c>
      <c r="K49" s="73">
        <v>40051</v>
      </c>
      <c r="L49" s="73">
        <v>123000</v>
      </c>
      <c r="M49" s="62">
        <v>10077</v>
      </c>
      <c r="N49" s="62">
        <v>1922037</v>
      </c>
      <c r="O49" s="62">
        <v>120731</v>
      </c>
      <c r="P49" s="62">
        <v>190123729</v>
      </c>
      <c r="Q49" s="62">
        <v>2938656</v>
      </c>
      <c r="R49" s="73">
        <v>20459</v>
      </c>
      <c r="S49" s="62">
        <v>138641</v>
      </c>
      <c r="T49" s="62" t="s">
        <v>1096</v>
      </c>
      <c r="U49" s="62" t="s">
        <v>1096</v>
      </c>
      <c r="V49" s="62" t="s">
        <v>1096</v>
      </c>
      <c r="W49" s="62">
        <f t="shared" si="8"/>
        <v>249313396</v>
      </c>
      <c r="X49" s="73"/>
      <c r="Y49" s="73"/>
      <c r="Z49" s="73"/>
      <c r="AA49" s="73"/>
      <c r="AB49" s="73"/>
      <c r="AC49" s="73"/>
      <c r="AD49" s="62" t="s">
        <v>1096</v>
      </c>
      <c r="AE49" s="62" t="s">
        <v>1096</v>
      </c>
      <c r="AF49" s="66">
        <f>Table1[[#This Row],[2019 Scope 1 (MeT Co2)]]</f>
        <v>1589700</v>
      </c>
      <c r="AG49" s="67">
        <f t="shared" si="9"/>
        <v>0</v>
      </c>
      <c r="AH49" s="68">
        <f t="shared" si="10"/>
        <v>0</v>
      </c>
      <c r="AK49" s="62" t="s">
        <v>1096</v>
      </c>
      <c r="AL49" s="62" t="s">
        <v>1096</v>
      </c>
      <c r="AM49" s="66">
        <f>Table1[[#This Row],[2019 Scope 2 ]]</f>
        <v>3721875</v>
      </c>
      <c r="AN49" s="67">
        <f t="shared" si="11"/>
        <v>660095</v>
      </c>
      <c r="AO49" s="68">
        <f t="shared" si="12"/>
        <v>0.1506388679064439</v>
      </c>
      <c r="AP49" s="67">
        <f t="shared" si="13"/>
        <v>0</v>
      </c>
      <c r="AQ49" s="68">
        <f t="shared" si="14"/>
        <v>0</v>
      </c>
      <c r="AR49" s="72">
        <f>Table1[[#This Row],[2019 Scope 3 ]]</f>
        <v>249384317</v>
      </c>
      <c r="AS49" s="71">
        <f t="shared" si="15"/>
        <v>-70921</v>
      </c>
      <c r="AT49" s="51">
        <f t="shared" si="16"/>
        <v>-2.8446525994134706E-4</v>
      </c>
      <c r="BI49" s="58">
        <v>7164</v>
      </c>
    </row>
    <row r="50" spans="1:61">
      <c r="A50" s="59">
        <f>companies!A50</f>
        <v>49</v>
      </c>
      <c r="B50" s="61" t="s">
        <v>1056</v>
      </c>
      <c r="C50" s="73">
        <v>52019</v>
      </c>
      <c r="D50" s="73">
        <v>42546</v>
      </c>
      <c r="E50" s="73">
        <v>21716</v>
      </c>
      <c r="F50" s="73">
        <v>1229479</v>
      </c>
      <c r="G50" s="73">
        <v>95700</v>
      </c>
      <c r="H50" s="73">
        <v>25250</v>
      </c>
      <c r="I50" s="73">
        <v>17003</v>
      </c>
      <c r="J50" s="73">
        <v>4810</v>
      </c>
      <c r="K50" s="73">
        <v>40399</v>
      </c>
      <c r="L50" s="73">
        <v>23656</v>
      </c>
      <c r="M50" s="62" t="s">
        <v>1096</v>
      </c>
      <c r="N50" s="62" t="s">
        <v>1096</v>
      </c>
      <c r="O50" s="62" t="s">
        <v>1096</v>
      </c>
      <c r="P50" s="62" t="s">
        <v>1096</v>
      </c>
      <c r="Q50" s="62" t="s">
        <v>1096</v>
      </c>
      <c r="R50" s="73" t="s">
        <v>1096</v>
      </c>
      <c r="S50" s="62" t="s">
        <v>1096</v>
      </c>
      <c r="T50" s="62" t="s">
        <v>1096</v>
      </c>
      <c r="U50" s="62" t="s">
        <v>1096</v>
      </c>
      <c r="V50" s="62" t="s">
        <v>1096</v>
      </c>
      <c r="W50" s="62">
        <f t="shared" si="8"/>
        <v>1436297</v>
      </c>
      <c r="X50" s="73"/>
      <c r="Y50" s="73"/>
      <c r="Z50" s="73"/>
      <c r="AA50" s="73"/>
      <c r="AB50" s="73"/>
      <c r="AC50" s="73"/>
      <c r="AD50" s="62" t="s">
        <v>1096</v>
      </c>
      <c r="AE50" s="62" t="s">
        <v>1096</v>
      </c>
      <c r="AF50" s="66">
        <f>Table1[[#This Row],[2019 Scope 1 (MeT Co2)]]</f>
        <v>52019</v>
      </c>
      <c r="AG50" s="67">
        <f t="shared" si="9"/>
        <v>0</v>
      </c>
      <c r="AH50" s="68">
        <f t="shared" si="10"/>
        <v>0</v>
      </c>
      <c r="AK50" s="62" t="s">
        <v>1096</v>
      </c>
      <c r="AL50" s="62" t="s">
        <v>1096</v>
      </c>
      <c r="AM50" s="66">
        <f>Table1[[#This Row],[2019 Scope 2 ]]</f>
        <v>21716</v>
      </c>
      <c r="AN50" s="67">
        <f t="shared" si="11"/>
        <v>20830</v>
      </c>
      <c r="AO50" s="68">
        <f t="shared" si="12"/>
        <v>0.48958774032811547</v>
      </c>
      <c r="AP50" s="67">
        <f t="shared" si="13"/>
        <v>0</v>
      </c>
      <c r="AQ50" s="68">
        <f t="shared" si="14"/>
        <v>0</v>
      </c>
      <c r="AR50" s="72">
        <f>Table1[[#This Row],[2019 Scope 3 ]]</f>
        <v>1436297</v>
      </c>
      <c r="AS50" s="71">
        <f t="shared" si="15"/>
        <v>0</v>
      </c>
      <c r="AT50" s="51">
        <f t="shared" si="16"/>
        <v>0</v>
      </c>
      <c r="BI50" s="58">
        <v>7345</v>
      </c>
    </row>
    <row r="51" spans="1:61">
      <c r="A51" s="59">
        <f>companies!A51</f>
        <v>50</v>
      </c>
      <c r="B51" s="61" t="s">
        <v>1056</v>
      </c>
      <c r="C51" s="73">
        <v>12673</v>
      </c>
      <c r="D51" s="73">
        <v>166249</v>
      </c>
      <c r="E51" s="73">
        <v>9109</v>
      </c>
      <c r="F51" s="73">
        <v>1125000</v>
      </c>
      <c r="G51" s="73" t="s">
        <v>1096</v>
      </c>
      <c r="H51" s="73">
        <v>40000</v>
      </c>
      <c r="I51" s="73" t="s">
        <v>1096</v>
      </c>
      <c r="J51" s="73">
        <v>291</v>
      </c>
      <c r="K51" s="73">
        <v>135473</v>
      </c>
      <c r="L51" s="73">
        <v>91000</v>
      </c>
      <c r="M51" s="62" t="s">
        <v>1096</v>
      </c>
      <c r="N51" s="62" t="s">
        <v>1096</v>
      </c>
      <c r="O51" s="62" t="s">
        <v>1096</v>
      </c>
      <c r="P51" s="62" t="s">
        <v>1096</v>
      </c>
      <c r="Q51" s="62" t="s">
        <v>1096</v>
      </c>
      <c r="R51" s="73">
        <v>12700</v>
      </c>
      <c r="S51" s="62" t="s">
        <v>1096</v>
      </c>
      <c r="T51" s="62" t="s">
        <v>1096</v>
      </c>
      <c r="U51" s="62" t="s">
        <v>1096</v>
      </c>
      <c r="V51" s="62" t="s">
        <v>1096</v>
      </c>
      <c r="W51" s="62">
        <f t="shared" si="8"/>
        <v>1404464</v>
      </c>
      <c r="X51" s="73"/>
      <c r="Y51" s="73"/>
      <c r="Z51" s="73"/>
      <c r="AA51" s="73"/>
      <c r="AB51" s="73"/>
      <c r="AC51" s="73"/>
      <c r="AD51" s="62" t="s">
        <v>1096</v>
      </c>
      <c r="AE51" s="62" t="s">
        <v>1096</v>
      </c>
      <c r="AF51" s="66">
        <f>Table1[[#This Row],[2019 Scope 1 (MeT Co2)]]</f>
        <v>12673</v>
      </c>
      <c r="AG51" s="67">
        <f t="shared" si="9"/>
        <v>0</v>
      </c>
      <c r="AH51" s="68">
        <f t="shared" si="10"/>
        <v>0</v>
      </c>
      <c r="AK51" s="62" t="s">
        <v>1096</v>
      </c>
      <c r="AL51" s="62" t="s">
        <v>1096</v>
      </c>
      <c r="AM51" s="66">
        <f>Table1[[#This Row],[2019 Scope 2 ]]</f>
        <v>9109</v>
      </c>
      <c r="AN51" s="67">
        <f t="shared" si="11"/>
        <v>157140</v>
      </c>
      <c r="AO51" s="68">
        <f t="shared" si="12"/>
        <v>0.9452086929846194</v>
      </c>
      <c r="AP51" s="67">
        <f t="shared" si="13"/>
        <v>0</v>
      </c>
      <c r="AQ51" s="68">
        <f t="shared" si="14"/>
        <v>0</v>
      </c>
      <c r="AR51" s="72">
        <f>Table1[[#This Row],[2019 Scope 3 ]]</f>
        <v>135473</v>
      </c>
      <c r="AS51" s="71">
        <f t="shared" si="15"/>
        <v>1268991</v>
      </c>
      <c r="AT51" s="51">
        <f t="shared" si="16"/>
        <v>0.90354113740188424</v>
      </c>
      <c r="BI51" s="58">
        <v>7599</v>
      </c>
    </row>
    <row r="52" spans="1:61">
      <c r="A52" s="59">
        <f>companies!A52</f>
        <v>51</v>
      </c>
      <c r="B52" s="61" t="s">
        <v>1056</v>
      </c>
      <c r="C52" s="73">
        <v>554317</v>
      </c>
      <c r="D52" s="73">
        <v>1393916</v>
      </c>
      <c r="E52" s="73">
        <v>1302648</v>
      </c>
      <c r="F52" s="73">
        <v>44487507</v>
      </c>
      <c r="G52" s="73" t="s">
        <v>1096</v>
      </c>
      <c r="H52" s="73">
        <v>420000</v>
      </c>
      <c r="I52" s="73">
        <v>2665080</v>
      </c>
      <c r="J52" s="73" t="s">
        <v>1096</v>
      </c>
      <c r="K52" s="73" t="s">
        <v>1096</v>
      </c>
      <c r="L52" s="73">
        <v>564400</v>
      </c>
      <c r="M52" s="62" t="s">
        <v>1096</v>
      </c>
      <c r="N52" s="62" t="s">
        <v>1096</v>
      </c>
      <c r="O52" s="62" t="s">
        <v>1096</v>
      </c>
      <c r="P52" s="62">
        <v>156500611</v>
      </c>
      <c r="Q52" s="62" t="s">
        <v>1096</v>
      </c>
      <c r="R52" s="73" t="s">
        <v>1096</v>
      </c>
      <c r="S52" s="62" t="s">
        <v>1096</v>
      </c>
      <c r="T52" s="62" t="s">
        <v>1096</v>
      </c>
      <c r="U52" s="62" t="s">
        <v>1096</v>
      </c>
      <c r="V52" s="62" t="s">
        <v>1096</v>
      </c>
      <c r="W52" s="62">
        <f t="shared" si="8"/>
        <v>204637598</v>
      </c>
      <c r="X52" s="73"/>
      <c r="Y52" s="73"/>
      <c r="Z52" s="73"/>
      <c r="AA52" s="73"/>
      <c r="AB52" s="73"/>
      <c r="AC52" s="73"/>
      <c r="AD52" s="62" t="s">
        <v>1096</v>
      </c>
      <c r="AE52" s="62" t="s">
        <v>1096</v>
      </c>
      <c r="AF52" s="66">
        <f>Table1[[#This Row],[2019 Scope 1 (MeT Co2)]]</f>
        <v>554317</v>
      </c>
      <c r="AG52" s="67">
        <f t="shared" si="9"/>
        <v>0</v>
      </c>
      <c r="AH52" s="68">
        <f t="shared" si="10"/>
        <v>0</v>
      </c>
      <c r="AK52" s="62" t="s">
        <v>1096</v>
      </c>
      <c r="AL52" s="62" t="s">
        <v>1096</v>
      </c>
      <c r="AM52" s="66">
        <f>Table1[[#This Row],[2019 Scope 2 ]]</f>
        <v>1302648</v>
      </c>
      <c r="AN52" s="67">
        <f t="shared" si="11"/>
        <v>91268</v>
      </c>
      <c r="AO52" s="68">
        <f t="shared" si="12"/>
        <v>6.5475968422774394E-2</v>
      </c>
      <c r="AP52" s="67">
        <f t="shared" si="13"/>
        <v>0</v>
      </c>
      <c r="AQ52" s="68">
        <f t="shared" si="14"/>
        <v>0</v>
      </c>
      <c r="AR52" s="72">
        <f>Table1[[#This Row],[2019 Scope 3 ]]</f>
        <v>204637598</v>
      </c>
      <c r="AS52" s="71">
        <f t="shared" si="15"/>
        <v>0</v>
      </c>
      <c r="AT52" s="51">
        <f t="shared" si="16"/>
        <v>0</v>
      </c>
      <c r="BI52" s="58">
        <v>8526</v>
      </c>
    </row>
    <row r="53" spans="1:61">
      <c r="A53" s="59">
        <f>companies!A53</f>
        <v>52</v>
      </c>
      <c r="B53" s="61" t="s">
        <v>1056</v>
      </c>
      <c r="C53" s="73">
        <v>1090649</v>
      </c>
      <c r="D53" s="73">
        <v>951982</v>
      </c>
      <c r="E53" s="73">
        <v>933484</v>
      </c>
      <c r="F53" s="73">
        <v>16976983</v>
      </c>
      <c r="G53" s="73">
        <v>518408</v>
      </c>
      <c r="H53" s="73">
        <v>306478</v>
      </c>
      <c r="I53" s="73" t="s">
        <v>1096</v>
      </c>
      <c r="J53" s="73" t="s">
        <v>1096</v>
      </c>
      <c r="K53" s="73">
        <v>163207</v>
      </c>
      <c r="L53" s="73">
        <v>104444</v>
      </c>
      <c r="M53" s="62" t="s">
        <v>1096</v>
      </c>
      <c r="N53" s="62" t="s">
        <v>1096</v>
      </c>
      <c r="O53" s="62" t="s">
        <v>1096</v>
      </c>
      <c r="P53" s="62" t="s">
        <v>1096</v>
      </c>
      <c r="Q53" s="62" t="s">
        <v>1096</v>
      </c>
      <c r="R53" s="73">
        <v>17530</v>
      </c>
      <c r="S53" s="62" t="s">
        <v>1096</v>
      </c>
      <c r="T53" s="62" t="s">
        <v>1096</v>
      </c>
      <c r="U53" s="62" t="s">
        <v>1096</v>
      </c>
      <c r="V53" s="62" t="s">
        <v>1096</v>
      </c>
      <c r="W53" s="62">
        <f t="shared" si="8"/>
        <v>18087050</v>
      </c>
      <c r="X53" s="73"/>
      <c r="Y53" s="73"/>
      <c r="Z53" s="73"/>
      <c r="AA53" s="73"/>
      <c r="AB53" s="73"/>
      <c r="AC53" s="73"/>
      <c r="AD53" s="62" t="s">
        <v>1096</v>
      </c>
      <c r="AE53" s="62" t="s">
        <v>1096</v>
      </c>
      <c r="AF53" s="66">
        <f>Table1[[#This Row],[2019 Scope 1 (MeT Co2)]]</f>
        <v>1090649</v>
      </c>
      <c r="AG53" s="67">
        <f t="shared" si="9"/>
        <v>0</v>
      </c>
      <c r="AH53" s="68">
        <f t="shared" si="10"/>
        <v>0</v>
      </c>
      <c r="AK53" s="62" t="s">
        <v>1096</v>
      </c>
      <c r="AL53" s="62" t="s">
        <v>1096</v>
      </c>
      <c r="AM53" s="66">
        <f>Table1[[#This Row],[2019 Scope 2 ]]</f>
        <v>933484</v>
      </c>
      <c r="AN53" s="67">
        <f t="shared" si="11"/>
        <v>18498</v>
      </c>
      <c r="AO53" s="68">
        <f t="shared" si="12"/>
        <v>1.9431039662514627E-2</v>
      </c>
      <c r="AP53" s="67">
        <f t="shared" si="13"/>
        <v>0</v>
      </c>
      <c r="AQ53" s="68">
        <f t="shared" si="14"/>
        <v>0</v>
      </c>
      <c r="AR53" s="72">
        <f>Table1[[#This Row],[2019 Scope 3 ]]</f>
        <v>18087050</v>
      </c>
      <c r="AS53" s="71">
        <f t="shared" si="15"/>
        <v>0</v>
      </c>
      <c r="AT53" s="51">
        <f t="shared" si="16"/>
        <v>0</v>
      </c>
      <c r="BI53" s="58">
        <v>8553</v>
      </c>
    </row>
    <row r="54" spans="1:61">
      <c r="A54" s="59">
        <f>companies!A54</f>
        <v>53</v>
      </c>
      <c r="B54" s="61" t="s">
        <v>1056</v>
      </c>
      <c r="C54" s="73">
        <v>117723</v>
      </c>
      <c r="D54" s="73">
        <v>987066</v>
      </c>
      <c r="E54" s="73">
        <v>827369</v>
      </c>
      <c r="F54" s="73">
        <v>318989</v>
      </c>
      <c r="G54" s="73" t="s">
        <v>1096</v>
      </c>
      <c r="H54" s="73" t="s">
        <v>1096</v>
      </c>
      <c r="I54" s="73" t="s">
        <v>1096</v>
      </c>
      <c r="J54" s="73" t="s">
        <v>1096</v>
      </c>
      <c r="K54" s="73">
        <v>393448</v>
      </c>
      <c r="L54" s="73">
        <v>119404</v>
      </c>
      <c r="M54" s="62">
        <v>39505</v>
      </c>
      <c r="N54" s="62" t="s">
        <v>1096</v>
      </c>
      <c r="O54" s="62" t="s">
        <v>1096</v>
      </c>
      <c r="P54" s="62">
        <v>287068</v>
      </c>
      <c r="Q54" s="62" t="s">
        <v>1096</v>
      </c>
      <c r="R54" s="73" t="s">
        <v>1096</v>
      </c>
      <c r="S54" s="62" t="s">
        <v>1096</v>
      </c>
      <c r="T54" s="62" t="s">
        <v>1096</v>
      </c>
      <c r="U54" s="62" t="s">
        <v>1096</v>
      </c>
      <c r="V54" s="62" t="s">
        <v>1096</v>
      </c>
      <c r="W54" s="62">
        <f t="shared" si="8"/>
        <v>1158414</v>
      </c>
      <c r="X54" s="73"/>
      <c r="Y54" s="73"/>
      <c r="Z54" s="73"/>
      <c r="AA54" s="73"/>
      <c r="AB54" s="73"/>
      <c r="AC54" s="73"/>
      <c r="AD54" s="62" t="s">
        <v>1096</v>
      </c>
      <c r="AE54" s="62" t="s">
        <v>1096</v>
      </c>
      <c r="AF54" s="66">
        <f>Table1[[#This Row],[2019 Scope 1 (MeT Co2)]]</f>
        <v>114640</v>
      </c>
      <c r="AG54" s="67">
        <f t="shared" si="9"/>
        <v>3083</v>
      </c>
      <c r="AH54" s="68">
        <f t="shared" si="10"/>
        <v>2.6188595261758534E-2</v>
      </c>
      <c r="AK54" s="62" t="s">
        <v>1096</v>
      </c>
      <c r="AL54" s="62" t="s">
        <v>1096</v>
      </c>
      <c r="AM54" s="66">
        <f>Table1[[#This Row],[2019 Scope 2 ]]</f>
        <v>822616</v>
      </c>
      <c r="AN54" s="67">
        <f t="shared" si="11"/>
        <v>164450</v>
      </c>
      <c r="AO54" s="68">
        <f t="shared" si="12"/>
        <v>0.16660486735436131</v>
      </c>
      <c r="AP54" s="67">
        <f t="shared" si="13"/>
        <v>-4753</v>
      </c>
      <c r="AQ54" s="68">
        <f t="shared" si="14"/>
        <v>-5.7447160819416726E-3</v>
      </c>
      <c r="AR54" s="72">
        <f>Table1[[#This Row],[2019 Scope 3 ]]</f>
        <v>1158416</v>
      </c>
      <c r="AS54" s="71">
        <f t="shared" si="15"/>
        <v>-2</v>
      </c>
      <c r="AT54" s="51">
        <f t="shared" si="16"/>
        <v>-1.7264984711856037E-6</v>
      </c>
      <c r="BI54" s="61">
        <v>9284</v>
      </c>
    </row>
    <row r="55" spans="1:61">
      <c r="A55" s="59">
        <f>companies!A55</f>
        <v>54</v>
      </c>
      <c r="B55" s="61" t="s">
        <v>1056</v>
      </c>
      <c r="C55" s="73">
        <v>1489000</v>
      </c>
      <c r="D55" s="73">
        <v>3345000</v>
      </c>
      <c r="E55" s="73">
        <v>1299000</v>
      </c>
      <c r="F55" s="73">
        <v>4446000</v>
      </c>
      <c r="G55" s="73">
        <v>36000</v>
      </c>
      <c r="H55" s="73">
        <v>115000</v>
      </c>
      <c r="I55" s="73">
        <v>157000</v>
      </c>
      <c r="J55" s="73">
        <v>2000</v>
      </c>
      <c r="K55" s="73">
        <v>136000</v>
      </c>
      <c r="L55" s="73">
        <v>516000</v>
      </c>
      <c r="M55" s="62">
        <v>21000</v>
      </c>
      <c r="N55" s="62">
        <v>98000</v>
      </c>
      <c r="O55" s="62">
        <v>285000</v>
      </c>
      <c r="P55" s="62">
        <v>3927000</v>
      </c>
      <c r="Q55" s="62" t="s">
        <v>1096</v>
      </c>
      <c r="R55" s="73" t="s">
        <v>1096</v>
      </c>
      <c r="S55" s="62" t="s">
        <v>1096</v>
      </c>
      <c r="T55" s="62" t="s">
        <v>1096</v>
      </c>
      <c r="U55" s="62" t="s">
        <v>1096</v>
      </c>
      <c r="V55" s="62" t="s">
        <v>1096</v>
      </c>
      <c r="W55" s="62">
        <f t="shared" si="8"/>
        <v>9739000</v>
      </c>
      <c r="X55" s="73"/>
      <c r="Y55" s="73"/>
      <c r="Z55" s="73"/>
      <c r="AA55" s="73"/>
      <c r="AB55" s="73"/>
      <c r="AC55" s="73"/>
      <c r="AD55" s="62" t="s">
        <v>1096</v>
      </c>
      <c r="AE55" s="62" t="s">
        <v>1096</v>
      </c>
      <c r="AF55" s="66">
        <f>Table1[[#This Row],[2019 Scope 1 (MeT Co2)]]</f>
        <v>1489000</v>
      </c>
      <c r="AG55" s="67">
        <f t="shared" si="9"/>
        <v>0</v>
      </c>
      <c r="AH55" s="68">
        <f t="shared" si="10"/>
        <v>0</v>
      </c>
      <c r="AK55" s="62" t="s">
        <v>1096</v>
      </c>
      <c r="AL55" s="62" t="s">
        <v>1096</v>
      </c>
      <c r="AM55" s="66">
        <f>Table1[[#This Row],[2019 Scope 2 ]]</f>
        <v>1299000</v>
      </c>
      <c r="AN55" s="67">
        <f t="shared" si="11"/>
        <v>2046000</v>
      </c>
      <c r="AO55" s="68">
        <f t="shared" si="12"/>
        <v>0.61165919282511205</v>
      </c>
      <c r="AP55" s="67">
        <f t="shared" si="13"/>
        <v>0</v>
      </c>
      <c r="AQ55" s="68">
        <f t="shared" si="14"/>
        <v>0</v>
      </c>
      <c r="AR55" s="72">
        <f>Table1[[#This Row],[2019 Scope 3 ]]</f>
        <v>20342000</v>
      </c>
      <c r="AS55" s="71">
        <f t="shared" si="15"/>
        <v>-10603000</v>
      </c>
      <c r="AT55" s="51">
        <f t="shared" si="16"/>
        <v>-1.0887154738679536</v>
      </c>
      <c r="BI55" s="58">
        <v>9298</v>
      </c>
    </row>
    <row r="56" spans="1:61">
      <c r="A56" s="59">
        <f>companies!A56</f>
        <v>55</v>
      </c>
      <c r="B56" s="61" t="s">
        <v>1056</v>
      </c>
      <c r="C56" s="73">
        <v>415094</v>
      </c>
      <c r="D56" s="73">
        <v>648598</v>
      </c>
      <c r="E56" s="73">
        <v>518542</v>
      </c>
      <c r="F56" s="73">
        <v>9229943</v>
      </c>
      <c r="G56" s="73">
        <v>281092</v>
      </c>
      <c r="H56" s="73">
        <v>47245</v>
      </c>
      <c r="I56" s="73">
        <v>2201590</v>
      </c>
      <c r="J56" s="73">
        <v>3618</v>
      </c>
      <c r="K56" s="73">
        <v>601637</v>
      </c>
      <c r="L56" s="73">
        <v>267881</v>
      </c>
      <c r="M56" s="62">
        <v>39830</v>
      </c>
      <c r="N56" s="62">
        <v>65447</v>
      </c>
      <c r="O56" s="62" t="s">
        <v>1096</v>
      </c>
      <c r="P56" s="62">
        <v>7417224</v>
      </c>
      <c r="Q56" s="62">
        <v>209994</v>
      </c>
      <c r="R56" s="73" t="s">
        <v>1096</v>
      </c>
      <c r="S56" s="62" t="s">
        <v>1096</v>
      </c>
      <c r="T56" s="62" t="s">
        <v>1096</v>
      </c>
      <c r="U56" s="62" t="s">
        <v>1096</v>
      </c>
      <c r="V56" s="62" t="s">
        <v>1096</v>
      </c>
      <c r="W56" s="62">
        <f t="shared" si="8"/>
        <v>20365501</v>
      </c>
      <c r="X56" s="73"/>
      <c r="Y56" s="73"/>
      <c r="Z56" s="73"/>
      <c r="AA56" s="73"/>
      <c r="AB56" s="73"/>
      <c r="AC56" s="73"/>
      <c r="AD56" s="62" t="s">
        <v>1096</v>
      </c>
      <c r="AE56" s="62" t="s">
        <v>1096</v>
      </c>
      <c r="AF56" s="66">
        <f>Table1[[#This Row],[2019 Scope 1 (MeT Co2)]]</f>
        <v>415094</v>
      </c>
      <c r="AG56" s="67">
        <f t="shared" si="9"/>
        <v>0</v>
      </c>
      <c r="AH56" s="68">
        <f t="shared" si="10"/>
        <v>0</v>
      </c>
      <c r="AK56" s="62" t="s">
        <v>1096</v>
      </c>
      <c r="AL56" s="62" t="s">
        <v>1096</v>
      </c>
      <c r="AM56" s="66">
        <f>Table1[[#This Row],[2019 Scope 2 ]]</f>
        <v>518542</v>
      </c>
      <c r="AN56" s="67">
        <f t="shared" si="11"/>
        <v>130056</v>
      </c>
      <c r="AO56" s="68">
        <f t="shared" si="12"/>
        <v>0.20051865716514697</v>
      </c>
      <c r="AP56" s="67">
        <f t="shared" si="13"/>
        <v>0</v>
      </c>
      <c r="AQ56" s="68">
        <f t="shared" si="14"/>
        <v>0</v>
      </c>
      <c r="AR56" s="72">
        <f>Table1[[#This Row],[2019 Scope 3 ]]</f>
        <v>20300054</v>
      </c>
      <c r="AS56" s="71">
        <f t="shared" si="15"/>
        <v>65447</v>
      </c>
      <c r="AT56" s="51">
        <f t="shared" si="16"/>
        <v>3.2136209170596885E-3</v>
      </c>
      <c r="BI56" s="58">
        <v>9829</v>
      </c>
    </row>
    <row r="57" spans="1:61">
      <c r="A57" s="59">
        <f>companies!A57</f>
        <v>56</v>
      </c>
      <c r="B57" s="61" t="s">
        <v>1056</v>
      </c>
      <c r="C57" s="73">
        <v>81655</v>
      </c>
      <c r="D57" s="73">
        <v>692299</v>
      </c>
      <c r="E57" s="73">
        <v>556142</v>
      </c>
      <c r="F57" s="73" t="s">
        <v>1096</v>
      </c>
      <c r="G57" s="73" t="s">
        <v>1096</v>
      </c>
      <c r="H57" s="73">
        <v>32229</v>
      </c>
      <c r="I57" s="73" t="s">
        <v>1096</v>
      </c>
      <c r="J57" s="73" t="s">
        <v>1096</v>
      </c>
      <c r="K57" s="73">
        <v>181004</v>
      </c>
      <c r="L57" s="73" t="s">
        <v>1096</v>
      </c>
      <c r="M57" s="62" t="s">
        <v>1096</v>
      </c>
      <c r="N57" s="62" t="s">
        <v>1096</v>
      </c>
      <c r="O57" s="62" t="s">
        <v>1096</v>
      </c>
      <c r="P57" s="62" t="s">
        <v>1096</v>
      </c>
      <c r="Q57" s="62" t="s">
        <v>1096</v>
      </c>
      <c r="R57" s="73" t="s">
        <v>1096</v>
      </c>
      <c r="S57" s="62" t="s">
        <v>1096</v>
      </c>
      <c r="T57" s="62" t="s">
        <v>1096</v>
      </c>
      <c r="U57" s="62" t="s">
        <v>1096</v>
      </c>
      <c r="V57" s="62" t="s">
        <v>1096</v>
      </c>
      <c r="W57" s="62">
        <f t="shared" si="8"/>
        <v>213233</v>
      </c>
      <c r="X57" s="73"/>
      <c r="Y57" s="73"/>
      <c r="Z57" s="73"/>
      <c r="AA57" s="73"/>
      <c r="AB57" s="73"/>
      <c r="AC57" s="73"/>
      <c r="AD57" s="62" t="s">
        <v>1096</v>
      </c>
      <c r="AE57" s="62" t="s">
        <v>1096</v>
      </c>
      <c r="AF57" s="66">
        <f>Table1[[#This Row],[2019 Scope 1 (MeT Co2)]]</f>
        <v>81655</v>
      </c>
      <c r="AG57" s="67">
        <f t="shared" si="9"/>
        <v>0</v>
      </c>
      <c r="AH57" s="68">
        <f t="shared" si="10"/>
        <v>0</v>
      </c>
      <c r="AK57" s="62" t="s">
        <v>1096</v>
      </c>
      <c r="AL57" s="62" t="s">
        <v>1096</v>
      </c>
      <c r="AM57" s="66">
        <f>Table1[[#This Row],[2019 Scope 2 ]]</f>
        <v>556142</v>
      </c>
      <c r="AN57" s="67">
        <f t="shared" si="11"/>
        <v>136157</v>
      </c>
      <c r="AO57" s="68">
        <f t="shared" si="12"/>
        <v>0.19667369156968303</v>
      </c>
      <c r="AP57" s="67">
        <f t="shared" si="13"/>
        <v>0</v>
      </c>
      <c r="AQ57" s="68">
        <f t="shared" si="14"/>
        <v>0</v>
      </c>
      <c r="AR57" s="72">
        <f>Table1[[#This Row],[2019 Scope 3 ]]</f>
        <v>181004</v>
      </c>
      <c r="AS57" s="71">
        <f t="shared" si="15"/>
        <v>32229</v>
      </c>
      <c r="AT57" s="51">
        <f t="shared" si="16"/>
        <v>0.15114452265831274</v>
      </c>
      <c r="BI57" s="58">
        <v>9871</v>
      </c>
    </row>
    <row r="58" spans="1:61">
      <c r="A58" s="59">
        <f>companies!A58</f>
        <v>57</v>
      </c>
      <c r="B58" s="61" t="s">
        <v>1056</v>
      </c>
      <c r="C58" s="73" t="s">
        <v>1095</v>
      </c>
      <c r="D58" s="73" t="s">
        <v>1095</v>
      </c>
      <c r="E58" s="73" t="s">
        <v>1095</v>
      </c>
      <c r="F58" s="73" t="s">
        <v>1095</v>
      </c>
      <c r="G58" s="73" t="s">
        <v>1095</v>
      </c>
      <c r="H58" s="73" t="s">
        <v>1095</v>
      </c>
      <c r="I58" s="73" t="s">
        <v>1095</v>
      </c>
      <c r="J58" s="73" t="s">
        <v>1095</v>
      </c>
      <c r="K58" s="73" t="s">
        <v>1095</v>
      </c>
      <c r="L58" s="73" t="s">
        <v>1095</v>
      </c>
      <c r="M58" s="73" t="s">
        <v>1095</v>
      </c>
      <c r="N58" s="73" t="s">
        <v>1095</v>
      </c>
      <c r="O58" s="73" t="s">
        <v>1095</v>
      </c>
      <c r="P58" s="73" t="s">
        <v>1095</v>
      </c>
      <c r="Q58" s="73" t="s">
        <v>1095</v>
      </c>
      <c r="R58" s="73" t="s">
        <v>1095</v>
      </c>
      <c r="S58" s="73" t="s">
        <v>1095</v>
      </c>
      <c r="T58" s="73" t="s">
        <v>1095</v>
      </c>
      <c r="U58" s="73" t="s">
        <v>1095</v>
      </c>
      <c r="V58" s="73" t="s">
        <v>1095</v>
      </c>
      <c r="W58" s="62">
        <f t="shared" si="8"/>
        <v>0</v>
      </c>
      <c r="X58" s="62"/>
      <c r="Y58" s="62"/>
      <c r="Z58" s="62"/>
      <c r="AA58" s="62"/>
      <c r="AB58" s="62"/>
      <c r="AC58" s="62"/>
      <c r="AD58" s="62" t="e">
        <v>#N/A</v>
      </c>
      <c r="AE58" s="62" t="e">
        <v>#N/A</v>
      </c>
      <c r="AF58" s="66" t="str">
        <f>Table1[[#This Row],[2019 Scope 1 (MeT Co2)]]</f>
        <v>NR</v>
      </c>
      <c r="AG58" s="67" t="e">
        <f t="shared" si="9"/>
        <v>#VALUE!</v>
      </c>
      <c r="AH58" s="68" t="e">
        <f t="shared" si="10"/>
        <v>#VALUE!</v>
      </c>
      <c r="AK58" s="62" t="e">
        <v>#N/A</v>
      </c>
      <c r="AL58" s="62" t="e">
        <v>#N/A</v>
      </c>
      <c r="AM58" s="66" t="str">
        <f>Table1[[#This Row],[2019 Scope 2 ]]</f>
        <v>NR</v>
      </c>
      <c r="AN58" s="67" t="e">
        <f t="shared" si="11"/>
        <v>#VALUE!</v>
      </c>
      <c r="AO58" s="68" t="e">
        <f t="shared" si="12"/>
        <v>#VALUE!</v>
      </c>
      <c r="AP58" s="67" t="e">
        <f t="shared" si="13"/>
        <v>#VALUE!</v>
      </c>
      <c r="AQ58" s="68" t="e">
        <f t="shared" si="14"/>
        <v>#VALUE!</v>
      </c>
      <c r="AR58" s="72" t="str">
        <f>Table1[[#This Row],[2019 Scope 3 ]]</f>
        <v>NR</v>
      </c>
      <c r="AS58" s="71" t="e">
        <f t="shared" si="15"/>
        <v>#VALUE!</v>
      </c>
      <c r="AT58" s="51" t="e">
        <f t="shared" si="16"/>
        <v>#VALUE!</v>
      </c>
    </row>
    <row r="59" spans="1:61">
      <c r="A59" s="59">
        <f>companies!A59</f>
        <v>58</v>
      </c>
      <c r="B59" s="61" t="s">
        <v>1056</v>
      </c>
      <c r="C59" s="73">
        <v>649256</v>
      </c>
      <c r="D59" s="73">
        <v>773066</v>
      </c>
      <c r="E59" s="73" t="s">
        <v>1096</v>
      </c>
      <c r="F59" s="73">
        <v>18282750.168000001</v>
      </c>
      <c r="G59" s="73">
        <v>397603.64799999999</v>
      </c>
      <c r="H59" s="73">
        <v>717228.77500000002</v>
      </c>
      <c r="I59" s="73">
        <v>1366415.4040000001</v>
      </c>
      <c r="J59" s="73">
        <v>52106.122000000003</v>
      </c>
      <c r="K59" s="73">
        <v>18988.075000000001</v>
      </c>
      <c r="L59" s="73">
        <v>105896.625</v>
      </c>
      <c r="M59" s="62" t="s">
        <v>1096</v>
      </c>
      <c r="N59" s="62">
        <v>1307392.304</v>
      </c>
      <c r="O59" s="62" t="s">
        <v>1096</v>
      </c>
      <c r="P59" s="62" t="s">
        <v>1096</v>
      </c>
      <c r="Q59" s="62">
        <v>1029151.785</v>
      </c>
      <c r="R59" s="73" t="s">
        <v>1096</v>
      </c>
      <c r="S59" s="62" t="s">
        <v>1096</v>
      </c>
      <c r="T59" s="62" t="s">
        <v>1096</v>
      </c>
      <c r="U59" s="62" t="s">
        <v>1096</v>
      </c>
      <c r="V59" s="62" t="s">
        <v>1096</v>
      </c>
      <c r="W59" s="62">
        <f t="shared" si="8"/>
        <v>23277532.905999999</v>
      </c>
      <c r="X59" s="62"/>
      <c r="Y59" s="62"/>
      <c r="Z59" s="62"/>
      <c r="AA59" s="62"/>
      <c r="AB59" s="62"/>
      <c r="AC59" s="62"/>
      <c r="AD59" s="62" t="s">
        <v>1096</v>
      </c>
      <c r="AE59" s="62" t="s">
        <v>1096</v>
      </c>
      <c r="AF59" s="66">
        <f>Table1[[#This Row],[2019 Scope 1 (MeT Co2)]]</f>
        <v>649256</v>
      </c>
      <c r="AG59" s="67">
        <f t="shared" si="9"/>
        <v>0</v>
      </c>
      <c r="AH59" s="68">
        <f t="shared" si="10"/>
        <v>0</v>
      </c>
      <c r="AK59" s="62" t="s">
        <v>1096</v>
      </c>
      <c r="AL59" s="62" t="s">
        <v>1096</v>
      </c>
      <c r="AM59" s="66">
        <f>Table1[[#This Row],[2019 Scope 2 ]]</f>
        <v>773066</v>
      </c>
      <c r="AN59" s="67">
        <f t="shared" si="11"/>
        <v>0</v>
      </c>
      <c r="AO59" s="68">
        <f t="shared" si="12"/>
        <v>0</v>
      </c>
      <c r="AP59" s="67" t="e">
        <f t="shared" si="13"/>
        <v>#VALUE!</v>
      </c>
      <c r="AQ59" s="68" t="e">
        <f t="shared" si="14"/>
        <v>#VALUE!</v>
      </c>
      <c r="AR59" s="72">
        <f>Table1[[#This Row],[2019 Scope 3 ]]</f>
        <v>23277532.905999999</v>
      </c>
      <c r="AS59" s="71">
        <f t="shared" si="15"/>
        <v>0</v>
      </c>
      <c r="AT59" s="51">
        <f t="shared" si="16"/>
        <v>0</v>
      </c>
      <c r="BI59" s="58">
        <v>58857</v>
      </c>
    </row>
    <row r="60" spans="1:61">
      <c r="A60" s="59">
        <f>companies!A60</f>
        <v>59</v>
      </c>
      <c r="B60" s="61" t="s">
        <v>1056</v>
      </c>
      <c r="C60" s="73">
        <v>305362</v>
      </c>
      <c r="D60" s="73">
        <v>662659</v>
      </c>
      <c r="E60" s="73">
        <v>466073</v>
      </c>
      <c r="F60" s="73">
        <v>7700000</v>
      </c>
      <c r="G60" s="73">
        <v>370000</v>
      </c>
      <c r="H60" s="73">
        <v>105000</v>
      </c>
      <c r="I60" s="73">
        <v>60000</v>
      </c>
      <c r="J60" s="73">
        <v>4500</v>
      </c>
      <c r="K60" s="73">
        <v>190000</v>
      </c>
      <c r="L60" s="73">
        <v>215000</v>
      </c>
      <c r="M60" s="62" t="s">
        <v>1096</v>
      </c>
      <c r="N60" s="62" t="s">
        <v>1096</v>
      </c>
      <c r="O60" s="62" t="s">
        <v>1096</v>
      </c>
      <c r="P60" s="62">
        <v>22000000</v>
      </c>
      <c r="Q60" s="62" t="s">
        <v>1096</v>
      </c>
      <c r="R60" s="73" t="s">
        <v>1096</v>
      </c>
      <c r="S60" s="62" t="s">
        <v>1096</v>
      </c>
      <c r="T60" s="62" t="s">
        <v>1096</v>
      </c>
      <c r="U60" s="62" t="s">
        <v>1096</v>
      </c>
      <c r="V60" s="62" t="s">
        <v>1096</v>
      </c>
      <c r="W60" s="62">
        <f t="shared" si="8"/>
        <v>30644500</v>
      </c>
      <c r="X60" s="73"/>
      <c r="Y60" s="73"/>
      <c r="Z60" s="73"/>
      <c r="AA60" s="73"/>
      <c r="AB60" s="73"/>
      <c r="AC60" s="73"/>
      <c r="AD60" s="62" t="s">
        <v>1096</v>
      </c>
      <c r="AE60" s="62" t="s">
        <v>1096</v>
      </c>
      <c r="AF60" s="66">
        <f>Table1[[#This Row],[2019 Scope 1 (MeT Co2)]]</f>
        <v>305362</v>
      </c>
      <c r="AG60" s="67">
        <f t="shared" si="9"/>
        <v>0</v>
      </c>
      <c r="AH60" s="68">
        <f t="shared" si="10"/>
        <v>0</v>
      </c>
      <c r="AK60" s="62" t="s">
        <v>1096</v>
      </c>
      <c r="AL60" s="62" t="s">
        <v>1096</v>
      </c>
      <c r="AM60" s="66">
        <f>Table1[[#This Row],[2019 Scope 2 ]]</f>
        <v>466073</v>
      </c>
      <c r="AN60" s="67">
        <f t="shared" si="11"/>
        <v>196586</v>
      </c>
      <c r="AO60" s="68">
        <f t="shared" si="12"/>
        <v>0.29666238593303645</v>
      </c>
      <c r="AP60" s="67">
        <f t="shared" si="13"/>
        <v>0</v>
      </c>
      <c r="AQ60" s="68">
        <f t="shared" si="14"/>
        <v>0</v>
      </c>
      <c r="AR60" s="72">
        <f>Table1[[#This Row],[2019 Scope 3 ]]</f>
        <v>30584500</v>
      </c>
      <c r="AS60" s="71">
        <f t="shared" si="15"/>
        <v>60000</v>
      </c>
      <c r="AT60" s="51">
        <f t="shared" si="16"/>
        <v>1.9579369870612998E-3</v>
      </c>
      <c r="BI60" s="58" t="s">
        <v>867</v>
      </c>
    </row>
    <row r="61" spans="1:61">
      <c r="A61" s="59">
        <f>companies!A61</f>
        <v>60</v>
      </c>
      <c r="B61" s="61" t="s">
        <v>1056</v>
      </c>
      <c r="C61" s="73">
        <v>484737</v>
      </c>
      <c r="D61" s="73">
        <v>1623768</v>
      </c>
      <c r="E61" s="73" t="s">
        <v>1096</v>
      </c>
      <c r="F61" s="73" t="s">
        <v>1096</v>
      </c>
      <c r="G61" s="73" t="s">
        <v>1096</v>
      </c>
      <c r="H61" s="73" t="s">
        <v>1096</v>
      </c>
      <c r="I61" s="73">
        <v>426134</v>
      </c>
      <c r="J61" s="73" t="s">
        <v>1096</v>
      </c>
      <c r="K61" s="73">
        <v>10700</v>
      </c>
      <c r="L61" s="73" t="s">
        <v>1096</v>
      </c>
      <c r="M61" s="62" t="s">
        <v>1096</v>
      </c>
      <c r="N61" s="62" t="s">
        <v>1096</v>
      </c>
      <c r="O61" s="62" t="s">
        <v>1096</v>
      </c>
      <c r="P61" s="62">
        <v>123208225.78</v>
      </c>
      <c r="Q61" s="62" t="s">
        <v>1096</v>
      </c>
      <c r="R61" s="73" t="s">
        <v>1096</v>
      </c>
      <c r="S61" s="62" t="s">
        <v>1096</v>
      </c>
      <c r="T61" s="62" t="s">
        <v>1096</v>
      </c>
      <c r="U61" s="62" t="s">
        <v>1096</v>
      </c>
      <c r="V61" s="62" t="s">
        <v>1096</v>
      </c>
      <c r="W61" s="62">
        <f t="shared" si="8"/>
        <v>123645059.78</v>
      </c>
      <c r="X61" s="62"/>
      <c r="Y61" s="62"/>
      <c r="Z61" s="62"/>
      <c r="AA61" s="62"/>
      <c r="AB61" s="62"/>
      <c r="AC61" s="62"/>
      <c r="AD61" s="62" t="s">
        <v>1096</v>
      </c>
      <c r="AE61" s="62" t="s">
        <v>1096</v>
      </c>
      <c r="AF61" s="66">
        <f>Table1[[#This Row],[2019 Scope 1 (MeT Co2)]]</f>
        <v>484737</v>
      </c>
      <c r="AG61" s="67">
        <f t="shared" si="9"/>
        <v>0</v>
      </c>
      <c r="AH61" s="68">
        <f t="shared" si="10"/>
        <v>0</v>
      </c>
      <c r="AK61" s="62" t="s">
        <v>1096</v>
      </c>
      <c r="AL61" s="62" t="s">
        <v>1096</v>
      </c>
      <c r="AM61" s="66">
        <f>Table1[[#This Row],[2019 Scope 2 ]]</f>
        <v>1623768</v>
      </c>
      <c r="AN61" s="67">
        <f t="shared" si="11"/>
        <v>0</v>
      </c>
      <c r="AO61" s="68">
        <f t="shared" si="12"/>
        <v>0</v>
      </c>
      <c r="AP61" s="67" t="e">
        <f t="shared" si="13"/>
        <v>#VALUE!</v>
      </c>
      <c r="AQ61" s="68" t="e">
        <f t="shared" si="14"/>
        <v>#VALUE!</v>
      </c>
      <c r="AR61" s="72">
        <f>Table1[[#This Row],[2019 Scope 3 ]]</f>
        <v>123645059.78</v>
      </c>
      <c r="AS61" s="71">
        <f t="shared" si="15"/>
        <v>0</v>
      </c>
      <c r="AT61" s="51">
        <f t="shared" si="16"/>
        <v>0</v>
      </c>
      <c r="BI61" s="58">
        <v>11017</v>
      </c>
    </row>
    <row r="62" spans="1:61">
      <c r="A62" s="59">
        <f>companies!A62</f>
        <v>61</v>
      </c>
      <c r="B62" s="61" t="s">
        <v>1056</v>
      </c>
      <c r="C62" s="73">
        <v>4758.3999999999996</v>
      </c>
      <c r="D62" s="73">
        <v>52140.56</v>
      </c>
      <c r="E62" s="73">
        <v>162</v>
      </c>
      <c r="F62" s="73">
        <v>396269.96</v>
      </c>
      <c r="G62" s="73">
        <v>0</v>
      </c>
      <c r="H62" s="73">
        <v>8451.8700000000008</v>
      </c>
      <c r="I62" s="73">
        <v>0</v>
      </c>
      <c r="J62" s="73">
        <v>1288.49</v>
      </c>
      <c r="K62" s="73">
        <v>53738</v>
      </c>
      <c r="L62" s="73">
        <v>43263.87</v>
      </c>
      <c r="M62" s="62" t="s">
        <v>1096</v>
      </c>
      <c r="N62" s="62" t="s">
        <v>1096</v>
      </c>
      <c r="O62" s="62" t="s">
        <v>1096</v>
      </c>
      <c r="P62" s="62" t="s">
        <v>1096</v>
      </c>
      <c r="Q62" s="62" t="s">
        <v>1096</v>
      </c>
      <c r="R62" s="73" t="s">
        <v>1096</v>
      </c>
      <c r="S62" s="62" t="s">
        <v>1096</v>
      </c>
      <c r="T62" s="62" t="s">
        <v>1096</v>
      </c>
      <c r="U62" s="62" t="s">
        <v>1096</v>
      </c>
      <c r="V62" s="62" t="s">
        <v>1096</v>
      </c>
      <c r="W62" s="62">
        <f t="shared" si="8"/>
        <v>503012.19</v>
      </c>
      <c r="X62" s="73"/>
      <c r="Y62" s="73"/>
      <c r="Z62" s="73"/>
      <c r="AA62" s="73"/>
      <c r="AB62" s="73"/>
      <c r="AC62" s="73"/>
      <c r="AD62" s="62" t="s">
        <v>1096</v>
      </c>
      <c r="AE62" s="62" t="s">
        <v>1096</v>
      </c>
      <c r="AF62" s="66">
        <f>Table1[[#This Row],[2019 Scope 1 (MeT Co2)]]</f>
        <v>4758.3999999999996</v>
      </c>
      <c r="AG62" s="67">
        <f t="shared" si="9"/>
        <v>0</v>
      </c>
      <c r="AH62" s="68">
        <f t="shared" si="10"/>
        <v>0</v>
      </c>
      <c r="AK62" s="62" t="s">
        <v>1096</v>
      </c>
      <c r="AL62" s="62" t="s">
        <v>1096</v>
      </c>
      <c r="AM62" s="66">
        <f>Table1[[#This Row],[2019 Scope 2 ]]</f>
        <v>162</v>
      </c>
      <c r="AN62" s="67">
        <f t="shared" si="11"/>
        <v>51978.559999999998</v>
      </c>
      <c r="AO62" s="68">
        <f t="shared" si="12"/>
        <v>0.99689301380729323</v>
      </c>
      <c r="AP62" s="67">
        <f t="shared" si="13"/>
        <v>0</v>
      </c>
      <c r="AQ62" s="68">
        <f t="shared" si="14"/>
        <v>0</v>
      </c>
      <c r="AR62" s="72">
        <f>Table1[[#This Row],[2019 Scope 3 ]]</f>
        <v>503012.19</v>
      </c>
      <c r="AS62" s="71">
        <f t="shared" si="15"/>
        <v>0</v>
      </c>
      <c r="AT62" s="51">
        <f t="shared" si="16"/>
        <v>0</v>
      </c>
      <c r="BI62" s="58">
        <v>11421</v>
      </c>
    </row>
    <row r="63" spans="1:61">
      <c r="A63" s="59">
        <f>companies!A63</f>
        <v>62</v>
      </c>
      <c r="B63" s="61" t="s">
        <v>1056</v>
      </c>
      <c r="C63" s="73">
        <v>107034.65</v>
      </c>
      <c r="D63" s="73">
        <v>569598.23</v>
      </c>
      <c r="E63" s="73">
        <v>492114.18</v>
      </c>
      <c r="F63" s="73">
        <v>41115851.549999997</v>
      </c>
      <c r="G63" s="73" t="s">
        <v>1096</v>
      </c>
      <c r="H63" s="73">
        <v>2358793.15</v>
      </c>
      <c r="I63" s="73">
        <v>1947637.85</v>
      </c>
      <c r="J63" s="73">
        <v>1535857.79</v>
      </c>
      <c r="K63" s="73" t="s">
        <v>1096</v>
      </c>
      <c r="L63" s="73" t="s">
        <v>1096</v>
      </c>
      <c r="M63" s="62" t="s">
        <v>1096</v>
      </c>
      <c r="N63" s="62" t="s">
        <v>1096</v>
      </c>
      <c r="O63" s="62" t="s">
        <v>1096</v>
      </c>
      <c r="P63" s="62" t="s">
        <v>1096</v>
      </c>
      <c r="Q63" s="62" t="s">
        <v>1096</v>
      </c>
      <c r="R63" s="73" t="s">
        <v>1096</v>
      </c>
      <c r="S63" s="62">
        <v>5997501.7599999998</v>
      </c>
      <c r="T63" s="62" t="s">
        <v>1096</v>
      </c>
      <c r="U63" s="62" t="s">
        <v>1096</v>
      </c>
      <c r="V63" s="62" t="s">
        <v>1096</v>
      </c>
      <c r="W63" s="62">
        <f t="shared" si="8"/>
        <v>52955642.099999994</v>
      </c>
      <c r="X63" s="62"/>
      <c r="Y63" s="62"/>
      <c r="Z63" s="62"/>
      <c r="AA63" s="62"/>
      <c r="AB63" s="62"/>
      <c r="AC63" s="62"/>
      <c r="AD63" s="62" t="s">
        <v>1064</v>
      </c>
      <c r="AE63" s="62" t="s">
        <v>1065</v>
      </c>
      <c r="AF63" s="66">
        <f>Table1[[#This Row],[2019 Scope 1 (MeT Co2)]]</f>
        <v>107034.65</v>
      </c>
      <c r="AG63" s="67">
        <f t="shared" si="9"/>
        <v>0</v>
      </c>
      <c r="AH63" s="68">
        <f t="shared" si="10"/>
        <v>0</v>
      </c>
      <c r="AK63" s="62" t="s">
        <v>1064</v>
      </c>
      <c r="AL63" s="62" t="s">
        <v>1065</v>
      </c>
      <c r="AM63" s="66">
        <f>Table1[[#This Row],[2019 Scope 2 ]]</f>
        <v>492114.18</v>
      </c>
      <c r="AN63" s="67">
        <f t="shared" si="11"/>
        <v>77484.049999999988</v>
      </c>
      <c r="AO63" s="68">
        <f t="shared" si="12"/>
        <v>0.13603281386601218</v>
      </c>
      <c r="AP63" s="67">
        <f t="shared" si="13"/>
        <v>0</v>
      </c>
      <c r="AQ63" s="68">
        <f t="shared" si="14"/>
        <v>0</v>
      </c>
      <c r="AR63" s="72">
        <f>Table1[[#This Row],[2019 Scope 3 ]]</f>
        <v>52955642.099999994</v>
      </c>
      <c r="AS63" s="71">
        <f t="shared" si="15"/>
        <v>0</v>
      </c>
      <c r="AT63" s="51">
        <f t="shared" si="16"/>
        <v>0</v>
      </c>
      <c r="BI63" s="58">
        <v>11581</v>
      </c>
    </row>
    <row r="64" spans="1:61">
      <c r="A64" s="59">
        <f>companies!A64</f>
        <v>63</v>
      </c>
      <c r="B64" s="61" t="s">
        <v>1056</v>
      </c>
      <c r="C64" s="73">
        <v>61803</v>
      </c>
      <c r="D64" s="73" t="s">
        <v>1096</v>
      </c>
      <c r="E64" s="73">
        <v>218742</v>
      </c>
      <c r="F64" s="73" t="s">
        <v>1096</v>
      </c>
      <c r="G64" s="73" t="s">
        <v>1096</v>
      </c>
      <c r="H64" s="73" t="s">
        <v>1096</v>
      </c>
      <c r="I64" s="73" t="s">
        <v>1096</v>
      </c>
      <c r="J64" s="73" t="s">
        <v>1096</v>
      </c>
      <c r="K64" s="73">
        <v>235863</v>
      </c>
      <c r="L64" s="73" t="s">
        <v>1096</v>
      </c>
      <c r="M64" s="62" t="s">
        <v>1096</v>
      </c>
      <c r="N64" s="62">
        <v>42619</v>
      </c>
      <c r="O64" s="62" t="s">
        <v>1096</v>
      </c>
      <c r="P64" s="62" t="s">
        <v>1096</v>
      </c>
      <c r="Q64" s="62" t="s">
        <v>1096</v>
      </c>
      <c r="R64" s="73" t="s">
        <v>1096</v>
      </c>
      <c r="S64" s="62" t="s">
        <v>1096</v>
      </c>
      <c r="T64" s="62" t="s">
        <v>1096</v>
      </c>
      <c r="U64" s="62" t="s">
        <v>1096</v>
      </c>
      <c r="V64" s="62" t="s">
        <v>1096</v>
      </c>
      <c r="W64" s="62">
        <f t="shared" si="8"/>
        <v>278482</v>
      </c>
      <c r="X64" s="73"/>
      <c r="Y64" s="73"/>
      <c r="Z64" s="73"/>
      <c r="AA64" s="73"/>
      <c r="AB64" s="73"/>
      <c r="AC64" s="73"/>
      <c r="AD64" s="62" t="s">
        <v>1096</v>
      </c>
      <c r="AE64" s="62" t="s">
        <v>1096</v>
      </c>
      <c r="AF64" s="66">
        <f>Table1[[#This Row],[2019 Scope 1 (MeT Co2)]]</f>
        <v>62931</v>
      </c>
      <c r="AG64" s="67">
        <f t="shared" si="9"/>
        <v>-1128</v>
      </c>
      <c r="AH64" s="68">
        <f t="shared" si="10"/>
        <v>-1.8251541187321006E-2</v>
      </c>
      <c r="AK64" s="62" t="s">
        <v>1096</v>
      </c>
      <c r="AL64" s="62" t="s">
        <v>1096</v>
      </c>
      <c r="AM64" s="66">
        <f>Table1[[#This Row],[2019 Scope 2 ]]</f>
        <v>225841</v>
      </c>
      <c r="AN64" s="67" t="e">
        <f t="shared" si="11"/>
        <v>#VALUE!</v>
      </c>
      <c r="AO64" s="68" t="e">
        <f t="shared" si="12"/>
        <v>#VALUE!</v>
      </c>
      <c r="AP64" s="67">
        <f t="shared" si="13"/>
        <v>7099</v>
      </c>
      <c r="AQ64" s="68">
        <f t="shared" si="14"/>
        <v>3.2453758308875293E-2</v>
      </c>
      <c r="AR64" s="72">
        <f>Table1[[#This Row],[2019 Scope 3 ]]</f>
        <v>278482</v>
      </c>
      <c r="AS64" s="71">
        <f t="shared" si="15"/>
        <v>0</v>
      </c>
      <c r="AT64" s="51">
        <f t="shared" si="16"/>
        <v>0</v>
      </c>
      <c r="BI64" s="61">
        <v>11651</v>
      </c>
    </row>
    <row r="65" spans="1:61">
      <c r="A65" s="59">
        <f>companies!A65</f>
        <v>64</v>
      </c>
      <c r="B65" s="61" t="s">
        <v>1056</v>
      </c>
      <c r="C65" s="73">
        <v>755340</v>
      </c>
      <c r="D65" s="73">
        <v>413550</v>
      </c>
      <c r="E65" s="73">
        <v>316630</v>
      </c>
      <c r="F65" s="73">
        <v>5155100</v>
      </c>
      <c r="G65" s="73">
        <v>339900</v>
      </c>
      <c r="H65" s="73">
        <v>240700</v>
      </c>
      <c r="I65" s="73">
        <v>271200</v>
      </c>
      <c r="J65" s="73">
        <v>19500</v>
      </c>
      <c r="K65" s="73">
        <v>340400</v>
      </c>
      <c r="L65" s="73">
        <v>272000</v>
      </c>
      <c r="M65" s="62" t="s">
        <v>1096</v>
      </c>
      <c r="N65" s="62">
        <v>133200</v>
      </c>
      <c r="O65" s="62" t="s">
        <v>1096</v>
      </c>
      <c r="P65" s="62">
        <v>142100</v>
      </c>
      <c r="Q65" s="62">
        <v>51500</v>
      </c>
      <c r="R65" s="73" t="s">
        <v>1096</v>
      </c>
      <c r="S65" s="62" t="s">
        <v>1096</v>
      </c>
      <c r="T65" s="62" t="s">
        <v>1096</v>
      </c>
      <c r="U65" s="62" t="s">
        <v>1096</v>
      </c>
      <c r="V65" s="62" t="s">
        <v>1096</v>
      </c>
      <c r="W65" s="62">
        <f t="shared" si="8"/>
        <v>6965600</v>
      </c>
      <c r="X65" s="73"/>
      <c r="Y65" s="73"/>
      <c r="Z65" s="73"/>
      <c r="AA65" s="73"/>
      <c r="AB65" s="73"/>
      <c r="AC65" s="73"/>
      <c r="AD65" s="62" t="s">
        <v>1096</v>
      </c>
      <c r="AE65" s="62" t="s">
        <v>1096</v>
      </c>
      <c r="AF65" s="66">
        <f>Table1[[#This Row],[2019 Scope 1 (MeT Co2)]]</f>
        <v>755340</v>
      </c>
      <c r="AG65" s="67">
        <f t="shared" si="9"/>
        <v>0</v>
      </c>
      <c r="AH65" s="68">
        <f t="shared" si="10"/>
        <v>0</v>
      </c>
      <c r="AK65" s="62" t="s">
        <v>1096</v>
      </c>
      <c r="AL65" s="62" t="s">
        <v>1096</v>
      </c>
      <c r="AM65" s="66">
        <f>Table1[[#This Row],[2019 Scope 2 ]]</f>
        <v>316630</v>
      </c>
      <c r="AN65" s="67">
        <f t="shared" si="11"/>
        <v>96920</v>
      </c>
      <c r="AO65" s="68">
        <f t="shared" si="12"/>
        <v>0.23436102043283763</v>
      </c>
      <c r="AP65" s="67">
        <f t="shared" si="13"/>
        <v>0</v>
      </c>
      <c r="AQ65" s="68">
        <f t="shared" si="14"/>
        <v>0</v>
      </c>
      <c r="AR65" s="72">
        <f>Table1[[#This Row],[2019 Scope 3 ]]</f>
        <v>6965600</v>
      </c>
      <c r="AS65" s="71">
        <f t="shared" si="15"/>
        <v>0</v>
      </c>
      <c r="AT65" s="51">
        <f t="shared" si="16"/>
        <v>0</v>
      </c>
      <c r="BI65" s="58">
        <v>11765</v>
      </c>
    </row>
    <row r="66" spans="1:61">
      <c r="A66" s="59">
        <f>companies!A66</f>
        <v>65</v>
      </c>
      <c r="B66" s="61" t="s">
        <v>1056</v>
      </c>
      <c r="C66" s="73">
        <v>13613</v>
      </c>
      <c r="D66" s="73">
        <v>90280</v>
      </c>
      <c r="E66" s="73">
        <v>0</v>
      </c>
      <c r="F66" s="73">
        <v>5248302</v>
      </c>
      <c r="G66" s="73">
        <v>261.14999999999998</v>
      </c>
      <c r="H66" s="73">
        <v>21804</v>
      </c>
      <c r="I66" s="73">
        <v>6781</v>
      </c>
      <c r="J66" s="73">
        <v>810</v>
      </c>
      <c r="K66" s="73">
        <v>25959</v>
      </c>
      <c r="L66" s="73">
        <v>150269</v>
      </c>
      <c r="M66" s="62" t="s">
        <v>1096</v>
      </c>
      <c r="N66" s="62" t="s">
        <v>1096</v>
      </c>
      <c r="O66" s="62" t="s">
        <v>1096</v>
      </c>
      <c r="P66" s="62" t="s">
        <v>1096</v>
      </c>
      <c r="Q66" s="62" t="s">
        <v>1096</v>
      </c>
      <c r="R66" s="73">
        <v>7777</v>
      </c>
      <c r="S66" s="62" t="s">
        <v>1096</v>
      </c>
      <c r="T66" s="62" t="s">
        <v>1096</v>
      </c>
      <c r="U66" s="62" t="s">
        <v>1096</v>
      </c>
      <c r="V66" s="62" t="s">
        <v>1096</v>
      </c>
      <c r="W66" s="62">
        <f t="shared" si="8"/>
        <v>5461963.1500000004</v>
      </c>
      <c r="X66" s="73"/>
      <c r="Y66" s="73"/>
      <c r="Z66" s="73"/>
      <c r="AA66" s="73"/>
      <c r="AB66" s="73"/>
      <c r="AC66" s="73"/>
      <c r="AD66" s="62" t="s">
        <v>1096</v>
      </c>
      <c r="AE66" s="62" t="s">
        <v>1096</v>
      </c>
      <c r="AF66" s="66">
        <f>Table1[[#This Row],[2019 Scope 1 (MeT Co2)]]</f>
        <v>13613</v>
      </c>
      <c r="AG66" s="67">
        <f t="shared" ref="AG66:AG97" si="17">C66-AF66</f>
        <v>0</v>
      </c>
      <c r="AH66" s="68">
        <f t="shared" ref="AH66:AH97" si="18">AG66/C66</f>
        <v>0</v>
      </c>
      <c r="AK66" s="62" t="s">
        <v>1096</v>
      </c>
      <c r="AL66" s="62" t="s">
        <v>1096</v>
      </c>
      <c r="AM66" s="66">
        <f>Table1[[#This Row],[2019 Scope 2 ]]</f>
        <v>0</v>
      </c>
      <c r="AN66" s="67">
        <f t="shared" ref="AN66:AN97" si="19">D66-AM66</f>
        <v>90280</v>
      </c>
      <c r="AO66" s="68">
        <f t="shared" ref="AO66:AO97" si="20">AN66/D66</f>
        <v>1</v>
      </c>
      <c r="AP66" s="67">
        <f t="shared" ref="AP66:AP101" si="21">AM66-E66</f>
        <v>0</v>
      </c>
      <c r="AQ66" s="68" t="e">
        <f t="shared" ref="AQ66:AQ97" si="22">AP66/E66</f>
        <v>#DIV/0!</v>
      </c>
      <c r="AR66" s="72">
        <f>Table1[[#This Row],[2019 Scope 3 ]]</f>
        <v>25959</v>
      </c>
      <c r="AS66" s="71">
        <f t="shared" ref="AS66:AS97" si="23">W66-AR66</f>
        <v>5436004.1500000004</v>
      </c>
      <c r="AT66" s="51">
        <f t="shared" ref="AT66:AT97" si="24">AS66/W66</f>
        <v>0.99524731323022564</v>
      </c>
      <c r="BI66" s="58">
        <v>11796</v>
      </c>
    </row>
    <row r="67" spans="1:61">
      <c r="A67" s="59">
        <f>companies!A67</f>
        <v>66</v>
      </c>
      <c r="B67" s="61" t="s">
        <v>1056</v>
      </c>
      <c r="C67" s="73">
        <v>113412</v>
      </c>
      <c r="D67" s="73">
        <v>3556553</v>
      </c>
      <c r="E67" s="73">
        <v>275375</v>
      </c>
      <c r="F67" s="73">
        <v>4200000</v>
      </c>
      <c r="G67" s="73">
        <v>2100000</v>
      </c>
      <c r="H67" s="73">
        <v>170000</v>
      </c>
      <c r="I67" s="73">
        <v>60000</v>
      </c>
      <c r="J67" s="73">
        <v>1200</v>
      </c>
      <c r="K67" s="73">
        <v>392557</v>
      </c>
      <c r="L67" s="73">
        <v>395000</v>
      </c>
      <c r="M67" s="62" t="s">
        <v>1096</v>
      </c>
      <c r="N67" s="62">
        <v>53000</v>
      </c>
      <c r="O67" s="62" t="s">
        <v>1096</v>
      </c>
      <c r="P67" s="62">
        <v>3874000</v>
      </c>
      <c r="Q67" s="62">
        <v>76000</v>
      </c>
      <c r="R67" s="73">
        <v>770</v>
      </c>
      <c r="S67" s="62" t="s">
        <v>1096</v>
      </c>
      <c r="T67" s="62" t="s">
        <v>1096</v>
      </c>
      <c r="U67" s="62" t="s">
        <v>1096</v>
      </c>
      <c r="V67" s="62" t="s">
        <v>1096</v>
      </c>
      <c r="W67" s="62">
        <f t="shared" ref="W67:W101" si="25">SUM(F67:V67)</f>
        <v>11322527</v>
      </c>
      <c r="X67" s="73"/>
      <c r="Y67" s="73"/>
      <c r="Z67" s="73"/>
      <c r="AA67" s="73"/>
      <c r="AB67" s="73"/>
      <c r="AC67" s="73"/>
      <c r="AD67" s="62" t="s">
        <v>1096</v>
      </c>
      <c r="AE67" s="62" t="s">
        <v>1096</v>
      </c>
      <c r="AF67" s="66">
        <f>Table1[[#This Row],[2019 Scope 1 (MeT Co2)]]</f>
        <v>113412</v>
      </c>
      <c r="AG67" s="67">
        <f t="shared" si="17"/>
        <v>0</v>
      </c>
      <c r="AH67" s="68">
        <f t="shared" si="18"/>
        <v>0</v>
      </c>
      <c r="AK67" s="62" t="s">
        <v>1096</v>
      </c>
      <c r="AL67" s="62" t="s">
        <v>1096</v>
      </c>
      <c r="AM67" s="66">
        <f>Table1[[#This Row],[2019 Scope 2 ]]</f>
        <v>275375</v>
      </c>
      <c r="AN67" s="67">
        <f t="shared" si="19"/>
        <v>3281178</v>
      </c>
      <c r="AO67" s="68">
        <f t="shared" si="20"/>
        <v>0.92257250208277508</v>
      </c>
      <c r="AP67" s="67">
        <f t="shared" si="21"/>
        <v>0</v>
      </c>
      <c r="AQ67" s="68">
        <f t="shared" si="22"/>
        <v>0</v>
      </c>
      <c r="AR67" s="72">
        <f>Table1[[#This Row],[2019 Scope 3 ]]</f>
        <v>11322213</v>
      </c>
      <c r="AS67" s="71">
        <f t="shared" si="23"/>
        <v>314</v>
      </c>
      <c r="AT67" s="51">
        <f t="shared" si="24"/>
        <v>2.7732325124947813E-5</v>
      </c>
      <c r="BI67" s="58">
        <v>11930</v>
      </c>
    </row>
    <row r="68" spans="1:61">
      <c r="A68" s="59">
        <f>companies!A68</f>
        <v>67</v>
      </c>
      <c r="B68" s="61" t="s">
        <v>1056</v>
      </c>
      <c r="C68" s="73">
        <v>856590</v>
      </c>
      <c r="D68" s="73">
        <v>938601</v>
      </c>
      <c r="E68" s="73">
        <v>906349</v>
      </c>
      <c r="F68" s="73">
        <v>15034298</v>
      </c>
      <c r="G68" s="73" t="s">
        <v>1096</v>
      </c>
      <c r="H68" s="73">
        <v>1164761</v>
      </c>
      <c r="I68" s="73">
        <v>2311217</v>
      </c>
      <c r="J68" s="73">
        <v>84072</v>
      </c>
      <c r="K68" s="73">
        <v>41446</v>
      </c>
      <c r="L68" s="73">
        <v>190306</v>
      </c>
      <c r="M68" s="62" t="s">
        <v>1096</v>
      </c>
      <c r="N68" s="62">
        <v>89945</v>
      </c>
      <c r="O68" s="62" t="s">
        <v>1096</v>
      </c>
      <c r="P68" s="62">
        <v>52986</v>
      </c>
      <c r="Q68" s="62">
        <v>883179</v>
      </c>
      <c r="R68" s="73" t="s">
        <v>1096</v>
      </c>
      <c r="S68" s="62" t="s">
        <v>1096</v>
      </c>
      <c r="T68" s="62" t="s">
        <v>1096</v>
      </c>
      <c r="U68" s="62" t="s">
        <v>1096</v>
      </c>
      <c r="V68" s="62" t="s">
        <v>1096</v>
      </c>
      <c r="W68" s="62">
        <f t="shared" si="25"/>
        <v>19852210</v>
      </c>
      <c r="X68" s="73"/>
      <c r="Y68" s="73"/>
      <c r="Z68" s="73"/>
      <c r="AA68" s="73"/>
      <c r="AB68" s="73"/>
      <c r="AC68" s="73"/>
      <c r="AD68" s="62" t="s">
        <v>1096</v>
      </c>
      <c r="AE68" s="62" t="s">
        <v>1096</v>
      </c>
      <c r="AF68" s="66">
        <f>Table1[[#This Row],[2019 Scope 1 (MeT Co2)]]</f>
        <v>856590</v>
      </c>
      <c r="AG68" s="67">
        <f t="shared" si="17"/>
        <v>0</v>
      </c>
      <c r="AH68" s="68">
        <f t="shared" si="18"/>
        <v>0</v>
      </c>
      <c r="AK68" s="62" t="s">
        <v>1096</v>
      </c>
      <c r="AL68" s="62" t="s">
        <v>1096</v>
      </c>
      <c r="AM68" s="66">
        <f>Table1[[#This Row],[2019 Scope 2 ]]</f>
        <v>906349</v>
      </c>
      <c r="AN68" s="67">
        <f t="shared" si="19"/>
        <v>32252</v>
      </c>
      <c r="AO68" s="68">
        <f t="shared" si="20"/>
        <v>3.4361778860239868E-2</v>
      </c>
      <c r="AP68" s="67">
        <f t="shared" si="21"/>
        <v>0</v>
      </c>
      <c r="AQ68" s="68">
        <f t="shared" si="22"/>
        <v>0</v>
      </c>
      <c r="AR68" s="72">
        <f>Table1[[#This Row],[2019 Scope 3 ]]</f>
        <v>19852210</v>
      </c>
      <c r="AS68" s="71">
        <f t="shared" si="23"/>
        <v>0</v>
      </c>
      <c r="AT68" s="51">
        <f t="shared" si="24"/>
        <v>0</v>
      </c>
      <c r="BI68" s="58">
        <v>42037</v>
      </c>
    </row>
    <row r="69" spans="1:61">
      <c r="A69" s="59">
        <f>companies!A69</f>
        <v>68</v>
      </c>
      <c r="B69" s="61" t="s">
        <v>1056</v>
      </c>
      <c r="C69" s="73">
        <v>28300</v>
      </c>
      <c r="D69" s="73">
        <v>199800</v>
      </c>
      <c r="E69" s="73">
        <v>176200</v>
      </c>
      <c r="F69" s="73">
        <v>911000</v>
      </c>
      <c r="G69" s="73">
        <v>192000</v>
      </c>
      <c r="H69" s="73">
        <v>46600</v>
      </c>
      <c r="I69" s="73" t="s">
        <v>1096</v>
      </c>
      <c r="J69" s="73">
        <v>6490</v>
      </c>
      <c r="K69" s="73">
        <v>99700</v>
      </c>
      <c r="L69" s="73">
        <v>112550</v>
      </c>
      <c r="M69" s="62" t="s">
        <v>1096</v>
      </c>
      <c r="N69" s="62" t="s">
        <v>1096</v>
      </c>
      <c r="O69" s="62" t="s">
        <v>1096</v>
      </c>
      <c r="P69" s="62" t="s">
        <v>1096</v>
      </c>
      <c r="Q69" s="62">
        <v>6000</v>
      </c>
      <c r="R69" s="73">
        <v>200</v>
      </c>
      <c r="S69" s="62" t="s">
        <v>1096</v>
      </c>
      <c r="T69" s="62" t="s">
        <v>1096</v>
      </c>
      <c r="U69" s="62" t="s">
        <v>1096</v>
      </c>
      <c r="V69" s="62" t="s">
        <v>1096</v>
      </c>
      <c r="W69" s="62">
        <f t="shared" si="25"/>
        <v>1374540</v>
      </c>
      <c r="X69" s="73"/>
      <c r="Y69" s="73"/>
      <c r="Z69" s="73"/>
      <c r="AA69" s="73"/>
      <c r="AB69" s="73"/>
      <c r="AC69" s="73"/>
      <c r="AD69" s="62" t="s">
        <v>1096</v>
      </c>
      <c r="AE69" s="62" t="s">
        <v>1096</v>
      </c>
      <c r="AF69" s="66">
        <f>Table1[[#This Row],[2019 Scope 1 (MeT Co2)]]</f>
        <v>28300</v>
      </c>
      <c r="AG69" s="67">
        <f t="shared" si="17"/>
        <v>0</v>
      </c>
      <c r="AH69" s="68">
        <f t="shared" si="18"/>
        <v>0</v>
      </c>
      <c r="AK69" s="62" t="s">
        <v>1096</v>
      </c>
      <c r="AL69" s="62" t="s">
        <v>1096</v>
      </c>
      <c r="AM69" s="66">
        <f>Table1[[#This Row],[2019 Scope 2 ]]</f>
        <v>176200</v>
      </c>
      <c r="AN69" s="67">
        <f t="shared" si="19"/>
        <v>23600</v>
      </c>
      <c r="AO69" s="68">
        <f t="shared" si="20"/>
        <v>0.11811811811811812</v>
      </c>
      <c r="AP69" s="67">
        <f t="shared" si="21"/>
        <v>0</v>
      </c>
      <c r="AQ69" s="68">
        <f t="shared" si="22"/>
        <v>0</v>
      </c>
      <c r="AR69" s="72">
        <f>Table1[[#This Row],[2019 Scope 3 ]]</f>
        <v>1374540</v>
      </c>
      <c r="AS69" s="71">
        <f t="shared" si="23"/>
        <v>0</v>
      </c>
      <c r="AT69" s="51">
        <f t="shared" si="24"/>
        <v>0</v>
      </c>
      <c r="BI69" s="58">
        <v>12406</v>
      </c>
    </row>
    <row r="70" spans="1:61">
      <c r="A70" s="59">
        <f>companies!A70</f>
        <v>69</v>
      </c>
      <c r="B70" s="61" t="s">
        <v>1056</v>
      </c>
      <c r="C70" s="73" t="s">
        <v>1095</v>
      </c>
      <c r="D70" s="73" t="s">
        <v>1095</v>
      </c>
      <c r="E70" s="73" t="s">
        <v>1095</v>
      </c>
      <c r="F70" s="73" t="s">
        <v>1095</v>
      </c>
      <c r="G70" s="73" t="s">
        <v>1095</v>
      </c>
      <c r="H70" s="73" t="s">
        <v>1095</v>
      </c>
      <c r="I70" s="73" t="s">
        <v>1095</v>
      </c>
      <c r="J70" s="73" t="s">
        <v>1095</v>
      </c>
      <c r="K70" s="73" t="s">
        <v>1095</v>
      </c>
      <c r="L70" s="73" t="s">
        <v>1095</v>
      </c>
      <c r="M70" s="73" t="s">
        <v>1095</v>
      </c>
      <c r="N70" s="73" t="s">
        <v>1095</v>
      </c>
      <c r="O70" s="73" t="s">
        <v>1095</v>
      </c>
      <c r="P70" s="73" t="s">
        <v>1095</v>
      </c>
      <c r="Q70" s="73" t="s">
        <v>1095</v>
      </c>
      <c r="R70" s="73" t="s">
        <v>1095</v>
      </c>
      <c r="S70" s="73" t="s">
        <v>1095</v>
      </c>
      <c r="T70" s="73" t="s">
        <v>1095</v>
      </c>
      <c r="U70" s="73" t="s">
        <v>1095</v>
      </c>
      <c r="V70" s="73" t="s">
        <v>1095</v>
      </c>
      <c r="W70" s="62">
        <f t="shared" si="25"/>
        <v>0</v>
      </c>
      <c r="X70" s="62"/>
      <c r="Y70" s="62"/>
      <c r="Z70" s="62"/>
      <c r="AA70" s="62"/>
      <c r="AB70" s="62"/>
      <c r="AC70" s="62"/>
      <c r="AD70" s="62" t="e">
        <v>#N/A</v>
      </c>
      <c r="AE70" s="62" t="e">
        <v>#N/A</v>
      </c>
      <c r="AF70" s="66" t="str">
        <f>Table1[[#This Row],[2019 Scope 1 (MeT Co2)]]</f>
        <v>NR</v>
      </c>
      <c r="AG70" s="67" t="e">
        <f t="shared" si="17"/>
        <v>#VALUE!</v>
      </c>
      <c r="AH70" s="68" t="e">
        <f t="shared" si="18"/>
        <v>#VALUE!</v>
      </c>
      <c r="AK70" s="62" t="e">
        <v>#N/A</v>
      </c>
      <c r="AL70" s="62" t="e">
        <v>#N/A</v>
      </c>
      <c r="AM70" s="66" t="str">
        <f>Table1[[#This Row],[2019 Scope 2 ]]</f>
        <v>NR</v>
      </c>
      <c r="AN70" s="67" t="e">
        <f t="shared" si="19"/>
        <v>#VALUE!</v>
      </c>
      <c r="AO70" s="68" t="e">
        <f t="shared" si="20"/>
        <v>#VALUE!</v>
      </c>
      <c r="AP70" s="67" t="e">
        <f t="shared" si="21"/>
        <v>#VALUE!</v>
      </c>
      <c r="AQ70" s="68" t="e">
        <f t="shared" si="22"/>
        <v>#VALUE!</v>
      </c>
      <c r="AR70" s="72" t="str">
        <f>Table1[[#This Row],[2019 Scope 3 ]]</f>
        <v>NR</v>
      </c>
      <c r="AS70" s="71" t="e">
        <f t="shared" si="23"/>
        <v>#VALUE!</v>
      </c>
      <c r="AT70" s="51" t="e">
        <f t="shared" si="24"/>
        <v>#VALUE!</v>
      </c>
    </row>
    <row r="71" spans="1:61">
      <c r="A71" s="59">
        <f>companies!A71</f>
        <v>70</v>
      </c>
      <c r="B71" s="61" t="s">
        <v>1056</v>
      </c>
      <c r="C71" s="73" t="s">
        <v>1095</v>
      </c>
      <c r="D71" s="73" t="s">
        <v>1095</v>
      </c>
      <c r="E71" s="73" t="s">
        <v>1095</v>
      </c>
      <c r="F71" s="73" t="s">
        <v>1095</v>
      </c>
      <c r="G71" s="73" t="s">
        <v>1095</v>
      </c>
      <c r="H71" s="73" t="s">
        <v>1095</v>
      </c>
      <c r="I71" s="73" t="s">
        <v>1095</v>
      </c>
      <c r="J71" s="73" t="s">
        <v>1095</v>
      </c>
      <c r="K71" s="73" t="s">
        <v>1095</v>
      </c>
      <c r="L71" s="73" t="s">
        <v>1095</v>
      </c>
      <c r="M71" s="73" t="s">
        <v>1095</v>
      </c>
      <c r="N71" s="73" t="s">
        <v>1095</v>
      </c>
      <c r="O71" s="73" t="s">
        <v>1095</v>
      </c>
      <c r="P71" s="73" t="s">
        <v>1095</v>
      </c>
      <c r="Q71" s="73" t="s">
        <v>1095</v>
      </c>
      <c r="R71" s="73" t="s">
        <v>1095</v>
      </c>
      <c r="S71" s="73" t="s">
        <v>1095</v>
      </c>
      <c r="T71" s="73" t="s">
        <v>1095</v>
      </c>
      <c r="U71" s="73" t="s">
        <v>1095</v>
      </c>
      <c r="V71" s="73" t="s">
        <v>1095</v>
      </c>
      <c r="W71" s="62">
        <f t="shared" si="25"/>
        <v>0</v>
      </c>
      <c r="X71" s="62"/>
      <c r="Y71" s="62"/>
      <c r="Z71" s="62"/>
      <c r="AA71" s="62"/>
      <c r="AB71" s="62"/>
      <c r="AC71" s="62"/>
      <c r="AD71" s="62" t="e">
        <v>#N/A</v>
      </c>
      <c r="AE71" s="62" t="e">
        <v>#N/A</v>
      </c>
      <c r="AF71" s="66" t="str">
        <f>Table1[[#This Row],[2019 Scope 1 (MeT Co2)]]</f>
        <v>NR</v>
      </c>
      <c r="AG71" s="67" t="e">
        <f t="shared" si="17"/>
        <v>#VALUE!</v>
      </c>
      <c r="AH71" s="68" t="e">
        <f t="shared" si="18"/>
        <v>#VALUE!</v>
      </c>
      <c r="AK71" s="62" t="e">
        <v>#N/A</v>
      </c>
      <c r="AL71" s="62" t="e">
        <v>#N/A</v>
      </c>
      <c r="AM71" s="66" t="str">
        <f>Table1[[#This Row],[2019 Scope 2 ]]</f>
        <v>NR</v>
      </c>
      <c r="AN71" s="67" t="e">
        <f t="shared" si="19"/>
        <v>#VALUE!</v>
      </c>
      <c r="AO71" s="68" t="e">
        <f t="shared" si="20"/>
        <v>#VALUE!</v>
      </c>
      <c r="AP71" s="67" t="e">
        <f t="shared" si="21"/>
        <v>#VALUE!</v>
      </c>
      <c r="AQ71" s="68" t="e">
        <f t="shared" si="22"/>
        <v>#VALUE!</v>
      </c>
      <c r="AR71" s="72" t="str">
        <f>Table1[[#This Row],[2019 Scope 3 ]]</f>
        <v>NR</v>
      </c>
      <c r="AS71" s="71" t="e">
        <f t="shared" si="23"/>
        <v>#VALUE!</v>
      </c>
      <c r="AT71" s="51" t="e">
        <f t="shared" si="24"/>
        <v>#VALUE!</v>
      </c>
    </row>
    <row r="72" spans="1:61">
      <c r="A72" s="59">
        <f>companies!A72</f>
        <v>71</v>
      </c>
      <c r="B72" s="61" t="s">
        <v>1056</v>
      </c>
      <c r="C72" s="73">
        <v>46714</v>
      </c>
      <c r="D72" s="73">
        <v>258171</v>
      </c>
      <c r="E72" s="73">
        <v>209065</v>
      </c>
      <c r="F72" s="73">
        <v>7700000</v>
      </c>
      <c r="G72" s="73" t="s">
        <v>1096</v>
      </c>
      <c r="H72" s="73">
        <v>15000</v>
      </c>
      <c r="I72" s="73">
        <v>1100000</v>
      </c>
      <c r="J72" s="73">
        <v>2000</v>
      </c>
      <c r="K72" s="73">
        <v>89000</v>
      </c>
      <c r="L72" s="73">
        <v>131000</v>
      </c>
      <c r="M72" s="62" t="s">
        <v>1096</v>
      </c>
      <c r="N72" s="62">
        <v>101000</v>
      </c>
      <c r="O72" s="62" t="s">
        <v>1096</v>
      </c>
      <c r="P72" s="62">
        <v>6200000</v>
      </c>
      <c r="Q72" s="62">
        <v>439000</v>
      </c>
      <c r="R72" s="73" t="s">
        <v>1096</v>
      </c>
      <c r="S72" s="62" t="s">
        <v>1096</v>
      </c>
      <c r="T72" s="62" t="s">
        <v>1096</v>
      </c>
      <c r="U72" s="62" t="s">
        <v>1096</v>
      </c>
      <c r="V72" s="62" t="s">
        <v>1096</v>
      </c>
      <c r="W72" s="62">
        <f t="shared" si="25"/>
        <v>15777000</v>
      </c>
      <c r="X72" s="73"/>
      <c r="Y72" s="73"/>
      <c r="Z72" s="73"/>
      <c r="AA72" s="73"/>
      <c r="AB72" s="73"/>
      <c r="AC72" s="73"/>
      <c r="AD72" s="62" t="s">
        <v>1066</v>
      </c>
      <c r="AE72" s="62" t="s">
        <v>1067</v>
      </c>
      <c r="AF72" s="66">
        <f>Table1[[#This Row],[2019 Scope 1 (MeT Co2)]]</f>
        <v>46714</v>
      </c>
      <c r="AG72" s="67">
        <f t="shared" si="17"/>
        <v>0</v>
      </c>
      <c r="AH72" s="68">
        <f t="shared" si="18"/>
        <v>0</v>
      </c>
      <c r="AK72" s="62" t="s">
        <v>1066</v>
      </c>
      <c r="AL72" s="62" t="s">
        <v>1067</v>
      </c>
      <c r="AM72" s="66">
        <f>Table1[[#This Row],[2019 Scope 2 ]]</f>
        <v>209065</v>
      </c>
      <c r="AN72" s="67">
        <f t="shared" si="19"/>
        <v>49106</v>
      </c>
      <c r="AO72" s="68">
        <f t="shared" si="20"/>
        <v>0.19020726572697941</v>
      </c>
      <c r="AP72" s="67">
        <f t="shared" si="21"/>
        <v>0</v>
      </c>
      <c r="AQ72" s="68">
        <f t="shared" si="22"/>
        <v>0</v>
      </c>
      <c r="AR72" s="72">
        <f>Table1[[#This Row],[2019 Scope 3 ]]</f>
        <v>3250744</v>
      </c>
      <c r="AS72" s="71">
        <f t="shared" si="23"/>
        <v>12526256</v>
      </c>
      <c r="AT72" s="51">
        <f t="shared" si="24"/>
        <v>0.79395677251695507</v>
      </c>
      <c r="BI72" s="58">
        <v>13279</v>
      </c>
    </row>
    <row r="73" spans="1:61">
      <c r="A73" s="59">
        <f>companies!A73</f>
        <v>72</v>
      </c>
      <c r="B73" s="61" t="s">
        <v>1056</v>
      </c>
      <c r="C73" s="73">
        <v>2817</v>
      </c>
      <c r="D73" s="73">
        <v>74692</v>
      </c>
      <c r="E73" s="73">
        <v>65936</v>
      </c>
      <c r="F73" s="73">
        <v>224687</v>
      </c>
      <c r="G73" s="73">
        <v>72946</v>
      </c>
      <c r="H73" s="73">
        <v>27885</v>
      </c>
      <c r="I73" s="73">
        <v>30380</v>
      </c>
      <c r="J73" s="73">
        <v>752</v>
      </c>
      <c r="K73" s="73">
        <v>31285</v>
      </c>
      <c r="L73" s="73">
        <v>17929</v>
      </c>
      <c r="M73" s="62">
        <v>9329</v>
      </c>
      <c r="N73" s="62" t="s">
        <v>1096</v>
      </c>
      <c r="O73" s="62" t="s">
        <v>1096</v>
      </c>
      <c r="P73" s="62" t="s">
        <v>1096</v>
      </c>
      <c r="Q73" s="62" t="s">
        <v>1096</v>
      </c>
      <c r="R73" s="73" t="s">
        <v>1096</v>
      </c>
      <c r="S73" s="62" t="s">
        <v>1096</v>
      </c>
      <c r="T73" s="62" t="s">
        <v>1096</v>
      </c>
      <c r="U73" s="62" t="s">
        <v>1096</v>
      </c>
      <c r="V73" s="62" t="s">
        <v>1096</v>
      </c>
      <c r="W73" s="62">
        <f t="shared" si="25"/>
        <v>415193</v>
      </c>
      <c r="X73" s="73"/>
      <c r="Y73" s="73"/>
      <c r="Z73" s="73"/>
      <c r="AA73" s="73"/>
      <c r="AB73" s="73"/>
      <c r="AC73" s="73"/>
      <c r="AD73" s="62" t="s">
        <v>1096</v>
      </c>
      <c r="AE73" s="62" t="s">
        <v>1096</v>
      </c>
      <c r="AF73" s="66">
        <f>Table1[[#This Row],[2019 Scope 1 (MeT Co2)]]</f>
        <v>2695</v>
      </c>
      <c r="AG73" s="67">
        <f t="shared" si="17"/>
        <v>122</v>
      </c>
      <c r="AH73" s="68">
        <f t="shared" si="18"/>
        <v>4.3308484203052895E-2</v>
      </c>
      <c r="AK73" s="62" t="s">
        <v>1096</v>
      </c>
      <c r="AL73" s="62" t="s">
        <v>1096</v>
      </c>
      <c r="AM73" s="66">
        <f>Table1[[#This Row],[2019 Scope 2 ]]</f>
        <v>60093</v>
      </c>
      <c r="AN73" s="67">
        <f t="shared" si="19"/>
        <v>14599</v>
      </c>
      <c r="AO73" s="69">
        <f t="shared" si="20"/>
        <v>0.19545600599796498</v>
      </c>
      <c r="AP73" s="67">
        <f t="shared" si="21"/>
        <v>-5843</v>
      </c>
      <c r="AQ73" s="69">
        <f t="shared" si="22"/>
        <v>-8.8616233923804896E-2</v>
      </c>
      <c r="AR73" s="72">
        <f>Table1[[#This Row],[2019 Scope 3 ]]</f>
        <v>427730</v>
      </c>
      <c r="AS73" s="71">
        <f t="shared" si="23"/>
        <v>-12537</v>
      </c>
      <c r="AT73" s="51">
        <f t="shared" si="24"/>
        <v>-3.0195595783165902E-2</v>
      </c>
      <c r="BI73" s="61">
        <v>13604</v>
      </c>
    </row>
    <row r="74" spans="1:61">
      <c r="A74" s="59">
        <f>companies!A74</f>
        <v>73</v>
      </c>
      <c r="B74" s="61" t="s">
        <v>1056</v>
      </c>
      <c r="C74" s="73">
        <v>22430197</v>
      </c>
      <c r="D74" s="73">
        <v>6420000</v>
      </c>
      <c r="E74" s="73" t="s">
        <v>1096</v>
      </c>
      <c r="F74" s="73" t="s">
        <v>1096</v>
      </c>
      <c r="G74" s="73" t="s">
        <v>1096</v>
      </c>
      <c r="H74" s="73" t="s">
        <v>1096</v>
      </c>
      <c r="I74" s="73">
        <v>0</v>
      </c>
      <c r="J74" s="73" t="s">
        <v>1096</v>
      </c>
      <c r="K74" s="73" t="s">
        <v>1096</v>
      </c>
      <c r="L74" s="73" t="s">
        <v>1096</v>
      </c>
      <c r="M74" s="62" t="s">
        <v>1096</v>
      </c>
      <c r="N74" s="62" t="s">
        <v>1096</v>
      </c>
      <c r="O74" s="62">
        <v>103000000</v>
      </c>
      <c r="P74" s="62">
        <v>103000000</v>
      </c>
      <c r="Q74" s="62" t="s">
        <v>1096</v>
      </c>
      <c r="R74" s="73" t="s">
        <v>1096</v>
      </c>
      <c r="S74" s="62" t="s">
        <v>1096</v>
      </c>
      <c r="T74" s="62" t="s">
        <v>1096</v>
      </c>
      <c r="U74" s="62" t="s">
        <v>1096</v>
      </c>
      <c r="V74" s="62" t="s">
        <v>1096</v>
      </c>
      <c r="W74" s="62">
        <f t="shared" si="25"/>
        <v>206000000</v>
      </c>
      <c r="X74" s="62"/>
      <c r="Y74" s="62"/>
      <c r="Z74" s="62"/>
      <c r="AA74" s="62"/>
      <c r="AB74" s="62"/>
      <c r="AC74" s="62"/>
      <c r="AD74" s="62" t="s">
        <v>1096</v>
      </c>
      <c r="AE74" s="62" t="s">
        <v>1096</v>
      </c>
      <c r="AF74" s="66">
        <f>Table1[[#This Row],[2019 Scope 1 (MeT Co2)]]</f>
        <v>22430197</v>
      </c>
      <c r="AG74" s="67">
        <f t="shared" si="17"/>
        <v>0</v>
      </c>
      <c r="AH74" s="68">
        <f t="shared" si="18"/>
        <v>0</v>
      </c>
      <c r="AK74" s="62" t="s">
        <v>1096</v>
      </c>
      <c r="AL74" s="62" t="s">
        <v>1096</v>
      </c>
      <c r="AM74" s="66">
        <f>Table1[[#This Row],[2019 Scope 2 ]]</f>
        <v>6420000</v>
      </c>
      <c r="AN74" s="67">
        <f t="shared" si="19"/>
        <v>0</v>
      </c>
      <c r="AO74" s="68">
        <f t="shared" si="20"/>
        <v>0</v>
      </c>
      <c r="AP74" s="67" t="e">
        <f t="shared" si="21"/>
        <v>#VALUE!</v>
      </c>
      <c r="AQ74" s="68" t="e">
        <f t="shared" si="22"/>
        <v>#VALUE!</v>
      </c>
      <c r="AR74" s="72">
        <f>Table1[[#This Row],[2019 Scope 3 ]]</f>
        <v>103000000</v>
      </c>
      <c r="AS74" s="71">
        <f t="shared" si="23"/>
        <v>103000000</v>
      </c>
      <c r="AT74" s="51">
        <f t="shared" si="24"/>
        <v>0.5</v>
      </c>
      <c r="BI74" s="58">
        <v>13649</v>
      </c>
    </row>
    <row r="75" spans="1:61">
      <c r="A75" s="59">
        <f>companies!A75</f>
        <v>74</v>
      </c>
      <c r="B75" s="61" t="s">
        <v>1056</v>
      </c>
      <c r="C75" s="73">
        <v>16520</v>
      </c>
      <c r="D75" s="73">
        <v>560683</v>
      </c>
      <c r="E75" s="73">
        <v>349022</v>
      </c>
      <c r="F75" s="73">
        <v>1139792</v>
      </c>
      <c r="G75" s="73">
        <v>151888</v>
      </c>
      <c r="H75" s="73">
        <v>21233</v>
      </c>
      <c r="I75" s="73">
        <v>8956</v>
      </c>
      <c r="J75" s="73">
        <v>1055</v>
      </c>
      <c r="K75" s="73">
        <v>173807</v>
      </c>
      <c r="L75" s="73">
        <v>70</v>
      </c>
      <c r="M75" s="62" t="s">
        <v>1096</v>
      </c>
      <c r="N75" s="62">
        <v>35824</v>
      </c>
      <c r="O75" s="62" t="s">
        <v>1096</v>
      </c>
      <c r="P75" s="62" t="s">
        <v>1096</v>
      </c>
      <c r="Q75" s="62" t="s">
        <v>1096</v>
      </c>
      <c r="R75" s="73">
        <v>10915</v>
      </c>
      <c r="S75" s="62" t="s">
        <v>1096</v>
      </c>
      <c r="T75" s="62" t="s">
        <v>1096</v>
      </c>
      <c r="U75" s="62" t="s">
        <v>1096</v>
      </c>
      <c r="V75" s="62" t="s">
        <v>1096</v>
      </c>
      <c r="W75" s="62">
        <f t="shared" si="25"/>
        <v>1543540</v>
      </c>
      <c r="X75" s="73"/>
      <c r="Y75" s="73"/>
      <c r="Z75" s="73"/>
      <c r="AA75" s="73"/>
      <c r="AB75" s="73"/>
      <c r="AC75" s="73"/>
      <c r="AD75" s="62" t="s">
        <v>1096</v>
      </c>
      <c r="AE75" s="62" t="s">
        <v>1096</v>
      </c>
      <c r="AF75" s="66">
        <f>Table1[[#This Row],[2019 Scope 1 (MeT Co2)]]</f>
        <v>16520</v>
      </c>
      <c r="AG75" s="67">
        <f t="shared" si="17"/>
        <v>0</v>
      </c>
      <c r="AH75" s="68">
        <f t="shared" si="18"/>
        <v>0</v>
      </c>
      <c r="AK75" s="62" t="s">
        <v>1096</v>
      </c>
      <c r="AL75" s="62" t="s">
        <v>1096</v>
      </c>
      <c r="AM75" s="66">
        <f>Table1[[#This Row],[2019 Scope 2 ]]</f>
        <v>349022</v>
      </c>
      <c r="AN75" s="67">
        <f t="shared" si="19"/>
        <v>211661</v>
      </c>
      <c r="AO75" s="68">
        <f t="shared" si="20"/>
        <v>0.37750564935979869</v>
      </c>
      <c r="AP75" s="67">
        <f t="shared" si="21"/>
        <v>0</v>
      </c>
      <c r="AQ75" s="68">
        <f t="shared" si="22"/>
        <v>0</v>
      </c>
      <c r="AR75" s="72">
        <f>Table1[[#This Row],[2019 Scope 3 ]]</f>
        <v>1543540</v>
      </c>
      <c r="AS75" s="71">
        <f t="shared" si="23"/>
        <v>0</v>
      </c>
      <c r="AT75" s="51">
        <f t="shared" si="24"/>
        <v>0</v>
      </c>
      <c r="BI75" s="58">
        <v>14013</v>
      </c>
    </row>
    <row r="76" spans="1:61">
      <c r="A76" s="59">
        <f>companies!A76</f>
        <v>75</v>
      </c>
      <c r="B76" s="61" t="s">
        <v>1056</v>
      </c>
      <c r="C76" s="73">
        <v>9897</v>
      </c>
      <c r="D76" s="73" t="s">
        <v>1096</v>
      </c>
      <c r="E76" s="73">
        <v>47911</v>
      </c>
      <c r="F76" s="73" t="s">
        <v>1096</v>
      </c>
      <c r="G76" s="73" t="s">
        <v>1096</v>
      </c>
      <c r="H76" s="73" t="s">
        <v>1096</v>
      </c>
      <c r="I76" s="73" t="s">
        <v>1096</v>
      </c>
      <c r="J76" s="73" t="s">
        <v>1096</v>
      </c>
      <c r="K76" s="73">
        <v>32130.06</v>
      </c>
      <c r="L76" s="73" t="s">
        <v>1096</v>
      </c>
      <c r="M76" s="62" t="s">
        <v>1096</v>
      </c>
      <c r="N76" s="62" t="s">
        <v>1096</v>
      </c>
      <c r="O76" s="62" t="s">
        <v>1096</v>
      </c>
      <c r="P76" s="62" t="s">
        <v>1096</v>
      </c>
      <c r="Q76" s="62" t="s">
        <v>1096</v>
      </c>
      <c r="R76" s="73" t="s">
        <v>1096</v>
      </c>
      <c r="S76" s="62" t="s">
        <v>1096</v>
      </c>
      <c r="T76" s="62" t="s">
        <v>1096</v>
      </c>
      <c r="U76" s="62" t="s">
        <v>1096</v>
      </c>
      <c r="V76" s="62" t="s">
        <v>1096</v>
      </c>
      <c r="W76" s="62">
        <f t="shared" si="25"/>
        <v>32130.06</v>
      </c>
      <c r="X76" s="73"/>
      <c r="Y76" s="73"/>
      <c r="Z76" s="73"/>
      <c r="AA76" s="73"/>
      <c r="AB76" s="73"/>
      <c r="AC76" s="73"/>
      <c r="AD76" s="62" t="s">
        <v>1064</v>
      </c>
      <c r="AE76" s="62" t="s">
        <v>1065</v>
      </c>
      <c r="AF76" s="66">
        <f>Table1[[#This Row],[2019 Scope 1 (MeT Co2)]]</f>
        <v>9900</v>
      </c>
      <c r="AG76" s="67">
        <f t="shared" si="17"/>
        <v>-3</v>
      </c>
      <c r="AH76" s="68">
        <f t="shared" si="18"/>
        <v>-3.031221582297666E-4</v>
      </c>
      <c r="AK76" s="62" t="s">
        <v>1064</v>
      </c>
      <c r="AL76" s="62" t="s">
        <v>1065</v>
      </c>
      <c r="AM76" s="66">
        <f>Table1[[#This Row],[2019 Scope 2 ]]</f>
        <v>47000</v>
      </c>
      <c r="AN76" s="67" t="e">
        <f t="shared" si="19"/>
        <v>#VALUE!</v>
      </c>
      <c r="AO76" s="68" t="e">
        <f t="shared" si="20"/>
        <v>#VALUE!</v>
      </c>
      <c r="AP76" s="67">
        <f t="shared" si="21"/>
        <v>-911</v>
      </c>
      <c r="AQ76" s="68">
        <f t="shared" si="22"/>
        <v>-1.9014422575191502E-2</v>
      </c>
      <c r="AR76" s="72">
        <f>Table1[[#This Row],[2019 Scope 3 ]]</f>
        <v>32100</v>
      </c>
      <c r="AS76" s="71">
        <f t="shared" si="23"/>
        <v>30.06000000000131</v>
      </c>
      <c r="AT76" s="51">
        <f t="shared" si="24"/>
        <v>9.3557248259110962E-4</v>
      </c>
      <c r="BI76" s="61">
        <v>58304</v>
      </c>
    </row>
    <row r="77" spans="1:61">
      <c r="A77" s="59">
        <f>companies!A77</f>
        <v>76</v>
      </c>
      <c r="B77" s="61" t="s">
        <v>1056</v>
      </c>
      <c r="C77" s="73">
        <v>3552415</v>
      </c>
      <c r="D77" s="73">
        <v>1556523</v>
      </c>
      <c r="E77" s="73">
        <v>1425255</v>
      </c>
      <c r="F77" s="73">
        <v>33599797</v>
      </c>
      <c r="G77" s="73">
        <v>600278</v>
      </c>
      <c r="H77" s="73">
        <v>946616</v>
      </c>
      <c r="I77" s="73">
        <v>720951</v>
      </c>
      <c r="J77" s="73">
        <v>25353</v>
      </c>
      <c r="K77" s="73">
        <v>140452</v>
      </c>
      <c r="L77" s="73">
        <v>201663</v>
      </c>
      <c r="M77" s="62" t="s">
        <v>1096</v>
      </c>
      <c r="N77" s="62">
        <v>11088559</v>
      </c>
      <c r="O77" s="62">
        <v>231426</v>
      </c>
      <c r="P77" s="62" t="s">
        <v>1096</v>
      </c>
      <c r="Q77" s="62">
        <v>811130</v>
      </c>
      <c r="R77" s="73" t="s">
        <v>1096</v>
      </c>
      <c r="S77" s="62">
        <v>1843424</v>
      </c>
      <c r="T77" s="62">
        <v>255417</v>
      </c>
      <c r="U77" s="62" t="s">
        <v>1096</v>
      </c>
      <c r="V77" s="62" t="s">
        <v>1096</v>
      </c>
      <c r="W77" s="62">
        <f t="shared" si="25"/>
        <v>50465066</v>
      </c>
      <c r="X77" s="73"/>
      <c r="Y77" s="73"/>
      <c r="Z77" s="73"/>
      <c r="AA77" s="73"/>
      <c r="AB77" s="73"/>
      <c r="AC77" s="73"/>
      <c r="AD77" s="62" t="s">
        <v>1096</v>
      </c>
      <c r="AE77" s="62" t="s">
        <v>1096</v>
      </c>
      <c r="AF77" s="66">
        <f>Table1[[#This Row],[2019 Scope 1 (MeT Co2)]]</f>
        <v>3552415</v>
      </c>
      <c r="AG77" s="67">
        <f t="shared" si="17"/>
        <v>0</v>
      </c>
      <c r="AH77" s="68">
        <f t="shared" si="18"/>
        <v>0</v>
      </c>
      <c r="AK77" s="62" t="s">
        <v>1096</v>
      </c>
      <c r="AL77" s="62" t="s">
        <v>1096</v>
      </c>
      <c r="AM77" s="66">
        <f>Table1[[#This Row],[2019 Scope 2 ]]</f>
        <v>1425255</v>
      </c>
      <c r="AN77" s="67">
        <f t="shared" si="19"/>
        <v>131268</v>
      </c>
      <c r="AO77" s="68">
        <f t="shared" si="20"/>
        <v>8.4334121628784162E-2</v>
      </c>
      <c r="AP77" s="67">
        <f t="shared" si="21"/>
        <v>0</v>
      </c>
      <c r="AQ77" s="68">
        <f t="shared" si="22"/>
        <v>0</v>
      </c>
      <c r="AR77" s="72">
        <f>Table1[[#This Row],[2019 Scope 3 ]]</f>
        <v>50465066</v>
      </c>
      <c r="AS77" s="71">
        <f t="shared" si="23"/>
        <v>0</v>
      </c>
      <c r="AT77" s="51">
        <f t="shared" si="24"/>
        <v>0</v>
      </c>
      <c r="BI77" s="58">
        <v>14605</v>
      </c>
    </row>
    <row r="78" spans="1:61">
      <c r="A78" s="59">
        <f>companies!A78</f>
        <v>77</v>
      </c>
      <c r="B78" s="61" t="s">
        <v>1056</v>
      </c>
      <c r="C78" s="73">
        <v>734638</v>
      </c>
      <c r="D78" s="73">
        <v>762286</v>
      </c>
      <c r="E78" s="73">
        <v>634205</v>
      </c>
      <c r="F78" s="73">
        <v>3794093</v>
      </c>
      <c r="G78" s="73">
        <v>345953</v>
      </c>
      <c r="H78" s="73">
        <v>252909</v>
      </c>
      <c r="I78" s="73">
        <v>873030</v>
      </c>
      <c r="J78" s="73">
        <v>16420</v>
      </c>
      <c r="K78" s="73">
        <v>195718</v>
      </c>
      <c r="L78" s="73">
        <v>60645</v>
      </c>
      <c r="M78" s="62">
        <v>36273</v>
      </c>
      <c r="N78" s="62">
        <v>99576</v>
      </c>
      <c r="O78" s="62" t="s">
        <v>1096</v>
      </c>
      <c r="P78" s="62" t="s">
        <v>1096</v>
      </c>
      <c r="Q78" s="62" t="s">
        <v>1096</v>
      </c>
      <c r="R78" s="73" t="s">
        <v>1096</v>
      </c>
      <c r="S78" s="62" t="s">
        <v>1096</v>
      </c>
      <c r="T78" s="62">
        <v>33892</v>
      </c>
      <c r="U78" s="62" t="s">
        <v>1096</v>
      </c>
      <c r="V78" s="62" t="s">
        <v>1096</v>
      </c>
      <c r="W78" s="62">
        <f t="shared" si="25"/>
        <v>5708509</v>
      </c>
      <c r="X78" s="73"/>
      <c r="Y78" s="73"/>
      <c r="Z78" s="73"/>
      <c r="AA78" s="73"/>
      <c r="AB78" s="73"/>
      <c r="AC78" s="73"/>
      <c r="AD78" s="62" t="s">
        <v>1064</v>
      </c>
      <c r="AE78" s="62" t="s">
        <v>1065</v>
      </c>
      <c r="AF78" s="66">
        <f>Table1[[#This Row],[2019 Scope 1 (MeT Co2)]]</f>
        <v>734638</v>
      </c>
      <c r="AG78" s="67">
        <f t="shared" si="17"/>
        <v>0</v>
      </c>
      <c r="AH78" s="68">
        <f t="shared" si="18"/>
        <v>0</v>
      </c>
      <c r="AK78" s="62" t="s">
        <v>1064</v>
      </c>
      <c r="AL78" s="62" t="s">
        <v>1065</v>
      </c>
      <c r="AM78" s="66">
        <f>Table1[[#This Row],[2019 Scope 2 ]]</f>
        <v>634205</v>
      </c>
      <c r="AN78" s="67">
        <f t="shared" si="19"/>
        <v>128081</v>
      </c>
      <c r="AO78" s="68">
        <f t="shared" si="20"/>
        <v>0.16802223837247438</v>
      </c>
      <c r="AP78" s="67">
        <f t="shared" si="21"/>
        <v>0</v>
      </c>
      <c r="AQ78" s="68">
        <f t="shared" si="22"/>
        <v>0</v>
      </c>
      <c r="AR78" s="72">
        <f>Table1[[#This Row],[2019 Scope 3 ]]</f>
        <v>5674617</v>
      </c>
      <c r="AS78" s="71">
        <f t="shared" si="23"/>
        <v>33892</v>
      </c>
      <c r="AT78" s="51">
        <f t="shared" si="24"/>
        <v>5.9371019648037692E-3</v>
      </c>
      <c r="BI78" s="58">
        <v>14683</v>
      </c>
    </row>
    <row r="79" spans="1:61">
      <c r="A79" s="59">
        <f>companies!A79</f>
        <v>78</v>
      </c>
      <c r="B79" s="61" t="s">
        <v>1056</v>
      </c>
      <c r="C79" s="73">
        <v>397210</v>
      </c>
      <c r="D79" s="73">
        <v>447322</v>
      </c>
      <c r="E79" s="73">
        <v>158672</v>
      </c>
      <c r="F79" s="73">
        <v>3079756</v>
      </c>
      <c r="G79" s="73">
        <v>112716</v>
      </c>
      <c r="H79" s="73">
        <v>113778</v>
      </c>
      <c r="I79" s="73">
        <v>437675</v>
      </c>
      <c r="J79" s="73">
        <v>1832</v>
      </c>
      <c r="K79" s="73">
        <v>111283</v>
      </c>
      <c r="L79" s="73">
        <v>58200</v>
      </c>
      <c r="M79" s="62" t="s">
        <v>1096</v>
      </c>
      <c r="N79" s="62">
        <v>46621</v>
      </c>
      <c r="O79" s="62" t="s">
        <v>1096</v>
      </c>
      <c r="P79" s="62">
        <v>107477</v>
      </c>
      <c r="Q79" s="62">
        <v>57272</v>
      </c>
      <c r="R79" s="73" t="s">
        <v>1096</v>
      </c>
      <c r="S79" s="62" t="s">
        <v>1096</v>
      </c>
      <c r="T79" s="62" t="s">
        <v>1096</v>
      </c>
      <c r="U79" s="62" t="s">
        <v>1096</v>
      </c>
      <c r="V79" s="62" t="s">
        <v>1096</v>
      </c>
      <c r="W79" s="62">
        <f t="shared" si="25"/>
        <v>4126610</v>
      </c>
      <c r="X79" s="73"/>
      <c r="Y79" s="73"/>
      <c r="Z79" s="73"/>
      <c r="AA79" s="73"/>
      <c r="AB79" s="73"/>
      <c r="AC79" s="73"/>
      <c r="AD79" s="62" t="s">
        <v>1096</v>
      </c>
      <c r="AE79" s="62" t="s">
        <v>1096</v>
      </c>
      <c r="AF79" s="66">
        <f>Table1[[#This Row],[2019 Scope 1 (MeT Co2)]]</f>
        <v>397970</v>
      </c>
      <c r="AG79" s="67">
        <f t="shared" si="17"/>
        <v>-760</v>
      </c>
      <c r="AH79" s="68">
        <f t="shared" si="18"/>
        <v>-1.9133455854585737E-3</v>
      </c>
      <c r="AK79" s="62" t="s">
        <v>1096</v>
      </c>
      <c r="AL79" s="62" t="s">
        <v>1096</v>
      </c>
      <c r="AM79" s="66">
        <f>Table1[[#This Row],[2019 Scope 2 ]]</f>
        <v>159188</v>
      </c>
      <c r="AN79" s="67">
        <f t="shared" si="19"/>
        <v>288134</v>
      </c>
      <c r="AO79" s="68">
        <f t="shared" si="20"/>
        <v>0.64413107336549513</v>
      </c>
      <c r="AP79" s="67">
        <f t="shared" si="21"/>
        <v>516</v>
      </c>
      <c r="AQ79" s="68">
        <f t="shared" si="22"/>
        <v>3.2519915296964808E-3</v>
      </c>
      <c r="AR79" s="72">
        <f>Table1[[#This Row],[2019 Scope 3 ]]</f>
        <v>4124842</v>
      </c>
      <c r="AS79" s="71">
        <f t="shared" si="23"/>
        <v>1768</v>
      </c>
      <c r="AT79" s="51">
        <f t="shared" si="24"/>
        <v>4.2843883962865405E-4</v>
      </c>
      <c r="BI79" s="61">
        <v>14712</v>
      </c>
    </row>
    <row r="80" spans="1:61">
      <c r="A80" s="59">
        <f>companies!A80</f>
        <v>79</v>
      </c>
      <c r="B80" s="61" t="s">
        <v>1056</v>
      </c>
      <c r="C80" s="73">
        <v>2210497</v>
      </c>
      <c r="D80" s="73">
        <v>2544389</v>
      </c>
      <c r="E80" s="73">
        <v>1839862</v>
      </c>
      <c r="F80" s="73">
        <v>164210001</v>
      </c>
      <c r="G80" s="73">
        <v>247000</v>
      </c>
      <c r="H80" s="73">
        <v>495000</v>
      </c>
      <c r="I80" s="73">
        <v>0</v>
      </c>
      <c r="J80" s="73">
        <v>9000</v>
      </c>
      <c r="K80" s="73">
        <v>151042</v>
      </c>
      <c r="L80" s="73">
        <v>117000</v>
      </c>
      <c r="M80" s="62" t="s">
        <v>1096</v>
      </c>
      <c r="N80" s="62">
        <v>3700000</v>
      </c>
      <c r="O80" s="62" t="s">
        <v>1096</v>
      </c>
      <c r="P80" s="62">
        <v>199133000</v>
      </c>
      <c r="Q80" s="62">
        <v>13251000</v>
      </c>
      <c r="R80" s="73" t="s">
        <v>1096</v>
      </c>
      <c r="S80" s="62" t="s">
        <v>1096</v>
      </c>
      <c r="T80" s="62" t="s">
        <v>1096</v>
      </c>
      <c r="U80" s="62" t="s">
        <v>1096</v>
      </c>
      <c r="V80" s="62" t="s">
        <v>1096</v>
      </c>
      <c r="W80" s="62">
        <f t="shared" si="25"/>
        <v>381313043</v>
      </c>
      <c r="X80" s="73"/>
      <c r="Y80" s="73"/>
      <c r="Z80" s="73"/>
      <c r="AA80" s="73"/>
      <c r="AB80" s="73"/>
      <c r="AC80" s="73"/>
      <c r="AD80" s="62" t="s">
        <v>1096</v>
      </c>
      <c r="AE80" s="62" t="s">
        <v>1096</v>
      </c>
      <c r="AF80" s="66">
        <f>Table1[[#This Row],[2019 Scope 1 (MeT Co2)]]</f>
        <v>2210000</v>
      </c>
      <c r="AG80" s="67">
        <f t="shared" si="17"/>
        <v>497</v>
      </c>
      <c r="AH80" s="68">
        <f t="shared" si="18"/>
        <v>2.248363150911311E-4</v>
      </c>
      <c r="AK80" s="62" t="s">
        <v>1096</v>
      </c>
      <c r="AL80" s="62" t="s">
        <v>1096</v>
      </c>
      <c r="AM80" s="66">
        <f>Table1[[#This Row],[2019 Scope 2 ]]</f>
        <v>1840000</v>
      </c>
      <c r="AN80" s="67">
        <f t="shared" si="19"/>
        <v>704389</v>
      </c>
      <c r="AO80" s="68">
        <f t="shared" si="20"/>
        <v>0.27684013725888612</v>
      </c>
      <c r="AP80" s="67">
        <f t="shared" si="21"/>
        <v>138</v>
      </c>
      <c r="AQ80" s="68">
        <f t="shared" si="22"/>
        <v>7.5005625421906637E-5</v>
      </c>
      <c r="AR80" s="72">
        <f>Table1[[#This Row],[2019 Scope 3 ]]</f>
        <v>381313043</v>
      </c>
      <c r="AS80" s="71">
        <f t="shared" si="23"/>
        <v>0</v>
      </c>
      <c r="AT80" s="51">
        <f t="shared" si="24"/>
        <v>0</v>
      </c>
      <c r="BI80" s="61">
        <v>15132</v>
      </c>
    </row>
    <row r="81" spans="1:61">
      <c r="A81" s="59">
        <f>companies!A81</f>
        <v>80</v>
      </c>
      <c r="B81" s="61" t="s">
        <v>1056</v>
      </c>
      <c r="C81" s="73">
        <v>78290</v>
      </c>
      <c r="D81" s="73">
        <v>135967</v>
      </c>
      <c r="E81" s="73">
        <v>114060</v>
      </c>
      <c r="F81" s="73" t="s">
        <v>1096</v>
      </c>
      <c r="G81" s="73" t="s">
        <v>1096</v>
      </c>
      <c r="H81" s="73" t="s">
        <v>1096</v>
      </c>
      <c r="I81" s="73" t="s">
        <v>1096</v>
      </c>
      <c r="J81" s="73" t="s">
        <v>1096</v>
      </c>
      <c r="K81" s="73">
        <v>80928</v>
      </c>
      <c r="L81" s="73">
        <v>30324</v>
      </c>
      <c r="M81" s="62" t="s">
        <v>1096</v>
      </c>
      <c r="N81" s="62" t="s">
        <v>1096</v>
      </c>
      <c r="O81" s="62" t="s">
        <v>1096</v>
      </c>
      <c r="P81" s="62" t="s">
        <v>1096</v>
      </c>
      <c r="Q81" s="62" t="s">
        <v>1096</v>
      </c>
      <c r="R81" s="73" t="s">
        <v>1096</v>
      </c>
      <c r="S81" s="62" t="s">
        <v>1096</v>
      </c>
      <c r="T81" s="62" t="s">
        <v>1096</v>
      </c>
      <c r="U81" s="62" t="s">
        <v>1096</v>
      </c>
      <c r="V81" s="62" t="s">
        <v>1096</v>
      </c>
      <c r="W81" s="62">
        <f t="shared" si="25"/>
        <v>111252</v>
      </c>
      <c r="X81" s="73"/>
      <c r="Y81" s="73"/>
      <c r="Z81" s="73"/>
      <c r="AA81" s="73"/>
      <c r="AB81" s="73"/>
      <c r="AC81" s="73"/>
      <c r="AD81" s="62" t="s">
        <v>1096</v>
      </c>
      <c r="AE81" s="62" t="s">
        <v>1096</v>
      </c>
      <c r="AF81" s="66">
        <f>Table1[[#This Row],[2019 Scope 1 (MeT Co2)]]</f>
        <v>75290</v>
      </c>
      <c r="AG81" s="67">
        <f t="shared" si="17"/>
        <v>3000</v>
      </c>
      <c r="AH81" s="68">
        <f t="shared" si="18"/>
        <v>3.8319070123898326E-2</v>
      </c>
      <c r="AK81" s="62" t="s">
        <v>1096</v>
      </c>
      <c r="AL81" s="62" t="s">
        <v>1096</v>
      </c>
      <c r="AM81" s="66">
        <f>Table1[[#This Row],[2019 Scope 2 ]]</f>
        <v>114060</v>
      </c>
      <c r="AN81" s="67">
        <f t="shared" si="19"/>
        <v>21907</v>
      </c>
      <c r="AO81" s="68">
        <f t="shared" si="20"/>
        <v>0.16111997764163363</v>
      </c>
      <c r="AP81" s="67">
        <f t="shared" si="21"/>
        <v>0</v>
      </c>
      <c r="AQ81" s="68">
        <f t="shared" si="22"/>
        <v>0</v>
      </c>
      <c r="AR81" s="72">
        <f>Table1[[#This Row],[2019 Scope 3 ]]</f>
        <v>112252</v>
      </c>
      <c r="AS81" s="71">
        <f t="shared" si="23"/>
        <v>-1000</v>
      </c>
      <c r="AT81" s="51">
        <f t="shared" si="24"/>
        <v>-8.9886024520907486E-3</v>
      </c>
      <c r="BI81" s="61">
        <v>15419</v>
      </c>
    </row>
    <row r="82" spans="1:61">
      <c r="A82" s="59">
        <f>companies!A82</f>
        <v>81</v>
      </c>
      <c r="B82" s="61" t="s">
        <v>1056</v>
      </c>
      <c r="C82" s="73" t="s">
        <v>1095</v>
      </c>
      <c r="D82" s="73" t="s">
        <v>1095</v>
      </c>
      <c r="E82" s="73" t="s">
        <v>1095</v>
      </c>
      <c r="F82" s="73" t="s">
        <v>1095</v>
      </c>
      <c r="G82" s="73" t="s">
        <v>1095</v>
      </c>
      <c r="H82" s="73" t="s">
        <v>1095</v>
      </c>
      <c r="I82" s="73" t="s">
        <v>1095</v>
      </c>
      <c r="J82" s="73" t="s">
        <v>1095</v>
      </c>
      <c r="K82" s="73" t="s">
        <v>1095</v>
      </c>
      <c r="L82" s="73" t="s">
        <v>1095</v>
      </c>
      <c r="M82" s="73" t="s">
        <v>1095</v>
      </c>
      <c r="N82" s="73" t="s">
        <v>1095</v>
      </c>
      <c r="O82" s="73" t="s">
        <v>1095</v>
      </c>
      <c r="P82" s="73" t="s">
        <v>1095</v>
      </c>
      <c r="Q82" s="73" t="s">
        <v>1095</v>
      </c>
      <c r="R82" s="73" t="s">
        <v>1095</v>
      </c>
      <c r="S82" s="73" t="s">
        <v>1095</v>
      </c>
      <c r="T82" s="73" t="s">
        <v>1095</v>
      </c>
      <c r="U82" s="73" t="s">
        <v>1095</v>
      </c>
      <c r="V82" s="73" t="s">
        <v>1095</v>
      </c>
      <c r="W82" s="62">
        <f t="shared" si="25"/>
        <v>0</v>
      </c>
      <c r="X82" s="62"/>
      <c r="Y82" s="62"/>
      <c r="Z82" s="62"/>
      <c r="AA82" s="62"/>
      <c r="AB82" s="62"/>
      <c r="AC82" s="62"/>
      <c r="AD82" s="62" t="e">
        <v>#N/A</v>
      </c>
      <c r="AE82" s="62" t="e">
        <v>#N/A</v>
      </c>
      <c r="AF82" s="66">
        <f>Table1[[#This Row],[2019 Scope 1 (MeT Co2)]]</f>
        <v>612307</v>
      </c>
      <c r="AG82" s="67" t="e">
        <f t="shared" si="17"/>
        <v>#VALUE!</v>
      </c>
      <c r="AH82" s="68" t="e">
        <f t="shared" si="18"/>
        <v>#VALUE!</v>
      </c>
      <c r="AK82" s="62" t="e">
        <v>#N/A</v>
      </c>
      <c r="AL82" s="62" t="e">
        <v>#N/A</v>
      </c>
      <c r="AM82" s="66">
        <f>Table1[[#This Row],[2019 Scope 2 ]]</f>
        <v>1114227</v>
      </c>
      <c r="AN82" s="67" t="e">
        <f t="shared" si="19"/>
        <v>#VALUE!</v>
      </c>
      <c r="AO82" s="68" t="e">
        <f t="shared" si="20"/>
        <v>#VALUE!</v>
      </c>
      <c r="AP82" s="67" t="e">
        <f t="shared" si="21"/>
        <v>#VALUE!</v>
      </c>
      <c r="AQ82" s="68" t="e">
        <f t="shared" si="22"/>
        <v>#VALUE!</v>
      </c>
      <c r="AR82" s="72">
        <f>Table1[[#This Row],[2019 Scope 3 ]]</f>
        <v>11061240</v>
      </c>
      <c r="AS82" s="71">
        <f t="shared" si="23"/>
        <v>-11061240</v>
      </c>
      <c r="AT82" s="51" t="e">
        <f t="shared" si="24"/>
        <v>#DIV/0!</v>
      </c>
    </row>
    <row r="83" spans="1:61">
      <c r="A83" s="59">
        <f>companies!A83</f>
        <v>82</v>
      </c>
      <c r="B83" s="61" t="s">
        <v>1056</v>
      </c>
      <c r="C83" s="73">
        <v>5747</v>
      </c>
      <c r="D83" s="73">
        <v>290938</v>
      </c>
      <c r="E83" s="73">
        <v>134760</v>
      </c>
      <c r="F83" s="73">
        <v>550606</v>
      </c>
      <c r="G83" s="73">
        <v>149751</v>
      </c>
      <c r="H83" s="73">
        <v>25675</v>
      </c>
      <c r="I83" s="73">
        <v>4517</v>
      </c>
      <c r="J83" s="73">
        <v>221</v>
      </c>
      <c r="K83" s="73">
        <v>142000</v>
      </c>
      <c r="L83" s="73">
        <v>36000</v>
      </c>
      <c r="M83" s="62">
        <v>95321</v>
      </c>
      <c r="N83" s="62" t="s">
        <v>1096</v>
      </c>
      <c r="O83" s="62" t="s">
        <v>1096</v>
      </c>
      <c r="P83" s="62">
        <v>22020</v>
      </c>
      <c r="Q83" s="62" t="s">
        <v>1096</v>
      </c>
      <c r="R83" s="73" t="s">
        <v>1096</v>
      </c>
      <c r="S83" s="62" t="s">
        <v>1096</v>
      </c>
      <c r="T83" s="62">
        <v>1440</v>
      </c>
      <c r="U83" s="62" t="s">
        <v>1096</v>
      </c>
      <c r="V83" s="62" t="s">
        <v>1096</v>
      </c>
      <c r="W83" s="62">
        <f t="shared" si="25"/>
        <v>1027551</v>
      </c>
      <c r="X83" s="73"/>
      <c r="Y83" s="73"/>
      <c r="Z83" s="73"/>
      <c r="AA83" s="73"/>
      <c r="AB83" s="73"/>
      <c r="AC83" s="73"/>
      <c r="AD83" s="62" t="s">
        <v>1096</v>
      </c>
      <c r="AE83" s="62" t="s">
        <v>1096</v>
      </c>
      <c r="AF83" s="66">
        <f>Table1[[#This Row],[2019 Scope 1 (MeT Co2)]]</f>
        <v>5000</v>
      </c>
      <c r="AG83" s="67">
        <f t="shared" si="17"/>
        <v>747</v>
      </c>
      <c r="AH83" s="69">
        <f t="shared" si="18"/>
        <v>0.12998085957891073</v>
      </c>
      <c r="AK83" s="62" t="s">
        <v>1096</v>
      </c>
      <c r="AL83" s="62" t="s">
        <v>1096</v>
      </c>
      <c r="AM83" s="66">
        <f>Table1[[#This Row],[2019 Scope 2 ]]</f>
        <v>291000</v>
      </c>
      <c r="AN83" s="67">
        <f t="shared" si="19"/>
        <v>-62</v>
      </c>
      <c r="AO83" s="69">
        <f t="shared" si="20"/>
        <v>-2.131038228076085E-4</v>
      </c>
      <c r="AP83" s="67">
        <f t="shared" si="21"/>
        <v>156240</v>
      </c>
      <c r="AQ83" s="69">
        <f t="shared" si="22"/>
        <v>1.1593944790739092</v>
      </c>
      <c r="AR83" s="72">
        <f>Table1[[#This Row],[2019 Scope 3 ]]</f>
        <v>181000</v>
      </c>
      <c r="AS83" s="71">
        <f t="shared" si="23"/>
        <v>846551</v>
      </c>
      <c r="AT83" s="51">
        <f t="shared" si="24"/>
        <v>0.82385302529996074</v>
      </c>
      <c r="BI83" s="61">
        <v>16158</v>
      </c>
    </row>
    <row r="84" spans="1:61">
      <c r="A84" s="59">
        <f>companies!A84</f>
        <v>83</v>
      </c>
      <c r="B84" s="61" t="s">
        <v>1056</v>
      </c>
      <c r="C84" s="73" t="s">
        <v>1095</v>
      </c>
      <c r="D84" s="73" t="s">
        <v>1095</v>
      </c>
      <c r="E84" s="73" t="s">
        <v>1095</v>
      </c>
      <c r="F84" s="73" t="s">
        <v>1095</v>
      </c>
      <c r="G84" s="73" t="s">
        <v>1095</v>
      </c>
      <c r="H84" s="73" t="s">
        <v>1095</v>
      </c>
      <c r="I84" s="73" t="s">
        <v>1095</v>
      </c>
      <c r="J84" s="73" t="s">
        <v>1095</v>
      </c>
      <c r="K84" s="73" t="s">
        <v>1095</v>
      </c>
      <c r="L84" s="73" t="s">
        <v>1095</v>
      </c>
      <c r="M84" s="73" t="s">
        <v>1095</v>
      </c>
      <c r="N84" s="73" t="s">
        <v>1095</v>
      </c>
      <c r="O84" s="73" t="s">
        <v>1095</v>
      </c>
      <c r="P84" s="73" t="s">
        <v>1095</v>
      </c>
      <c r="Q84" s="73" t="s">
        <v>1095</v>
      </c>
      <c r="R84" s="73" t="s">
        <v>1095</v>
      </c>
      <c r="S84" s="73" t="s">
        <v>1095</v>
      </c>
      <c r="T84" s="73" t="s">
        <v>1095</v>
      </c>
      <c r="U84" s="73" t="s">
        <v>1095</v>
      </c>
      <c r="V84" s="73" t="s">
        <v>1095</v>
      </c>
      <c r="W84" s="62">
        <f t="shared" si="25"/>
        <v>0</v>
      </c>
      <c r="X84" s="62"/>
      <c r="Y84" s="62"/>
      <c r="Z84" s="62"/>
      <c r="AA84" s="62"/>
      <c r="AB84" s="62"/>
      <c r="AC84" s="62"/>
      <c r="AD84" s="62" t="e">
        <v>#N/A</v>
      </c>
      <c r="AE84" s="62" t="e">
        <v>#N/A</v>
      </c>
      <c r="AF84" s="66" t="str">
        <f>Table1[[#This Row],[2019 Scope 1 (MeT Co2)]]</f>
        <v>NR</v>
      </c>
      <c r="AG84" s="67" t="e">
        <f t="shared" si="17"/>
        <v>#VALUE!</v>
      </c>
      <c r="AH84" s="68" t="e">
        <f t="shared" si="18"/>
        <v>#VALUE!</v>
      </c>
      <c r="AK84" s="62" t="e">
        <v>#N/A</v>
      </c>
      <c r="AL84" s="62" t="e">
        <v>#N/A</v>
      </c>
      <c r="AM84" s="66" t="str">
        <f>Table1[[#This Row],[2019 Scope 2 ]]</f>
        <v>NR</v>
      </c>
      <c r="AN84" s="67" t="e">
        <f t="shared" si="19"/>
        <v>#VALUE!</v>
      </c>
      <c r="AO84" s="68" t="e">
        <f t="shared" si="20"/>
        <v>#VALUE!</v>
      </c>
      <c r="AP84" s="67" t="e">
        <f t="shared" si="21"/>
        <v>#VALUE!</v>
      </c>
      <c r="AQ84" s="68" t="e">
        <f t="shared" si="22"/>
        <v>#VALUE!</v>
      </c>
      <c r="AR84" s="72" t="str">
        <f>Table1[[#This Row],[2019 Scope 3 ]]</f>
        <v>NR</v>
      </c>
      <c r="AS84" s="71" t="e">
        <f t="shared" si="23"/>
        <v>#VALUE!</v>
      </c>
      <c r="AT84" s="51" t="e">
        <f t="shared" si="24"/>
        <v>#VALUE!</v>
      </c>
    </row>
    <row r="85" spans="1:61">
      <c r="A85" s="59">
        <f>companies!A85</f>
        <v>84</v>
      </c>
      <c r="B85" s="61" t="s">
        <v>1056</v>
      </c>
      <c r="C85" s="73">
        <v>16863.186000000002</v>
      </c>
      <c r="D85" s="73">
        <v>249714.82</v>
      </c>
      <c r="E85" s="73">
        <v>249714.82</v>
      </c>
      <c r="F85" s="73" t="s">
        <v>1096</v>
      </c>
      <c r="G85" s="73" t="s">
        <v>1096</v>
      </c>
      <c r="H85" s="73">
        <v>11746</v>
      </c>
      <c r="I85" s="73" t="s">
        <v>1096</v>
      </c>
      <c r="J85" s="73">
        <v>136900</v>
      </c>
      <c r="K85" s="73">
        <v>5154</v>
      </c>
      <c r="L85" s="73">
        <v>6531</v>
      </c>
      <c r="M85" s="62" t="s">
        <v>1096</v>
      </c>
      <c r="N85" s="62" t="s">
        <v>1096</v>
      </c>
      <c r="O85" s="62" t="s">
        <v>1096</v>
      </c>
      <c r="P85" s="62" t="s">
        <v>1096</v>
      </c>
      <c r="Q85" s="62" t="s">
        <v>1096</v>
      </c>
      <c r="R85" s="73">
        <v>419157</v>
      </c>
      <c r="S85" s="62" t="s">
        <v>1096</v>
      </c>
      <c r="T85" s="62" t="s">
        <v>1096</v>
      </c>
      <c r="U85" s="62" t="s">
        <v>1096</v>
      </c>
      <c r="V85" s="62" t="s">
        <v>1096</v>
      </c>
      <c r="W85" s="62">
        <f t="shared" si="25"/>
        <v>579488</v>
      </c>
      <c r="X85" s="62"/>
      <c r="Y85" s="62"/>
      <c r="Z85" s="62"/>
      <c r="AA85" s="62"/>
      <c r="AB85" s="62"/>
      <c r="AC85" s="62"/>
      <c r="AD85" s="62" t="s">
        <v>1064</v>
      </c>
      <c r="AE85" s="62" t="s">
        <v>1065</v>
      </c>
      <c r="AF85" s="66">
        <f>Table1[[#This Row],[2019 Scope 1 (MeT Co2)]]</f>
        <v>16863.186000000002</v>
      </c>
      <c r="AG85" s="67">
        <f t="shared" si="17"/>
        <v>0</v>
      </c>
      <c r="AH85" s="68">
        <f t="shared" si="18"/>
        <v>0</v>
      </c>
      <c r="AK85" s="62" t="s">
        <v>1064</v>
      </c>
      <c r="AL85" s="62" t="s">
        <v>1065</v>
      </c>
      <c r="AM85" s="66">
        <f>Table1[[#This Row],[2019 Scope 2 ]]</f>
        <v>249714.82</v>
      </c>
      <c r="AN85" s="67">
        <f t="shared" si="19"/>
        <v>0</v>
      </c>
      <c r="AO85" s="68">
        <f t="shared" si="20"/>
        <v>0</v>
      </c>
      <c r="AP85" s="67">
        <f t="shared" si="21"/>
        <v>0</v>
      </c>
      <c r="AQ85" s="68">
        <f t="shared" si="22"/>
        <v>0</v>
      </c>
      <c r="AR85" s="72">
        <f>Table1[[#This Row],[2019 Scope 3 ]]</f>
        <v>579588</v>
      </c>
      <c r="AS85" s="71">
        <f t="shared" si="23"/>
        <v>-100</v>
      </c>
      <c r="AT85" s="51">
        <f t="shared" si="24"/>
        <v>-1.7256612733999668E-4</v>
      </c>
      <c r="BI85" s="58">
        <v>17069</v>
      </c>
    </row>
    <row r="86" spans="1:61">
      <c r="A86" s="59">
        <f>companies!A86</f>
        <v>85</v>
      </c>
      <c r="B86" s="61" t="s">
        <v>1056</v>
      </c>
      <c r="C86" s="73">
        <v>88213565</v>
      </c>
      <c r="D86" s="73">
        <v>36845</v>
      </c>
      <c r="E86" s="73">
        <v>35568</v>
      </c>
      <c r="F86" s="73" t="s">
        <v>1096</v>
      </c>
      <c r="G86" s="73" t="s">
        <v>1096</v>
      </c>
      <c r="H86" s="73">
        <v>3423778</v>
      </c>
      <c r="I86" s="73" t="s">
        <v>1096</v>
      </c>
      <c r="J86" s="73" t="s">
        <v>1096</v>
      </c>
      <c r="K86" s="73" t="s">
        <v>1096</v>
      </c>
      <c r="L86" s="73" t="s">
        <v>1096</v>
      </c>
      <c r="M86" s="62">
        <v>88879</v>
      </c>
      <c r="N86" s="62" t="s">
        <v>1096</v>
      </c>
      <c r="O86" s="62" t="s">
        <v>1096</v>
      </c>
      <c r="P86" s="62">
        <v>35260791</v>
      </c>
      <c r="Q86" s="62" t="s">
        <v>1096</v>
      </c>
      <c r="R86" s="73" t="s">
        <v>1096</v>
      </c>
      <c r="S86" s="62" t="s">
        <v>1096</v>
      </c>
      <c r="T86" s="62" t="s">
        <v>1096</v>
      </c>
      <c r="U86" s="62" t="s">
        <v>1096</v>
      </c>
      <c r="V86" s="62" t="s">
        <v>1096</v>
      </c>
      <c r="W86" s="62">
        <f t="shared" si="25"/>
        <v>38773448</v>
      </c>
      <c r="X86" s="73"/>
      <c r="Y86" s="73"/>
      <c r="Z86" s="73"/>
      <c r="AA86" s="73"/>
      <c r="AB86" s="73"/>
      <c r="AC86" s="73"/>
      <c r="AD86" s="62" t="s">
        <v>1096</v>
      </c>
      <c r="AE86" s="62" t="s">
        <v>1096</v>
      </c>
      <c r="AF86" s="66">
        <f>Table1[[#This Row],[2019 Scope 1 (MeT Co2)]]</f>
        <v>88213565</v>
      </c>
      <c r="AG86" s="67">
        <f t="shared" si="17"/>
        <v>0</v>
      </c>
      <c r="AH86" s="68">
        <f t="shared" si="18"/>
        <v>0</v>
      </c>
      <c r="AK86" s="62" t="s">
        <v>1096</v>
      </c>
      <c r="AL86" s="62" t="s">
        <v>1096</v>
      </c>
      <c r="AM86" s="66">
        <f>Table1[[#This Row],[2019 Scope 2 ]]</f>
        <v>35568</v>
      </c>
      <c r="AN86" s="67">
        <f t="shared" si="19"/>
        <v>1277</v>
      </c>
      <c r="AO86" s="68">
        <f t="shared" si="20"/>
        <v>3.4658705387433847E-2</v>
      </c>
      <c r="AP86" s="67">
        <f t="shared" si="21"/>
        <v>0</v>
      </c>
      <c r="AQ86" s="68">
        <f t="shared" si="22"/>
        <v>0</v>
      </c>
      <c r="AR86" s="72">
        <f>Table1[[#This Row],[2019 Scope 3 ]]</f>
        <v>38773448</v>
      </c>
      <c r="AS86" s="71">
        <f t="shared" si="23"/>
        <v>0</v>
      </c>
      <c r="AT86" s="51">
        <f t="shared" si="24"/>
        <v>0</v>
      </c>
      <c r="BI86" s="58">
        <v>18951</v>
      </c>
    </row>
    <row r="87" spans="1:61">
      <c r="A87" s="59">
        <f>companies!A87</f>
        <v>86</v>
      </c>
      <c r="B87" s="61" t="s">
        <v>1056</v>
      </c>
      <c r="C87" s="73">
        <v>381198.61</v>
      </c>
      <c r="D87" s="73">
        <v>790373.35</v>
      </c>
      <c r="E87" s="73">
        <v>281700.89</v>
      </c>
      <c r="F87" s="73">
        <v>8844532.7100000009</v>
      </c>
      <c r="G87" s="73">
        <v>1549767.91</v>
      </c>
      <c r="H87" s="73">
        <v>1339261.73</v>
      </c>
      <c r="I87" s="73">
        <v>544171.31000000006</v>
      </c>
      <c r="J87" s="73">
        <v>1022025.11</v>
      </c>
      <c r="K87" s="73">
        <v>19035.53</v>
      </c>
      <c r="L87" s="73">
        <v>821116.5</v>
      </c>
      <c r="M87" s="62" t="s">
        <v>1096</v>
      </c>
      <c r="N87" s="62" t="s">
        <v>1096</v>
      </c>
      <c r="O87" s="62">
        <v>62449.06</v>
      </c>
      <c r="P87" s="62">
        <v>149443.20000000001</v>
      </c>
      <c r="Q87" s="62">
        <v>612189.99</v>
      </c>
      <c r="R87" s="73" t="s">
        <v>1096</v>
      </c>
      <c r="S87" s="62" t="s">
        <v>1096</v>
      </c>
      <c r="T87" s="62" t="s">
        <v>1096</v>
      </c>
      <c r="U87" s="62" t="s">
        <v>1096</v>
      </c>
      <c r="V87" s="62" t="s">
        <v>1096</v>
      </c>
      <c r="W87" s="62">
        <f t="shared" si="25"/>
        <v>14963993.050000001</v>
      </c>
      <c r="X87" s="62"/>
      <c r="Y87" s="62"/>
      <c r="Z87" s="62"/>
      <c r="AA87" s="62"/>
      <c r="AB87" s="62"/>
      <c r="AC87" s="62"/>
      <c r="AD87" s="62" t="s">
        <v>1096</v>
      </c>
      <c r="AE87" s="62" t="s">
        <v>1096</v>
      </c>
      <c r="AF87" s="66">
        <f>Table1[[#This Row],[2019 Scope 1 (MeT Co2)]]</f>
        <v>381198.61</v>
      </c>
      <c r="AG87" s="67">
        <f t="shared" si="17"/>
        <v>0</v>
      </c>
      <c r="AH87" s="68">
        <f t="shared" si="18"/>
        <v>0</v>
      </c>
      <c r="AK87" s="62" t="s">
        <v>1096</v>
      </c>
      <c r="AL87" s="62" t="s">
        <v>1096</v>
      </c>
      <c r="AM87" s="66">
        <f>Table1[[#This Row],[2019 Scope 2 ]]</f>
        <v>281700.89</v>
      </c>
      <c r="AN87" s="67">
        <f t="shared" si="19"/>
        <v>508672.45999999996</v>
      </c>
      <c r="AO87" s="68">
        <f t="shared" si="20"/>
        <v>0.64358503484460849</v>
      </c>
      <c r="AP87" s="67">
        <f t="shared" si="21"/>
        <v>0</v>
      </c>
      <c r="AQ87" s="68">
        <f t="shared" si="22"/>
        <v>0</v>
      </c>
      <c r="AR87" s="72">
        <f>Table1[[#This Row],[2019 Scope 3 ]]</f>
        <v>14963993.050000001</v>
      </c>
      <c r="AS87" s="71">
        <f t="shared" si="23"/>
        <v>0</v>
      </c>
      <c r="AT87" s="51">
        <f t="shared" si="24"/>
        <v>0</v>
      </c>
      <c r="BI87" s="58">
        <v>17652</v>
      </c>
    </row>
    <row r="88" spans="1:61">
      <c r="A88" s="59">
        <f>companies!A88</f>
        <v>87</v>
      </c>
      <c r="B88" s="61" t="s">
        <v>1056</v>
      </c>
      <c r="C88" s="73">
        <v>752552</v>
      </c>
      <c r="D88" s="73">
        <v>1680682</v>
      </c>
      <c r="E88" s="73">
        <v>1545898</v>
      </c>
      <c r="F88" s="73">
        <v>27389000</v>
      </c>
      <c r="G88" s="73">
        <v>743000</v>
      </c>
      <c r="H88" s="73">
        <v>509000</v>
      </c>
      <c r="I88" s="73">
        <v>1655000</v>
      </c>
      <c r="J88" s="73">
        <v>271000</v>
      </c>
      <c r="K88" s="73">
        <v>22000</v>
      </c>
      <c r="L88" s="73">
        <v>585000</v>
      </c>
      <c r="M88" s="62" t="s">
        <v>1096</v>
      </c>
      <c r="N88" s="62">
        <v>5672000</v>
      </c>
      <c r="O88" s="62" t="s">
        <v>1096</v>
      </c>
      <c r="P88" s="62">
        <v>12897000</v>
      </c>
      <c r="Q88" s="62">
        <v>2306000</v>
      </c>
      <c r="R88" s="73" t="s">
        <v>1096</v>
      </c>
      <c r="S88" s="62" t="s">
        <v>1096</v>
      </c>
      <c r="T88" s="62" t="s">
        <v>1096</v>
      </c>
      <c r="U88" s="62" t="s">
        <v>1096</v>
      </c>
      <c r="V88" s="62" t="s">
        <v>1096</v>
      </c>
      <c r="W88" s="62">
        <f t="shared" si="25"/>
        <v>52049000</v>
      </c>
      <c r="X88" s="73"/>
      <c r="Y88" s="73"/>
      <c r="Z88" s="73"/>
      <c r="AA88" s="73"/>
      <c r="AB88" s="73"/>
      <c r="AC88" s="73"/>
      <c r="AD88" s="62" t="s">
        <v>1096</v>
      </c>
      <c r="AE88" s="62" t="s">
        <v>1096</v>
      </c>
      <c r="AF88" s="66">
        <f>Table1[[#This Row],[2019 Scope 1 (MeT Co2)]]</f>
        <v>752552</v>
      </c>
      <c r="AG88" s="67">
        <f t="shared" si="17"/>
        <v>0</v>
      </c>
      <c r="AH88" s="68">
        <f t="shared" si="18"/>
        <v>0</v>
      </c>
      <c r="AK88" s="62" t="s">
        <v>1096</v>
      </c>
      <c r="AL88" s="62" t="s">
        <v>1096</v>
      </c>
      <c r="AM88" s="66">
        <f>Table1[[#This Row],[2019 Scope 2 ]]</f>
        <v>1545898</v>
      </c>
      <c r="AN88" s="67">
        <f t="shared" si="19"/>
        <v>134784</v>
      </c>
      <c r="AO88" s="68">
        <f t="shared" si="20"/>
        <v>8.0196015665069301E-2</v>
      </c>
      <c r="AP88" s="67">
        <f t="shared" si="21"/>
        <v>0</v>
      </c>
      <c r="AQ88" s="68">
        <f t="shared" si="22"/>
        <v>0</v>
      </c>
      <c r="AR88" s="72">
        <f>Table1[[#This Row],[2019 Scope 3 ]]</f>
        <v>52049000</v>
      </c>
      <c r="AS88" s="71">
        <f t="shared" si="23"/>
        <v>0</v>
      </c>
      <c r="AT88" s="51">
        <f t="shared" si="24"/>
        <v>0</v>
      </c>
      <c r="BI88" s="58">
        <v>18320</v>
      </c>
    </row>
    <row r="89" spans="1:61">
      <c r="A89" s="59">
        <f>companies!A89</f>
        <v>88</v>
      </c>
      <c r="B89" s="61" t="s">
        <v>1056</v>
      </c>
      <c r="C89" s="73">
        <v>966579</v>
      </c>
      <c r="D89" s="73">
        <v>1054751</v>
      </c>
      <c r="E89" s="73">
        <v>13430</v>
      </c>
      <c r="F89" s="73" t="s">
        <v>1096</v>
      </c>
      <c r="G89" s="73" t="s">
        <v>1096</v>
      </c>
      <c r="H89" s="73" t="s">
        <v>1096</v>
      </c>
      <c r="I89" s="73" t="s">
        <v>1096</v>
      </c>
      <c r="J89" s="73" t="s">
        <v>1096</v>
      </c>
      <c r="K89" s="73">
        <v>27544</v>
      </c>
      <c r="L89" s="73" t="s">
        <v>1096</v>
      </c>
      <c r="M89" s="62" t="s">
        <v>1096</v>
      </c>
      <c r="N89" s="62" t="s">
        <v>1096</v>
      </c>
      <c r="O89" s="62" t="s">
        <v>1096</v>
      </c>
      <c r="P89" s="62" t="s">
        <v>1096</v>
      </c>
      <c r="Q89" s="62" t="s">
        <v>1096</v>
      </c>
      <c r="R89" s="73" t="s">
        <v>1096</v>
      </c>
      <c r="S89" s="62" t="s">
        <v>1096</v>
      </c>
      <c r="T89" s="62" t="s">
        <v>1096</v>
      </c>
      <c r="U89" s="62" t="s">
        <v>1096</v>
      </c>
      <c r="V89" s="62" t="s">
        <v>1096</v>
      </c>
      <c r="W89" s="62">
        <f t="shared" si="25"/>
        <v>27544</v>
      </c>
      <c r="X89" s="73"/>
      <c r="Y89" s="73"/>
      <c r="Z89" s="73"/>
      <c r="AA89" s="73"/>
      <c r="AB89" s="73"/>
      <c r="AC89" s="73"/>
      <c r="AD89" s="62" t="s">
        <v>1096</v>
      </c>
      <c r="AE89" s="62" t="s">
        <v>1096</v>
      </c>
      <c r="AF89" s="66">
        <f>Table1[[#This Row],[2019 Scope 1 (MeT Co2)]]</f>
        <v>966579</v>
      </c>
      <c r="AG89" s="67">
        <f t="shared" si="17"/>
        <v>0</v>
      </c>
      <c r="AH89" s="68">
        <f t="shared" si="18"/>
        <v>0</v>
      </c>
      <c r="AK89" s="62" t="s">
        <v>1096</v>
      </c>
      <c r="AL89" s="62" t="s">
        <v>1096</v>
      </c>
      <c r="AM89" s="66">
        <f>Table1[[#This Row],[2019 Scope 2 ]]</f>
        <v>13430</v>
      </c>
      <c r="AN89" s="67">
        <f t="shared" si="19"/>
        <v>1041321</v>
      </c>
      <c r="AO89" s="68">
        <f t="shared" si="20"/>
        <v>0.98726713698304147</v>
      </c>
      <c r="AP89" s="67">
        <f t="shared" si="21"/>
        <v>0</v>
      </c>
      <c r="AQ89" s="68">
        <f t="shared" si="22"/>
        <v>0</v>
      </c>
      <c r="AR89" s="72" t="str">
        <f>Table1[[#This Row],[2019 Scope 3 ]]</f>
        <v>NR</v>
      </c>
      <c r="AS89" s="71" t="e">
        <f t="shared" si="23"/>
        <v>#VALUE!</v>
      </c>
      <c r="AT89" s="51" t="e">
        <f t="shared" si="24"/>
        <v>#VALUE!</v>
      </c>
      <c r="BI89" s="58">
        <v>18640</v>
      </c>
    </row>
    <row r="90" spans="1:61">
      <c r="A90" s="59">
        <f>companies!A90</f>
        <v>89</v>
      </c>
      <c r="B90" s="61" t="s">
        <v>1056</v>
      </c>
      <c r="C90" s="73">
        <v>8102</v>
      </c>
      <c r="D90" s="73">
        <v>130205</v>
      </c>
      <c r="E90" s="73">
        <v>3397</v>
      </c>
      <c r="F90" s="73">
        <v>292735</v>
      </c>
      <c r="G90" s="73">
        <v>37090</v>
      </c>
      <c r="H90" s="73">
        <v>12987</v>
      </c>
      <c r="I90" s="73">
        <v>1719</v>
      </c>
      <c r="J90" s="73">
        <v>638</v>
      </c>
      <c r="K90" s="73">
        <v>14605</v>
      </c>
      <c r="L90" s="73">
        <v>72090</v>
      </c>
      <c r="M90" s="62" t="s">
        <v>1096</v>
      </c>
      <c r="N90" s="62" t="s">
        <v>1096</v>
      </c>
      <c r="O90" s="62" t="s">
        <v>1096</v>
      </c>
      <c r="P90" s="62" t="s">
        <v>1096</v>
      </c>
      <c r="Q90" s="62" t="s">
        <v>1096</v>
      </c>
      <c r="R90" s="73">
        <v>3095</v>
      </c>
      <c r="S90" s="62" t="s">
        <v>1096</v>
      </c>
      <c r="T90" s="62" t="s">
        <v>1096</v>
      </c>
      <c r="U90" s="62" t="s">
        <v>1096</v>
      </c>
      <c r="V90" s="62" t="s">
        <v>1096</v>
      </c>
      <c r="W90" s="62">
        <f t="shared" si="25"/>
        <v>434959</v>
      </c>
      <c r="X90" s="73"/>
      <c r="Y90" s="73"/>
      <c r="Z90" s="73"/>
      <c r="AA90" s="73"/>
      <c r="AB90" s="73"/>
      <c r="AC90" s="73"/>
      <c r="AD90" s="62" t="s">
        <v>1096</v>
      </c>
      <c r="AE90" s="62" t="s">
        <v>1096</v>
      </c>
      <c r="AF90" s="66">
        <f>Table1[[#This Row],[2019 Scope 1 (MeT Co2)]]</f>
        <v>8102</v>
      </c>
      <c r="AG90" s="67">
        <f t="shared" si="17"/>
        <v>0</v>
      </c>
      <c r="AH90" s="68">
        <f t="shared" si="18"/>
        <v>0</v>
      </c>
      <c r="AK90" s="62" t="s">
        <v>1096</v>
      </c>
      <c r="AL90" s="62" t="s">
        <v>1096</v>
      </c>
      <c r="AM90" s="66">
        <f>Table1[[#This Row],[2019 Scope 2 ]]</f>
        <v>3397</v>
      </c>
      <c r="AN90" s="67">
        <f t="shared" si="19"/>
        <v>126808</v>
      </c>
      <c r="AO90" s="68">
        <f t="shared" si="20"/>
        <v>0.97391037210552589</v>
      </c>
      <c r="AP90" s="67">
        <f t="shared" si="21"/>
        <v>0</v>
      </c>
      <c r="AQ90" s="68">
        <f t="shared" si="22"/>
        <v>0</v>
      </c>
      <c r="AR90" s="72">
        <f>Table1[[#This Row],[2019 Scope 3 ]]</f>
        <v>14605</v>
      </c>
      <c r="AS90" s="71">
        <f t="shared" si="23"/>
        <v>420354</v>
      </c>
      <c r="AT90" s="51">
        <f t="shared" si="24"/>
        <v>0.96642212254488358</v>
      </c>
      <c r="BI90" s="58">
        <v>1464</v>
      </c>
    </row>
    <row r="91" spans="1:61">
      <c r="A91" s="59">
        <f>companies!A91</f>
        <v>90</v>
      </c>
      <c r="B91" s="61" t="s">
        <v>1056</v>
      </c>
      <c r="C91" s="73">
        <v>855073</v>
      </c>
      <c r="D91" s="73">
        <v>1010307</v>
      </c>
      <c r="E91" s="73">
        <v>931544</v>
      </c>
      <c r="F91" s="73" t="s">
        <v>1096</v>
      </c>
      <c r="G91" s="73" t="s">
        <v>1096</v>
      </c>
      <c r="H91" s="73" t="s">
        <v>1096</v>
      </c>
      <c r="I91" s="73" t="s">
        <v>1096</v>
      </c>
      <c r="J91" s="73" t="s">
        <v>1096</v>
      </c>
      <c r="K91" s="73" t="s">
        <v>1096</v>
      </c>
      <c r="L91" s="73" t="s">
        <v>1096</v>
      </c>
      <c r="M91" s="62" t="s">
        <v>1096</v>
      </c>
      <c r="N91" s="62" t="s">
        <v>1096</v>
      </c>
      <c r="O91" s="62" t="s">
        <v>1096</v>
      </c>
      <c r="P91" s="62" t="s">
        <v>1096</v>
      </c>
      <c r="Q91" s="62" t="s">
        <v>1096</v>
      </c>
      <c r="R91" s="73" t="s">
        <v>1096</v>
      </c>
      <c r="S91" s="62" t="s">
        <v>1096</v>
      </c>
      <c r="T91" s="62" t="s">
        <v>1096</v>
      </c>
      <c r="U91" s="62" t="s">
        <v>1096</v>
      </c>
      <c r="V91" s="62" t="s">
        <v>1096</v>
      </c>
      <c r="W91" s="62">
        <f t="shared" si="25"/>
        <v>0</v>
      </c>
      <c r="X91" s="73"/>
      <c r="Y91" s="73"/>
      <c r="Z91" s="73"/>
      <c r="AA91" s="73"/>
      <c r="AB91" s="73"/>
      <c r="AC91" s="73"/>
      <c r="AD91" s="62" t="s">
        <v>1096</v>
      </c>
      <c r="AE91" s="62" t="s">
        <v>1096</v>
      </c>
      <c r="AF91" s="66">
        <f>Table1[[#This Row],[2019 Scope 1 (MeT Co2)]]</f>
        <v>855073</v>
      </c>
      <c r="AG91" s="67">
        <f t="shared" si="17"/>
        <v>0</v>
      </c>
      <c r="AH91" s="68">
        <f t="shared" si="18"/>
        <v>0</v>
      </c>
      <c r="AK91" s="62" t="s">
        <v>1096</v>
      </c>
      <c r="AL91" s="62" t="s">
        <v>1096</v>
      </c>
      <c r="AM91" s="66">
        <f>Table1[[#This Row],[2019 Scope 2 ]]</f>
        <v>931544</v>
      </c>
      <c r="AN91" s="67">
        <f t="shared" si="19"/>
        <v>78763</v>
      </c>
      <c r="AO91" s="68">
        <f t="shared" si="20"/>
        <v>7.7959471724931131E-2</v>
      </c>
      <c r="AP91" s="67">
        <f t="shared" si="21"/>
        <v>0</v>
      </c>
      <c r="AQ91" s="68">
        <f t="shared" si="22"/>
        <v>0</v>
      </c>
      <c r="AR91" s="72" t="str">
        <f>Table1[[#This Row],[2019 Scope 3 ]]</f>
        <v>NR</v>
      </c>
      <c r="AS91" s="71" t="e">
        <f t="shared" si="23"/>
        <v>#VALUE!</v>
      </c>
      <c r="AT91" s="51" t="e">
        <f t="shared" si="24"/>
        <v>#VALUE!</v>
      </c>
      <c r="BI91" s="58">
        <v>20384</v>
      </c>
    </row>
    <row r="92" spans="1:61">
      <c r="A92" s="59">
        <f>companies!A92</f>
        <v>91</v>
      </c>
      <c r="B92" s="61" t="s">
        <v>1056</v>
      </c>
      <c r="C92" s="73" t="s">
        <v>1095</v>
      </c>
      <c r="D92" s="73" t="s">
        <v>1095</v>
      </c>
      <c r="E92" s="73" t="s">
        <v>1095</v>
      </c>
      <c r="F92" s="73" t="s">
        <v>1095</v>
      </c>
      <c r="G92" s="73" t="s">
        <v>1095</v>
      </c>
      <c r="H92" s="73" t="s">
        <v>1095</v>
      </c>
      <c r="I92" s="73" t="s">
        <v>1095</v>
      </c>
      <c r="J92" s="73" t="s">
        <v>1095</v>
      </c>
      <c r="K92" s="73" t="s">
        <v>1095</v>
      </c>
      <c r="L92" s="73" t="s">
        <v>1095</v>
      </c>
      <c r="M92" s="73" t="s">
        <v>1095</v>
      </c>
      <c r="N92" s="73" t="s">
        <v>1095</v>
      </c>
      <c r="O92" s="73" t="s">
        <v>1095</v>
      </c>
      <c r="P92" s="73" t="s">
        <v>1095</v>
      </c>
      <c r="Q92" s="73" t="s">
        <v>1095</v>
      </c>
      <c r="R92" s="73" t="s">
        <v>1095</v>
      </c>
      <c r="S92" s="73" t="s">
        <v>1095</v>
      </c>
      <c r="T92" s="73" t="s">
        <v>1095</v>
      </c>
      <c r="U92" s="73" t="s">
        <v>1095</v>
      </c>
      <c r="V92" s="73" t="s">
        <v>1095</v>
      </c>
      <c r="W92" s="62">
        <f t="shared" si="25"/>
        <v>0</v>
      </c>
      <c r="X92" s="62"/>
      <c r="Y92" s="62"/>
      <c r="Z92" s="62"/>
      <c r="AA92" s="62"/>
      <c r="AB92" s="62"/>
      <c r="AC92" s="62"/>
      <c r="AD92" s="62" t="e">
        <v>#N/A</v>
      </c>
      <c r="AE92" s="62" t="e">
        <v>#N/A</v>
      </c>
      <c r="AF92" s="66" t="str">
        <f>Table1[[#This Row],[2019 Scope 1 (MeT Co2)]]</f>
        <v>NR</v>
      </c>
      <c r="AG92" s="67" t="e">
        <f t="shared" si="17"/>
        <v>#VALUE!</v>
      </c>
      <c r="AH92" s="68" t="e">
        <f t="shared" si="18"/>
        <v>#VALUE!</v>
      </c>
      <c r="AK92" s="62" t="e">
        <v>#N/A</v>
      </c>
      <c r="AL92" s="62" t="e">
        <v>#N/A</v>
      </c>
      <c r="AM92" s="66" t="str">
        <f>Table1[[#This Row],[2019 Scope 2 ]]</f>
        <v>NR</v>
      </c>
      <c r="AN92" s="67" t="e">
        <f t="shared" si="19"/>
        <v>#VALUE!</v>
      </c>
      <c r="AO92" s="68" t="e">
        <f t="shared" si="20"/>
        <v>#VALUE!</v>
      </c>
      <c r="AP92" s="67" t="e">
        <f t="shared" si="21"/>
        <v>#VALUE!</v>
      </c>
      <c r="AQ92" s="68" t="e">
        <f t="shared" si="22"/>
        <v>#VALUE!</v>
      </c>
      <c r="AR92" s="72" t="str">
        <f>Table1[[#This Row],[2019 Scope 3 ]]</f>
        <v>NR</v>
      </c>
      <c r="AS92" s="71" t="e">
        <f t="shared" si="23"/>
        <v>#VALUE!</v>
      </c>
      <c r="AT92" s="51" t="e">
        <f t="shared" si="24"/>
        <v>#VALUE!</v>
      </c>
    </row>
    <row r="93" spans="1:61">
      <c r="A93" s="59">
        <f>companies!A93</f>
        <v>92</v>
      </c>
      <c r="B93" s="61" t="s">
        <v>1056</v>
      </c>
      <c r="C93" s="73">
        <v>10066595</v>
      </c>
      <c r="D93" s="73">
        <v>344024</v>
      </c>
      <c r="E93" s="73">
        <v>314075</v>
      </c>
      <c r="F93" s="73">
        <v>11587</v>
      </c>
      <c r="G93" s="73">
        <v>197684</v>
      </c>
      <c r="H93" s="73">
        <v>2486703</v>
      </c>
      <c r="I93" s="73">
        <v>7967</v>
      </c>
      <c r="J93" s="73">
        <v>452268</v>
      </c>
      <c r="K93" s="73">
        <v>15499</v>
      </c>
      <c r="L93" s="73">
        <v>3712</v>
      </c>
      <c r="M93" s="62" t="s">
        <v>1096</v>
      </c>
      <c r="N93" s="62" t="s">
        <v>1096</v>
      </c>
      <c r="O93" s="62" t="s">
        <v>1096</v>
      </c>
      <c r="P93" s="62" t="s">
        <v>1096</v>
      </c>
      <c r="Q93" s="62" t="s">
        <v>1096</v>
      </c>
      <c r="R93" s="73" t="s">
        <v>1096</v>
      </c>
      <c r="S93" s="62" t="s">
        <v>1096</v>
      </c>
      <c r="T93" s="62" t="s">
        <v>1096</v>
      </c>
      <c r="U93" s="62" t="s">
        <v>1096</v>
      </c>
      <c r="V93" s="62" t="s">
        <v>1096</v>
      </c>
      <c r="W93" s="62">
        <f t="shared" si="25"/>
        <v>3175420</v>
      </c>
      <c r="X93" s="73"/>
      <c r="Y93" s="73"/>
      <c r="Z93" s="73"/>
      <c r="AA93" s="73"/>
      <c r="AB93" s="73"/>
      <c r="AC93" s="73"/>
      <c r="AD93" s="62" t="s">
        <v>1096</v>
      </c>
      <c r="AE93" s="62" t="s">
        <v>1096</v>
      </c>
      <c r="AF93" s="66">
        <f>Table1[[#This Row],[2019 Scope 1 (MeT Co2)]]</f>
        <v>9688964</v>
      </c>
      <c r="AG93" s="67">
        <f t="shared" si="17"/>
        <v>377631</v>
      </c>
      <c r="AH93" s="68">
        <f t="shared" si="18"/>
        <v>3.751328030977704E-2</v>
      </c>
      <c r="AK93" s="62" t="s">
        <v>1096</v>
      </c>
      <c r="AL93" s="62" t="s">
        <v>1096</v>
      </c>
      <c r="AM93" s="66">
        <f>Table1[[#This Row],[2019 Scope 2 ]]</f>
        <v>726505</v>
      </c>
      <c r="AN93" s="67">
        <f t="shared" si="19"/>
        <v>-382481</v>
      </c>
      <c r="AO93" s="69">
        <f t="shared" si="20"/>
        <v>-1.1117858056414669</v>
      </c>
      <c r="AP93" s="67">
        <f t="shared" si="21"/>
        <v>412430</v>
      </c>
      <c r="AQ93" s="69">
        <f t="shared" si="22"/>
        <v>1.3131576852662581</v>
      </c>
      <c r="AR93" s="72">
        <f>Table1[[#This Row],[2019 Scope 3 ]]</f>
        <v>15495</v>
      </c>
      <c r="AS93" s="71">
        <f t="shared" si="23"/>
        <v>3159925</v>
      </c>
      <c r="AT93" s="51">
        <f t="shared" si="24"/>
        <v>0.99512033053895232</v>
      </c>
      <c r="BI93" s="61">
        <v>19845</v>
      </c>
    </row>
    <row r="94" spans="1:61">
      <c r="A94" s="59">
        <f>companies!A94</f>
        <v>93</v>
      </c>
      <c r="B94" s="61" t="s">
        <v>1056</v>
      </c>
      <c r="C94" s="73">
        <v>17709</v>
      </c>
      <c r="D94" s="73">
        <v>153004</v>
      </c>
      <c r="E94" s="73">
        <v>149418</v>
      </c>
      <c r="F94" s="73" t="s">
        <v>1096</v>
      </c>
      <c r="G94" s="73" t="s">
        <v>1096</v>
      </c>
      <c r="H94" s="73" t="s">
        <v>1096</v>
      </c>
      <c r="I94" s="73" t="s">
        <v>1096</v>
      </c>
      <c r="J94" s="73">
        <v>25934</v>
      </c>
      <c r="K94" s="73">
        <v>63005</v>
      </c>
      <c r="L94" s="73">
        <v>252683</v>
      </c>
      <c r="M94" s="62">
        <v>88189</v>
      </c>
      <c r="N94" s="62" t="s">
        <v>1096</v>
      </c>
      <c r="O94" s="62" t="s">
        <v>1096</v>
      </c>
      <c r="P94" s="62" t="s">
        <v>1096</v>
      </c>
      <c r="Q94" s="62" t="s">
        <v>1096</v>
      </c>
      <c r="R94" s="73" t="s">
        <v>1096</v>
      </c>
      <c r="S94" s="62" t="s">
        <v>1096</v>
      </c>
      <c r="T94" s="62" t="s">
        <v>1096</v>
      </c>
      <c r="U94" s="62" t="s">
        <v>1096</v>
      </c>
      <c r="V94" s="62" t="s">
        <v>1096</v>
      </c>
      <c r="W94" s="62">
        <f t="shared" si="25"/>
        <v>429811</v>
      </c>
      <c r="X94" s="73"/>
      <c r="Y94" s="73"/>
      <c r="Z94" s="73"/>
      <c r="AA94" s="73"/>
      <c r="AB94" s="73"/>
      <c r="AC94" s="73"/>
      <c r="AD94" s="62" t="s">
        <v>1096</v>
      </c>
      <c r="AE94" s="62" t="s">
        <v>1096</v>
      </c>
      <c r="AF94" s="66">
        <f>Table1[[#This Row],[2019 Scope 1 (MeT Co2)]]</f>
        <v>17709</v>
      </c>
      <c r="AG94" s="67">
        <f t="shared" si="17"/>
        <v>0</v>
      </c>
      <c r="AH94" s="68">
        <f t="shared" si="18"/>
        <v>0</v>
      </c>
      <c r="AK94" s="62" t="s">
        <v>1096</v>
      </c>
      <c r="AL94" s="62" t="s">
        <v>1096</v>
      </c>
      <c r="AM94" s="66">
        <f>Table1[[#This Row],[2019 Scope 2 ]]</f>
        <v>149418</v>
      </c>
      <c r="AN94" s="67">
        <f t="shared" si="19"/>
        <v>3586</v>
      </c>
      <c r="AO94" s="68">
        <f t="shared" si="20"/>
        <v>2.3437295756973675E-2</v>
      </c>
      <c r="AP94" s="67">
        <f t="shared" si="21"/>
        <v>0</v>
      </c>
      <c r="AQ94" s="68">
        <f t="shared" si="22"/>
        <v>0</v>
      </c>
      <c r="AR94" s="72">
        <f>Table1[[#This Row],[2019 Scope 3 ]]</f>
        <v>429811</v>
      </c>
      <c r="AS94" s="71">
        <f t="shared" si="23"/>
        <v>0</v>
      </c>
      <c r="AT94" s="51">
        <f t="shared" si="24"/>
        <v>0</v>
      </c>
      <c r="BI94" s="58">
        <v>19858</v>
      </c>
    </row>
    <row r="95" spans="1:61">
      <c r="A95" s="59">
        <f>companies!A95</f>
        <v>94</v>
      </c>
      <c r="B95" s="61" t="s">
        <v>1056</v>
      </c>
      <c r="C95" s="73">
        <v>14223000</v>
      </c>
      <c r="D95" s="73">
        <v>754000</v>
      </c>
      <c r="E95" s="73">
        <v>731000</v>
      </c>
      <c r="F95" s="73">
        <v>3122000</v>
      </c>
      <c r="G95" s="73">
        <v>4629000</v>
      </c>
      <c r="H95" s="73">
        <v>2820000</v>
      </c>
      <c r="I95" s="73">
        <v>8198000</v>
      </c>
      <c r="J95" s="73">
        <v>25000</v>
      </c>
      <c r="K95" s="73">
        <v>69000</v>
      </c>
      <c r="L95" s="73">
        <v>2079000</v>
      </c>
      <c r="M95" s="62" t="s">
        <v>1096</v>
      </c>
      <c r="N95" s="62" t="s">
        <v>1096</v>
      </c>
      <c r="O95" s="62" t="s">
        <v>1096</v>
      </c>
      <c r="P95" s="62" t="s">
        <v>1096</v>
      </c>
      <c r="Q95" s="62">
        <v>9000</v>
      </c>
      <c r="R95" s="73" t="s">
        <v>1096</v>
      </c>
      <c r="S95" s="62">
        <v>57000</v>
      </c>
      <c r="T95" s="62" t="s">
        <v>1096</v>
      </c>
      <c r="U95" s="62" t="s">
        <v>1096</v>
      </c>
      <c r="V95" s="62" t="s">
        <v>1096</v>
      </c>
      <c r="W95" s="62">
        <f t="shared" si="25"/>
        <v>21008000</v>
      </c>
      <c r="X95" s="73"/>
      <c r="Y95" s="73"/>
      <c r="Z95" s="73"/>
      <c r="AA95" s="73"/>
      <c r="AB95" s="73"/>
      <c r="AC95" s="73"/>
      <c r="AD95" s="62" t="s">
        <v>1096</v>
      </c>
      <c r="AE95" s="62" t="s">
        <v>1096</v>
      </c>
      <c r="AF95" s="66">
        <f>Table1[[#This Row],[2019 Scope 1 (MeT Co2)]]</f>
        <v>14223000</v>
      </c>
      <c r="AG95" s="67">
        <f t="shared" si="17"/>
        <v>0</v>
      </c>
      <c r="AH95" s="68">
        <f t="shared" si="18"/>
        <v>0</v>
      </c>
      <c r="AK95" s="62" t="s">
        <v>1096</v>
      </c>
      <c r="AL95" s="62" t="s">
        <v>1096</v>
      </c>
      <c r="AM95" s="66">
        <f>Table1[[#This Row],[2019 Scope 2 ]]</f>
        <v>731000</v>
      </c>
      <c r="AN95" s="67">
        <f t="shared" si="19"/>
        <v>23000</v>
      </c>
      <c r="AO95" s="68">
        <f t="shared" si="20"/>
        <v>3.0503978779840849E-2</v>
      </c>
      <c r="AP95" s="67">
        <f t="shared" si="21"/>
        <v>0</v>
      </c>
      <c r="AQ95" s="68">
        <f t="shared" si="22"/>
        <v>0</v>
      </c>
      <c r="AR95" s="72">
        <f>Table1[[#This Row],[2019 Scope 3 ]]</f>
        <v>21008000</v>
      </c>
      <c r="AS95" s="71">
        <f t="shared" si="23"/>
        <v>0</v>
      </c>
      <c r="AT95" s="51">
        <f t="shared" si="24"/>
        <v>0</v>
      </c>
      <c r="BI95" s="58">
        <v>19898</v>
      </c>
    </row>
    <row r="96" spans="1:61">
      <c r="A96" s="59">
        <f>companies!A96</f>
        <v>95</v>
      </c>
      <c r="B96" s="61" t="s">
        <v>1056</v>
      </c>
      <c r="C96" s="73">
        <v>56482</v>
      </c>
      <c r="D96" s="73">
        <v>255929</v>
      </c>
      <c r="E96" s="73">
        <v>176447</v>
      </c>
      <c r="F96" s="73" t="s">
        <v>1096</v>
      </c>
      <c r="G96" s="73" t="s">
        <v>1096</v>
      </c>
      <c r="H96" s="73" t="s">
        <v>1096</v>
      </c>
      <c r="I96" s="73" t="s">
        <v>1096</v>
      </c>
      <c r="J96" s="73">
        <v>8528</v>
      </c>
      <c r="K96" s="73">
        <v>38762</v>
      </c>
      <c r="L96" s="73">
        <v>79195</v>
      </c>
      <c r="M96" s="62" t="s">
        <v>1096</v>
      </c>
      <c r="N96" s="62" t="s">
        <v>1096</v>
      </c>
      <c r="O96" s="62" t="s">
        <v>1096</v>
      </c>
      <c r="P96" s="62" t="s">
        <v>1096</v>
      </c>
      <c r="Q96" s="62" t="s">
        <v>1096</v>
      </c>
      <c r="R96" s="73">
        <v>44088</v>
      </c>
      <c r="S96" s="62" t="s">
        <v>1096</v>
      </c>
      <c r="T96" s="62" t="s">
        <v>1096</v>
      </c>
      <c r="U96" s="62" t="s">
        <v>1096</v>
      </c>
      <c r="V96" s="62" t="s">
        <v>1096</v>
      </c>
      <c r="W96" s="62">
        <f t="shared" si="25"/>
        <v>170573</v>
      </c>
      <c r="X96" s="73"/>
      <c r="Y96" s="73"/>
      <c r="Z96" s="73"/>
      <c r="AA96" s="73"/>
      <c r="AB96" s="73"/>
      <c r="AC96" s="73"/>
      <c r="AD96" s="62" t="s">
        <v>1064</v>
      </c>
      <c r="AE96" s="62" t="s">
        <v>1065</v>
      </c>
      <c r="AF96" s="66">
        <f>Table1[[#This Row],[2019 Scope 1 (MeT Co2)]]</f>
        <v>56482</v>
      </c>
      <c r="AG96" s="67">
        <f t="shared" si="17"/>
        <v>0</v>
      </c>
      <c r="AH96" s="68">
        <f t="shared" si="18"/>
        <v>0</v>
      </c>
      <c r="AK96" s="62" t="s">
        <v>1064</v>
      </c>
      <c r="AL96" s="62" t="s">
        <v>1065</v>
      </c>
      <c r="AM96" s="66">
        <f>Table1[[#This Row],[2019 Scope 2 ]]</f>
        <v>176447</v>
      </c>
      <c r="AN96" s="67">
        <f t="shared" si="19"/>
        <v>79482</v>
      </c>
      <c r="AO96" s="68">
        <f t="shared" si="20"/>
        <v>0.31056269512247536</v>
      </c>
      <c r="AP96" s="67">
        <f t="shared" si="21"/>
        <v>0</v>
      </c>
      <c r="AQ96" s="68">
        <f t="shared" si="22"/>
        <v>0</v>
      </c>
      <c r="AR96" s="72">
        <f>Table1[[#This Row],[2019 Scope 3 ]]</f>
        <v>170573</v>
      </c>
      <c r="AS96" s="71">
        <f t="shared" si="23"/>
        <v>0</v>
      </c>
      <c r="AT96" s="51">
        <f t="shared" si="24"/>
        <v>0</v>
      </c>
      <c r="BI96" s="58">
        <v>19593</v>
      </c>
    </row>
    <row r="97" spans="1:61">
      <c r="A97" s="59">
        <f>companies!A97</f>
        <v>96</v>
      </c>
      <c r="B97" s="61" t="s">
        <v>1056</v>
      </c>
      <c r="C97" s="73">
        <v>358753</v>
      </c>
      <c r="D97" s="73">
        <v>4006874</v>
      </c>
      <c r="E97" s="73">
        <v>3982613</v>
      </c>
      <c r="F97" s="73">
        <v>12502929</v>
      </c>
      <c r="G97" s="73">
        <v>0</v>
      </c>
      <c r="H97" s="73">
        <v>1057075</v>
      </c>
      <c r="I97" s="73">
        <v>65443</v>
      </c>
      <c r="J97" s="73">
        <v>36503</v>
      </c>
      <c r="K97" s="73">
        <v>92882</v>
      </c>
      <c r="L97" s="73">
        <v>511555</v>
      </c>
      <c r="M97" s="62" t="s">
        <v>1096</v>
      </c>
      <c r="N97" s="62">
        <v>56906</v>
      </c>
      <c r="O97" s="62" t="s">
        <v>1096</v>
      </c>
      <c r="P97" s="62">
        <v>2736735</v>
      </c>
      <c r="Q97" s="62">
        <v>1619</v>
      </c>
      <c r="R97" s="73" t="s">
        <v>1096</v>
      </c>
      <c r="S97" s="62" t="s">
        <v>1096</v>
      </c>
      <c r="T97" s="62" t="s">
        <v>1096</v>
      </c>
      <c r="U97" s="62" t="s">
        <v>1096</v>
      </c>
      <c r="V97" s="62" t="s">
        <v>1096</v>
      </c>
      <c r="W97" s="62">
        <f t="shared" si="25"/>
        <v>17061647</v>
      </c>
      <c r="X97" s="73"/>
      <c r="Y97" s="73"/>
      <c r="Z97" s="73"/>
      <c r="AA97" s="73"/>
      <c r="AB97" s="73"/>
      <c r="AC97" s="73"/>
      <c r="AD97" s="62" t="s">
        <v>1096</v>
      </c>
      <c r="AE97" s="62" t="s">
        <v>1096</v>
      </c>
      <c r="AF97" s="66">
        <f>Table1[[#This Row],[2019 Scope 1 (MeT Co2)]]</f>
        <v>358753</v>
      </c>
      <c r="AG97" s="67">
        <f t="shared" si="17"/>
        <v>0</v>
      </c>
      <c r="AH97" s="68">
        <f t="shared" si="18"/>
        <v>0</v>
      </c>
      <c r="AK97" s="62" t="s">
        <v>1096</v>
      </c>
      <c r="AL97" s="62" t="s">
        <v>1096</v>
      </c>
      <c r="AM97" s="66">
        <f>Table1[[#This Row],[2019 Scope 2 ]]</f>
        <v>3982613</v>
      </c>
      <c r="AN97" s="67">
        <f t="shared" si="19"/>
        <v>24261</v>
      </c>
      <c r="AO97" s="68">
        <f t="shared" si="20"/>
        <v>6.054844749298331E-3</v>
      </c>
      <c r="AP97" s="67">
        <f t="shared" si="21"/>
        <v>0</v>
      </c>
      <c r="AQ97" s="68">
        <f t="shared" si="22"/>
        <v>0</v>
      </c>
      <c r="AR97" s="72">
        <f>Table1[[#This Row],[2019 Scope 3 ]]</f>
        <v>17061647</v>
      </c>
      <c r="AS97" s="71">
        <f t="shared" si="23"/>
        <v>0</v>
      </c>
      <c r="AT97" s="51">
        <f t="shared" si="24"/>
        <v>0</v>
      </c>
      <c r="BI97" s="58">
        <v>20175</v>
      </c>
    </row>
    <row r="98" spans="1:61">
      <c r="A98" s="59">
        <f>companies!A98</f>
        <v>97</v>
      </c>
      <c r="B98" s="61" t="s">
        <v>1056</v>
      </c>
      <c r="C98" s="73">
        <v>8642</v>
      </c>
      <c r="D98" s="73">
        <v>66009</v>
      </c>
      <c r="E98" s="73">
        <v>51366</v>
      </c>
      <c r="F98" s="73">
        <v>430410</v>
      </c>
      <c r="G98" s="73" t="s">
        <v>1096</v>
      </c>
      <c r="H98" s="73">
        <v>13729</v>
      </c>
      <c r="I98" s="73" t="s">
        <v>1096</v>
      </c>
      <c r="J98" s="73">
        <v>2203</v>
      </c>
      <c r="K98" s="73">
        <v>48009</v>
      </c>
      <c r="L98" s="73">
        <v>29518</v>
      </c>
      <c r="M98" s="62" t="s">
        <v>1096</v>
      </c>
      <c r="N98" s="62" t="s">
        <v>1096</v>
      </c>
      <c r="O98" s="62" t="s">
        <v>1096</v>
      </c>
      <c r="P98" s="62" t="s">
        <v>1096</v>
      </c>
      <c r="Q98" s="62" t="s">
        <v>1096</v>
      </c>
      <c r="R98" s="73">
        <v>94</v>
      </c>
      <c r="S98" s="62" t="s">
        <v>1096</v>
      </c>
      <c r="T98" s="62" t="s">
        <v>1096</v>
      </c>
      <c r="U98" s="62" t="s">
        <v>1096</v>
      </c>
      <c r="V98" s="62" t="s">
        <v>1096</v>
      </c>
      <c r="W98" s="62">
        <f t="shared" si="25"/>
        <v>523963</v>
      </c>
      <c r="X98" s="73"/>
      <c r="Y98" s="73"/>
      <c r="Z98" s="73"/>
      <c r="AA98" s="73"/>
      <c r="AB98" s="73"/>
      <c r="AC98" s="73"/>
      <c r="AD98" s="62" t="s">
        <v>1096</v>
      </c>
      <c r="AE98" s="62" t="s">
        <v>1096</v>
      </c>
      <c r="AF98" s="66">
        <f>Table1[[#This Row],[2019 Scope 1 (MeT Co2)]]</f>
        <v>8642</v>
      </c>
      <c r="AG98" s="67">
        <f t="shared" ref="AG98:AG101" si="26">C98-AF98</f>
        <v>0</v>
      </c>
      <c r="AH98" s="68">
        <f t="shared" ref="AH98:AH101" si="27">AG98/C98</f>
        <v>0</v>
      </c>
      <c r="AK98" s="62" t="s">
        <v>1096</v>
      </c>
      <c r="AL98" s="62" t="s">
        <v>1096</v>
      </c>
      <c r="AM98" s="66">
        <f>Table1[[#This Row],[2019 Scope 2 ]]</f>
        <v>51366</v>
      </c>
      <c r="AN98" s="67">
        <f t="shared" ref="AN98:AN101" si="28">D98-AM98</f>
        <v>14643</v>
      </c>
      <c r="AO98" s="68">
        <f t="shared" ref="AO98:AO101" si="29">AN98/D98</f>
        <v>0.22183338635640595</v>
      </c>
      <c r="AP98" s="67">
        <f t="shared" si="21"/>
        <v>0</v>
      </c>
      <c r="AQ98" s="68">
        <f t="shared" ref="AQ98:AQ101" si="30">AP98/E98</f>
        <v>0</v>
      </c>
      <c r="AR98" s="72">
        <f>Table1[[#This Row],[2019 Scope 3 ]]</f>
        <v>523963</v>
      </c>
      <c r="AS98" s="71">
        <f t="shared" ref="AS98:AS101" si="31">W98-AR98</f>
        <v>0</v>
      </c>
      <c r="AT98" s="51">
        <f t="shared" ref="AT98:AT101" si="32">AS98/W98</f>
        <v>0</v>
      </c>
      <c r="BI98" s="58">
        <v>22867</v>
      </c>
    </row>
    <row r="99" spans="1:61">
      <c r="A99" s="59">
        <f>companies!A99</f>
        <v>98</v>
      </c>
      <c r="B99" s="61" t="s">
        <v>1056</v>
      </c>
      <c r="C99" s="73">
        <v>421000</v>
      </c>
      <c r="D99" s="73">
        <v>1645000</v>
      </c>
      <c r="E99" s="73">
        <v>1575000</v>
      </c>
      <c r="F99" s="73">
        <v>25508000</v>
      </c>
      <c r="G99" s="73">
        <v>776000</v>
      </c>
      <c r="H99" s="73">
        <v>298000</v>
      </c>
      <c r="I99" s="73">
        <v>167000</v>
      </c>
      <c r="J99" s="73">
        <v>40000</v>
      </c>
      <c r="K99" s="73">
        <v>53000</v>
      </c>
      <c r="L99" s="73">
        <v>878000</v>
      </c>
      <c r="M99" s="62" t="s">
        <v>1096</v>
      </c>
      <c r="N99" s="62">
        <v>9835000</v>
      </c>
      <c r="O99" s="62" t="s">
        <v>1096</v>
      </c>
      <c r="P99" s="62">
        <v>15000</v>
      </c>
      <c r="Q99" s="62">
        <v>58000</v>
      </c>
      <c r="R99" s="73">
        <v>28000</v>
      </c>
      <c r="S99" s="62" t="s">
        <v>1096</v>
      </c>
      <c r="T99" s="62">
        <v>243000</v>
      </c>
      <c r="U99" s="62" t="s">
        <v>1096</v>
      </c>
      <c r="V99" s="62" t="s">
        <v>1096</v>
      </c>
      <c r="W99" s="62">
        <f t="shared" si="25"/>
        <v>37899000</v>
      </c>
      <c r="X99" s="73"/>
      <c r="Y99" s="73"/>
      <c r="Z99" s="73"/>
      <c r="AA99" s="73"/>
      <c r="AB99" s="73"/>
      <c r="AC99" s="73"/>
      <c r="AD99" s="62" t="s">
        <v>1096</v>
      </c>
      <c r="AE99" s="62" t="s">
        <v>1096</v>
      </c>
      <c r="AF99" s="66">
        <f>Table1[[#This Row],[2019 Scope 1 (MeT Co2)]]</f>
        <v>389000</v>
      </c>
      <c r="AG99" s="67">
        <f t="shared" si="26"/>
        <v>32000</v>
      </c>
      <c r="AH99" s="68">
        <f t="shared" si="27"/>
        <v>7.6009501187648459E-2</v>
      </c>
      <c r="AK99" s="62" t="s">
        <v>1096</v>
      </c>
      <c r="AL99" s="62" t="s">
        <v>1096</v>
      </c>
      <c r="AM99" s="66">
        <f>Table1[[#This Row],[2019 Scope 2 ]]</f>
        <v>1645000</v>
      </c>
      <c r="AN99" s="67">
        <f t="shared" si="28"/>
        <v>0</v>
      </c>
      <c r="AO99" s="68">
        <f t="shared" si="29"/>
        <v>0</v>
      </c>
      <c r="AP99" s="67">
        <f t="shared" si="21"/>
        <v>70000</v>
      </c>
      <c r="AQ99" s="68">
        <f t="shared" si="30"/>
        <v>4.4444444444444446E-2</v>
      </c>
      <c r="AR99" s="72">
        <f>Table1[[#This Row],[2019 Scope 3 ]]</f>
        <v>107000</v>
      </c>
      <c r="AS99" s="71">
        <f t="shared" si="31"/>
        <v>37792000</v>
      </c>
      <c r="AT99" s="51">
        <f t="shared" si="32"/>
        <v>0.9971767065094066</v>
      </c>
      <c r="BI99" s="61">
        <v>20398</v>
      </c>
    </row>
    <row r="100" spans="1:61">
      <c r="A100" s="59">
        <f>companies!A100</f>
        <v>99</v>
      </c>
      <c r="B100" s="61" t="s">
        <v>1056</v>
      </c>
      <c r="C100" s="73">
        <v>6484616</v>
      </c>
      <c r="D100" s="73">
        <v>12190878</v>
      </c>
      <c r="E100" s="73">
        <v>11078980</v>
      </c>
      <c r="F100" s="73">
        <v>143267842</v>
      </c>
      <c r="G100" s="73">
        <v>645328</v>
      </c>
      <c r="H100" s="73">
        <v>3327874</v>
      </c>
      <c r="I100" s="73">
        <v>342577</v>
      </c>
      <c r="J100" s="73">
        <v>968265</v>
      </c>
      <c r="K100" s="73">
        <v>76296</v>
      </c>
      <c r="L100" s="73">
        <v>3500000</v>
      </c>
      <c r="M100" s="62" t="s">
        <v>1096</v>
      </c>
      <c r="N100" s="62">
        <v>5099</v>
      </c>
      <c r="O100" s="62" t="s">
        <v>1096</v>
      </c>
      <c r="P100" s="62">
        <v>32211000</v>
      </c>
      <c r="Q100" s="62">
        <v>130</v>
      </c>
      <c r="R100" s="73">
        <v>130000</v>
      </c>
      <c r="S100" s="62" t="s">
        <v>1096</v>
      </c>
      <c r="T100" s="62" t="s">
        <v>1096</v>
      </c>
      <c r="U100" s="62" t="s">
        <v>1096</v>
      </c>
      <c r="V100" s="62" t="s">
        <v>1096</v>
      </c>
      <c r="W100" s="62">
        <f t="shared" si="25"/>
        <v>184474411</v>
      </c>
      <c r="X100" s="73"/>
      <c r="Y100" s="73"/>
      <c r="Z100" s="73"/>
      <c r="AA100" s="73"/>
      <c r="AB100" s="73"/>
      <c r="AC100" s="73"/>
      <c r="AD100" s="62" t="s">
        <v>1096</v>
      </c>
      <c r="AE100" s="62" t="s">
        <v>1096</v>
      </c>
      <c r="AF100" s="66">
        <f>Table1[[#This Row],[2019 Scope 1 (MeT Co2)]]</f>
        <v>6484616</v>
      </c>
      <c r="AG100" s="67">
        <f t="shared" si="26"/>
        <v>0</v>
      </c>
      <c r="AH100" s="68">
        <f t="shared" si="27"/>
        <v>0</v>
      </c>
      <c r="AK100" s="62" t="s">
        <v>1096</v>
      </c>
      <c r="AL100" s="62" t="s">
        <v>1096</v>
      </c>
      <c r="AM100" s="66">
        <f>Table1[[#This Row],[2019 Scope 2 ]]</f>
        <v>11078980</v>
      </c>
      <c r="AN100" s="67">
        <f t="shared" si="28"/>
        <v>1111898</v>
      </c>
      <c r="AO100" s="68">
        <f t="shared" si="29"/>
        <v>9.1207376531862588E-2</v>
      </c>
      <c r="AP100" s="67">
        <f t="shared" si="21"/>
        <v>0</v>
      </c>
      <c r="AQ100" s="68">
        <f t="shared" si="30"/>
        <v>0</v>
      </c>
      <c r="AR100" s="72">
        <f>Table1[[#This Row],[2019 Scope 3 ]]</f>
        <v>184474411</v>
      </c>
      <c r="AS100" s="71">
        <f t="shared" si="31"/>
        <v>0</v>
      </c>
      <c r="AT100" s="51">
        <f t="shared" si="32"/>
        <v>0</v>
      </c>
      <c r="BI100" s="58">
        <v>20402</v>
      </c>
    </row>
    <row r="101" spans="1:61">
      <c r="A101" s="59">
        <f>companies!A101</f>
        <v>100</v>
      </c>
      <c r="B101" s="61" t="s">
        <v>1056</v>
      </c>
      <c r="C101" s="73">
        <v>91993</v>
      </c>
      <c r="D101" s="73">
        <v>771327</v>
      </c>
      <c r="E101" s="73">
        <v>4988</v>
      </c>
      <c r="F101" s="73">
        <v>2304829</v>
      </c>
      <c r="G101" s="73">
        <v>455599</v>
      </c>
      <c r="H101" s="73">
        <v>148420</v>
      </c>
      <c r="I101" s="73" t="s">
        <v>1096</v>
      </c>
      <c r="J101" s="73">
        <v>9921</v>
      </c>
      <c r="K101" s="73">
        <v>78277</v>
      </c>
      <c r="L101" s="73">
        <v>613405</v>
      </c>
      <c r="M101" s="62" t="s">
        <v>1096</v>
      </c>
      <c r="N101" s="62" t="s">
        <v>1096</v>
      </c>
      <c r="O101" s="62" t="s">
        <v>1096</v>
      </c>
      <c r="P101" s="62" t="s">
        <v>1096</v>
      </c>
      <c r="Q101" s="62" t="s">
        <v>1096</v>
      </c>
      <c r="R101" s="73" t="s">
        <v>1096</v>
      </c>
      <c r="S101" s="62" t="s">
        <v>1096</v>
      </c>
      <c r="T101" s="62" t="s">
        <v>1096</v>
      </c>
      <c r="U101" s="62" t="s">
        <v>1096</v>
      </c>
      <c r="V101" s="62" t="s">
        <v>1096</v>
      </c>
      <c r="W101" s="62">
        <f t="shared" si="25"/>
        <v>3610451</v>
      </c>
      <c r="X101" s="73"/>
      <c r="Y101" s="73"/>
      <c r="Z101" s="73"/>
      <c r="AA101" s="73"/>
      <c r="AB101" s="73"/>
      <c r="AC101" s="73"/>
      <c r="AD101" s="62" t="s">
        <v>1096</v>
      </c>
      <c r="AE101" s="62" t="s">
        <v>1096</v>
      </c>
      <c r="AF101" s="66">
        <f>Table1[[#This Row],[2019 Scope 1 (MeT Co2)]]</f>
        <v>91993</v>
      </c>
      <c r="AG101" s="67">
        <f t="shared" si="26"/>
        <v>0</v>
      </c>
      <c r="AH101" s="68">
        <f t="shared" si="27"/>
        <v>0</v>
      </c>
      <c r="AK101" s="62" t="s">
        <v>1096</v>
      </c>
      <c r="AL101" s="62" t="s">
        <v>1096</v>
      </c>
      <c r="AM101" s="66">
        <f>Table1[[#This Row],[2019 Scope 2 ]]</f>
        <v>4988</v>
      </c>
      <c r="AN101" s="67">
        <f t="shared" si="28"/>
        <v>766339</v>
      </c>
      <c r="AO101" s="68">
        <f t="shared" si="29"/>
        <v>0.99353322261505173</v>
      </c>
      <c r="AP101" s="67">
        <f t="shared" si="21"/>
        <v>0</v>
      </c>
      <c r="AQ101" s="68">
        <f t="shared" si="30"/>
        <v>0</v>
      </c>
      <c r="AR101" s="72">
        <f>Table1[[#This Row],[2019 Scope 3 ]]</f>
        <v>3610451</v>
      </c>
      <c r="AS101" s="71">
        <f t="shared" si="31"/>
        <v>0</v>
      </c>
      <c r="AT101" s="51">
        <f t="shared" si="32"/>
        <v>0</v>
      </c>
      <c r="BI101" s="58">
        <v>20575</v>
      </c>
    </row>
    <row r="1048561" spans="1:1">
      <c r="A1048561" s="57"/>
    </row>
    <row r="1048562" spans="1:1">
      <c r="A1048562" s="58"/>
    </row>
    <row r="1048563" spans="1:1">
      <c r="A1048563" s="58"/>
    </row>
    <row r="1048564" spans="1:1">
      <c r="A1048564" s="58"/>
    </row>
    <row r="1048565" spans="1:1">
      <c r="A1048565" s="58"/>
    </row>
    <row r="1048566" spans="1:1">
      <c r="A1048566" s="58"/>
    </row>
    <row r="1048567" spans="1:1">
      <c r="A1048567" s="58"/>
    </row>
    <row r="1048568" spans="1:1">
      <c r="A1048568" s="58"/>
    </row>
    <row r="1048569" spans="1:1">
      <c r="A1048569" s="58"/>
    </row>
    <row r="1048570" spans="1:1">
      <c r="A1048570" s="58"/>
    </row>
    <row r="1048571" spans="1:1">
      <c r="A1048571" s="58"/>
    </row>
    <row r="1048572" spans="1:1">
      <c r="A1048572" s="58"/>
    </row>
    <row r="1048573" spans="1:1">
      <c r="A1048573" s="58"/>
    </row>
    <row r="1048574" spans="1:1">
      <c r="A1048574" s="58"/>
    </row>
    <row r="1048575" spans="1:1">
      <c r="A1048575" s="58"/>
    </row>
    <row r="1048576" spans="1:1">
      <c r="A1048576" s="58"/>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43B7D-D362-4FA2-AD34-5F39CF9A1891}">
  <dimension ref="A1:C101"/>
  <sheetViews>
    <sheetView workbookViewId="0"/>
  </sheetViews>
  <sheetFormatPr defaultRowHeight="12.75"/>
  <cols>
    <col min="1" max="1" width="7.7109375" bestFit="1" customWidth="1"/>
    <col min="2" max="2" width="29.85546875" customWidth="1"/>
  </cols>
  <sheetData>
    <row r="1" spans="1:2">
      <c r="A1" s="60" t="s">
        <v>557</v>
      </c>
      <c r="B1" s="70" t="s">
        <v>1098</v>
      </c>
    </row>
    <row r="2" spans="1:2">
      <c r="A2" s="59">
        <v>1</v>
      </c>
    </row>
    <row r="3" spans="1:2">
      <c r="A3" s="59">
        <f>A2+1</f>
        <v>2</v>
      </c>
    </row>
    <row r="4" spans="1:2">
      <c r="A4" s="59">
        <f t="shared" ref="A4:A67" si="0">A3+1</f>
        <v>3</v>
      </c>
    </row>
    <row r="5" spans="1:2">
      <c r="A5" s="59">
        <f t="shared" si="0"/>
        <v>4</v>
      </c>
    </row>
    <row r="6" spans="1:2">
      <c r="A6" s="59">
        <f t="shared" si="0"/>
        <v>5</v>
      </c>
    </row>
    <row r="7" spans="1:2">
      <c r="A7" s="59">
        <f t="shared" si="0"/>
        <v>6</v>
      </c>
    </row>
    <row r="8" spans="1:2">
      <c r="A8" s="59">
        <f t="shared" si="0"/>
        <v>7</v>
      </c>
    </row>
    <row r="9" spans="1:2">
      <c r="A9" s="59">
        <f t="shared" si="0"/>
        <v>8</v>
      </c>
    </row>
    <row r="10" spans="1:2">
      <c r="A10" s="59">
        <f t="shared" si="0"/>
        <v>9</v>
      </c>
    </row>
    <row r="11" spans="1:2">
      <c r="A11" s="59">
        <f t="shared" si="0"/>
        <v>10</v>
      </c>
    </row>
    <row r="12" spans="1:2">
      <c r="A12" s="59">
        <f t="shared" si="0"/>
        <v>11</v>
      </c>
    </row>
    <row r="13" spans="1:2">
      <c r="A13" s="59">
        <f t="shared" si="0"/>
        <v>12</v>
      </c>
    </row>
    <row r="14" spans="1:2">
      <c r="A14" s="59">
        <f t="shared" si="0"/>
        <v>13</v>
      </c>
    </row>
    <row r="15" spans="1:2">
      <c r="A15" s="59">
        <f t="shared" si="0"/>
        <v>14</v>
      </c>
    </row>
    <row r="16" spans="1:2">
      <c r="A16" s="59">
        <f t="shared" si="0"/>
        <v>15</v>
      </c>
    </row>
    <row r="17" spans="1:3">
      <c r="A17" s="59">
        <f t="shared" si="0"/>
        <v>16</v>
      </c>
    </row>
    <row r="18" spans="1:3">
      <c r="A18" s="59">
        <f t="shared" si="0"/>
        <v>17</v>
      </c>
    </row>
    <row r="19" spans="1:3">
      <c r="A19" s="59">
        <f t="shared" si="0"/>
        <v>18</v>
      </c>
    </row>
    <row r="20" spans="1:3">
      <c r="A20" s="59">
        <f t="shared" si="0"/>
        <v>19</v>
      </c>
    </row>
    <row r="21" spans="1:3">
      <c r="A21" s="59">
        <f t="shared" si="0"/>
        <v>20</v>
      </c>
    </row>
    <row r="22" spans="1:3">
      <c r="A22" s="59">
        <f t="shared" si="0"/>
        <v>21</v>
      </c>
    </row>
    <row r="23" spans="1:3">
      <c r="A23" s="59">
        <f t="shared" si="0"/>
        <v>22</v>
      </c>
      <c r="B23" t="s">
        <v>1097</v>
      </c>
      <c r="C23" t="s">
        <v>1099</v>
      </c>
    </row>
    <row r="24" spans="1:3">
      <c r="A24" s="59">
        <f t="shared" si="0"/>
        <v>23</v>
      </c>
    </row>
    <row r="25" spans="1:3">
      <c r="A25" s="59">
        <f t="shared" si="0"/>
        <v>24</v>
      </c>
    </row>
    <row r="26" spans="1:3">
      <c r="A26" s="59">
        <f t="shared" si="0"/>
        <v>25</v>
      </c>
    </row>
    <row r="27" spans="1:3">
      <c r="A27" s="59">
        <f t="shared" si="0"/>
        <v>26</v>
      </c>
    </row>
    <row r="28" spans="1:3">
      <c r="A28" s="59">
        <f t="shared" si="0"/>
        <v>27</v>
      </c>
    </row>
    <row r="29" spans="1:3">
      <c r="A29" s="59">
        <f t="shared" si="0"/>
        <v>28</v>
      </c>
    </row>
    <row r="30" spans="1:3">
      <c r="A30" s="59">
        <f t="shared" si="0"/>
        <v>29</v>
      </c>
    </row>
    <row r="31" spans="1:3">
      <c r="A31" s="59">
        <f t="shared" si="0"/>
        <v>30</v>
      </c>
    </row>
    <row r="32" spans="1:3">
      <c r="A32" s="59">
        <f t="shared" si="0"/>
        <v>31</v>
      </c>
    </row>
    <row r="33" spans="1:1">
      <c r="A33" s="59">
        <f t="shared" si="0"/>
        <v>32</v>
      </c>
    </row>
    <row r="34" spans="1:1">
      <c r="A34" s="59">
        <f t="shared" si="0"/>
        <v>33</v>
      </c>
    </row>
    <row r="35" spans="1:1">
      <c r="A35" s="59">
        <f t="shared" si="0"/>
        <v>34</v>
      </c>
    </row>
    <row r="36" spans="1:1">
      <c r="A36" s="59">
        <f t="shared" si="0"/>
        <v>35</v>
      </c>
    </row>
    <row r="37" spans="1:1">
      <c r="A37" s="59">
        <f t="shared" si="0"/>
        <v>36</v>
      </c>
    </row>
    <row r="38" spans="1:1">
      <c r="A38" s="59">
        <f t="shared" si="0"/>
        <v>37</v>
      </c>
    </row>
    <row r="39" spans="1:1">
      <c r="A39" s="59">
        <f t="shared" si="0"/>
        <v>38</v>
      </c>
    </row>
    <row r="40" spans="1:1">
      <c r="A40" s="59">
        <f t="shared" si="0"/>
        <v>39</v>
      </c>
    </row>
    <row r="41" spans="1:1">
      <c r="A41" s="59">
        <f t="shared" si="0"/>
        <v>40</v>
      </c>
    </row>
    <row r="42" spans="1:1">
      <c r="A42" s="59">
        <f t="shared" si="0"/>
        <v>41</v>
      </c>
    </row>
    <row r="43" spans="1:1">
      <c r="A43" s="59">
        <f t="shared" si="0"/>
        <v>42</v>
      </c>
    </row>
    <row r="44" spans="1:1">
      <c r="A44" s="59">
        <f t="shared" si="0"/>
        <v>43</v>
      </c>
    </row>
    <row r="45" spans="1:1">
      <c r="A45" s="59">
        <f t="shared" si="0"/>
        <v>44</v>
      </c>
    </row>
    <row r="46" spans="1:1">
      <c r="A46" s="59">
        <f t="shared" si="0"/>
        <v>45</v>
      </c>
    </row>
    <row r="47" spans="1:1">
      <c r="A47" s="59">
        <f t="shared" si="0"/>
        <v>46</v>
      </c>
    </row>
    <row r="48" spans="1:1">
      <c r="A48" s="59">
        <f t="shared" si="0"/>
        <v>47</v>
      </c>
    </row>
    <row r="49" spans="1:1">
      <c r="A49" s="59">
        <f t="shared" si="0"/>
        <v>48</v>
      </c>
    </row>
    <row r="50" spans="1:1">
      <c r="A50" s="59">
        <f t="shared" si="0"/>
        <v>49</v>
      </c>
    </row>
    <row r="51" spans="1:1">
      <c r="A51" s="59">
        <f t="shared" si="0"/>
        <v>50</v>
      </c>
    </row>
    <row r="52" spans="1:1">
      <c r="A52" s="59">
        <f t="shared" si="0"/>
        <v>51</v>
      </c>
    </row>
    <row r="53" spans="1:1">
      <c r="A53" s="59">
        <f t="shared" si="0"/>
        <v>52</v>
      </c>
    </row>
    <row r="54" spans="1:1">
      <c r="A54" s="59">
        <f t="shared" si="0"/>
        <v>53</v>
      </c>
    </row>
    <row r="55" spans="1:1">
      <c r="A55" s="59">
        <f t="shared" si="0"/>
        <v>54</v>
      </c>
    </row>
    <row r="56" spans="1:1">
      <c r="A56" s="59">
        <f t="shared" si="0"/>
        <v>55</v>
      </c>
    </row>
    <row r="57" spans="1:1">
      <c r="A57" s="59">
        <f t="shared" si="0"/>
        <v>56</v>
      </c>
    </row>
    <row r="58" spans="1:1">
      <c r="A58" s="59">
        <f t="shared" si="0"/>
        <v>57</v>
      </c>
    </row>
    <row r="59" spans="1:1">
      <c r="A59" s="59">
        <f t="shared" si="0"/>
        <v>58</v>
      </c>
    </row>
    <row r="60" spans="1:1">
      <c r="A60" s="59">
        <f t="shared" si="0"/>
        <v>59</v>
      </c>
    </row>
    <row r="61" spans="1:1">
      <c r="A61" s="59">
        <f t="shared" si="0"/>
        <v>60</v>
      </c>
    </row>
    <row r="62" spans="1:1">
      <c r="A62" s="59">
        <f t="shared" si="0"/>
        <v>61</v>
      </c>
    </row>
    <row r="63" spans="1:1">
      <c r="A63" s="59">
        <f t="shared" si="0"/>
        <v>62</v>
      </c>
    </row>
    <row r="64" spans="1:1">
      <c r="A64" s="59">
        <f t="shared" si="0"/>
        <v>63</v>
      </c>
    </row>
    <row r="65" spans="1:1">
      <c r="A65" s="59">
        <f t="shared" si="0"/>
        <v>64</v>
      </c>
    </row>
    <row r="66" spans="1:1">
      <c r="A66" s="59">
        <f t="shared" si="0"/>
        <v>65</v>
      </c>
    </row>
    <row r="67" spans="1:1">
      <c r="A67" s="59">
        <f t="shared" si="0"/>
        <v>66</v>
      </c>
    </row>
    <row r="68" spans="1:1">
      <c r="A68" s="59">
        <f t="shared" ref="A68:A101" si="1">A67+1</f>
        <v>67</v>
      </c>
    </row>
    <row r="69" spans="1:1">
      <c r="A69" s="59">
        <f t="shared" si="1"/>
        <v>68</v>
      </c>
    </row>
    <row r="70" spans="1:1">
      <c r="A70" s="59">
        <f t="shared" si="1"/>
        <v>69</v>
      </c>
    </row>
    <row r="71" spans="1:1">
      <c r="A71" s="59">
        <f t="shared" si="1"/>
        <v>70</v>
      </c>
    </row>
    <row r="72" spans="1:1">
      <c r="A72" s="59">
        <f t="shared" si="1"/>
        <v>71</v>
      </c>
    </row>
    <row r="73" spans="1:1">
      <c r="A73" s="59">
        <f t="shared" si="1"/>
        <v>72</v>
      </c>
    </row>
    <row r="74" spans="1:1">
      <c r="A74" s="59">
        <f t="shared" si="1"/>
        <v>73</v>
      </c>
    </row>
    <row r="75" spans="1:1">
      <c r="A75" s="59">
        <f t="shared" si="1"/>
        <v>74</v>
      </c>
    </row>
    <row r="76" spans="1:1">
      <c r="A76" s="59">
        <f t="shared" si="1"/>
        <v>75</v>
      </c>
    </row>
    <row r="77" spans="1:1">
      <c r="A77" s="59">
        <f t="shared" si="1"/>
        <v>76</v>
      </c>
    </row>
    <row r="78" spans="1:1">
      <c r="A78" s="59">
        <f t="shared" si="1"/>
        <v>77</v>
      </c>
    </row>
    <row r="79" spans="1:1">
      <c r="A79" s="59">
        <f t="shared" si="1"/>
        <v>78</v>
      </c>
    </row>
    <row r="80" spans="1:1">
      <c r="A80" s="59">
        <f t="shared" si="1"/>
        <v>79</v>
      </c>
    </row>
    <row r="81" spans="1:1">
      <c r="A81" s="59">
        <f t="shared" si="1"/>
        <v>80</v>
      </c>
    </row>
    <row r="82" spans="1:1">
      <c r="A82" s="59">
        <f t="shared" si="1"/>
        <v>81</v>
      </c>
    </row>
    <row r="83" spans="1:1">
      <c r="A83" s="59">
        <f t="shared" si="1"/>
        <v>82</v>
      </c>
    </row>
    <row r="84" spans="1:1">
      <c r="A84" s="59">
        <f t="shared" si="1"/>
        <v>83</v>
      </c>
    </row>
    <row r="85" spans="1:1">
      <c r="A85" s="59">
        <f t="shared" si="1"/>
        <v>84</v>
      </c>
    </row>
    <row r="86" spans="1:1">
      <c r="A86" s="59">
        <f t="shared" si="1"/>
        <v>85</v>
      </c>
    </row>
    <row r="87" spans="1:1">
      <c r="A87" s="59">
        <f t="shared" si="1"/>
        <v>86</v>
      </c>
    </row>
    <row r="88" spans="1:1">
      <c r="A88" s="59">
        <f t="shared" si="1"/>
        <v>87</v>
      </c>
    </row>
    <row r="89" spans="1:1">
      <c r="A89" s="59">
        <f t="shared" si="1"/>
        <v>88</v>
      </c>
    </row>
    <row r="90" spans="1:1">
      <c r="A90" s="59">
        <f t="shared" si="1"/>
        <v>89</v>
      </c>
    </row>
    <row r="91" spans="1:1">
      <c r="A91" s="59">
        <f t="shared" si="1"/>
        <v>90</v>
      </c>
    </row>
    <row r="92" spans="1:1">
      <c r="A92" s="59">
        <f t="shared" si="1"/>
        <v>91</v>
      </c>
    </row>
    <row r="93" spans="1:1">
      <c r="A93" s="59">
        <f t="shared" si="1"/>
        <v>92</v>
      </c>
    </row>
    <row r="94" spans="1:1">
      <c r="A94" s="59">
        <f t="shared" si="1"/>
        <v>93</v>
      </c>
    </row>
    <row r="95" spans="1:1">
      <c r="A95" s="59">
        <f t="shared" si="1"/>
        <v>94</v>
      </c>
    </row>
    <row r="96" spans="1:1">
      <c r="A96" s="59">
        <f t="shared" si="1"/>
        <v>95</v>
      </c>
    </row>
    <row r="97" spans="1:1">
      <c r="A97" s="59">
        <f t="shared" si="1"/>
        <v>96</v>
      </c>
    </row>
    <row r="98" spans="1:1">
      <c r="A98" s="59">
        <f t="shared" si="1"/>
        <v>97</v>
      </c>
    </row>
    <row r="99" spans="1:1">
      <c r="A99" s="59">
        <f t="shared" si="1"/>
        <v>98</v>
      </c>
    </row>
    <row r="100" spans="1:1">
      <c r="A100" s="59">
        <f t="shared" si="1"/>
        <v>99</v>
      </c>
    </row>
    <row r="101" spans="1:1">
      <c r="A101" s="59">
        <f t="shared" si="1"/>
        <v>100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 C o l u m n s \ C o m p a n y   N a m e < / K e y > < / D i a g r a m O b j e c t K e y > < D i a g r a m O b j e c t K e y > < K e y > C o l u m n s \ S e c t o r < / K e y > < / D i a g r a m O b j e c t K e y > < D i a g r a m O b j e c t K e y > < K e y > C o l u m n s \ I n d u s t r y < / K e y > < / D i a g r a m O b j e c t K e y > < D i a g r a m O b j e c t K e y > < K e y > C o l u m n s \ S i z e   ( 2 0 1 9   R e v e n u e ) < / K e y > < / D i a g r a m O b j e c t K e y > < D i a g r a m O b j e c t K e y > < K e y > C o l u m n s \ N e t   E a r n i n g s / I n c o m e   ( 2 0 1 9 ) < / K e y > < / D i a g r a m O b j e c t K e y > < D i a g r a m O b j e c t K e y > < K e y > C o l u m n s \ I P O   Y e a r < / K e y > < / D i a g r a m O b j e c t K e y > < D i a g r a m O b j e c t K e y > < K e y > C o l u m n s \ S & a m p ; P   1 0 0 ?   ( Y / N ) < / K e y > < / D i a g r a m O b j e c t K e y > < D i a g r a m O b j e c t K e y > < K e y > C o l u m n s \ C a r b o n   N e u t r a l   G o a l ?   ( Y / N ) < / K e y > < / D i a g r a m O b j e c t K e y > < D i a g r a m O b j e c t K e y > < K e y > C o l u m n s \ S c i e n c e - B a s e d   T a r g e t ?   ( Y / N ) < / K e y > < / D i a g r a m O b j e c t K e y > < D i a g r a m O b j e c t K e y > < K e y > C o l u m n s \ C a r b o n   N e u t r a l   b y . . . .   ( y e a r ) < / K e y > < / D i a g r a m O b j e c t K e y > < D i a g r a m O b j e c t K e y > < K e y > C o l u m n s \ C a r b o n   N e u t r a l   A n n o u n c e m e n t   ( y e a r ) < / K e y > < / D i a g r a m O b j e c t K e y > < D i a g r a m O b j e c t K e y > < K e y > C o l u m n s \ C a r b o n   G o a l   ( i f   n o n - z e r o ) < / K e y > < / D i a g r a m O b j e c t K e y > < D i a g r a m O b j e c t K e y > < K e y > C o l u m n s \ R e l i a n c e   o n   O f f s e t s ?   ( Y / N ) < / K e y > < / D i a g r a m O b j e c t K e y > < D i a g r a m O b j e c t K e y > < K e y > C o l u m n s \ R E 1 0 0   C o m m i t m e n t ?   ( Y / N ) < / K e y > < / D i a g r a m O b j e c t K e y > < D i a g r a m O b j e c t K e y > < K e y > C o l u m n s \ 1 0 0 %   R e n e w a b l e   E n e r g y   b y . . .   ( y e a r ) < / K e y > < / D i a g r a m O b j e c t K e y > < D i a g r a m O b j e c t K e y > < K e y > C o l u m n s \ 2 0 1 9   S c o p e   1   ( M e T   C o 2 ) < / K e y > < / D i a g r a m O b j e c t K e y > < D i a g r a m O b j e c t K e y > < K e y > C o l u m n s \ 2 0 1 9   S c o p e   2 < / K e y > < / D i a g r a m O b j e c t K e y > < D i a g r a m O b j e c t K e y > < K e y > C o l u m n s \ 2 0 1 9   O f f s e t s   P u r c h a s e d < / K e y > < / D i a g r a m O b j e c t K e y > < D i a g r a m O b j e c t K e y > < K e y > C o l u m n s \ 2 0 1 9   N e t   S c o p e   1   +   2   E m i s s i o n s < / K e y > < / D i a g r a m O b j e c t K e y > < D i a g r a m O b j e c t K e y > < K e y > C o l u m n s \ 2 0 1 9   S c o p e   3 < / K e y > < / D i a g r a m O b j e c t K e y > < D i a g r a m O b j e c t K e y > < K e y > C o l u m n s \ 2 0 1 8   S c o p e   1 < / K e y > < / D i a g r a m O b j e c t K e y > < D i a g r a m O b j e c t K e y > < K e y > C o l u m n s \ 2 0 1 8   S c o p e   2 < / K e y > < / D i a g r a m O b j e c t K e y > < D i a g r a m O b j e c t K e y > < K e y > C o l u m n s \ 2 0 1 8   O f f s e t s   P u r c h a s e d < / K e y > < / D i a g r a m O b j e c t K e y > < D i a g r a m O b j e c t K e y > < K e y > C o l u m n s \ 2 0 1 8   N e t   S c o p e   1   +   2   E m i s s i o n s < / K e y > < / D i a g r a m O b j e c t K e y > < D i a g r a m O b j e c t K e y > < K e y > C o l u m n s \ 2 0 1 8   S c o p e   3 < / K e y > < / D i a g r a m O b j e c t K e y > < D i a g r a m O b j e c t K e y > < K e y > C o l u m n s \ 2 0 1 7   S c o p e   1 < / K e y > < / D i a g r a m O b j e c t K e y > < D i a g r a m O b j e c t K e y > < K e y > C o l u m n s \ 2 0 1 7   S c o p e   2 < / K e y > < / D i a g r a m O b j e c t K e y > < D i a g r a m O b j e c t K e y > < K e y > C o l u m n s \ 2 0 1 7   O f f s e t s   P u r c h a s e d < / K e y > < / D i a g r a m O b j e c t K e y > < D i a g r a m O b j e c t K e y > < K e y > C o l u m n s \ 2 0 1 7   N e t   S c o p e   1   +   2   E m i s s i o n s < / K e y > < / D i a g r a m O b j e c t K e y > < D i a g r a m O b j e c t K e y > < K e y > C o l u m n s \ 2 0 1 7   S c o p e   3 < / K e y > < / D i a g r a m O b j e c t K e y > < D i a g r a m O b j e c t K e y > < K e y > C o l u m n s \ 2 0 1 6   S c o p e   1 < / K e y > < / D i a g r a m O b j e c t K e y > < D i a g r a m O b j e c t K e y > < K e y > C o l u m n s \ 2 0 1 6   S c o p e   2 < / K e y > < / D i a g r a m O b j e c t K e y > < D i a g r a m O b j e c t K e y > < K e y > C o l u m n s \ 2 0 1 6   O f f s e t s   P u r c h a s e d < / K e y > < / D i a g r a m O b j e c t K e y > < D i a g r a m O b j e c t K e y > < K e y > C o l u m n s \ 2 0 1 6   N e t   S c o p e   1   +   2   E m i s s i o n s < / K e y > < / D i a g r a m O b j e c t K e y > < D i a g r a m O b j e c t K e y > < K e y > C o l u m n s \ 2 0 1 6   S c o p e   3 < / K e y > < / D i a g r a m O b j e c t K e y > < D i a g r a m O b j e c t K e y > < K e y > C o l u m n s \ 2 0 1 5   S c o p e   1 < / K e y > < / D i a g r a m O b j e c t K e y > < D i a g r a m O b j e c t K e y > < K e y > C o l u m n s \ 2 0 1 5   S c o p e   2 < / K e y > < / D i a g r a m O b j e c t K e y > < D i a g r a m O b j e c t K e y > < K e y > C o l u m n s \ 2 0 1 5   O f f s e t s   P u r c h a s e d < / K e y > < / D i a g r a m O b j e c t K e y > < D i a g r a m O b j e c t K e y > < K e y > C o l u m n s \ 2 0 1 5   N e t   S c o p e   1   +   2   E m i s s i o n s < / K e y > < / D i a g r a m O b j e c t K e y > < D i a g r a m O b j e c t K e y > < K e y > C o l u m n s \ 2 0 1 5   S c o p e   3 < / K e y > < / D i a g r a m O b j e c t K e y > < D i a g r a m O b j e c t K e y > < K e y > C o l u m n s \ P o l i c y   A r m ? < / K e y > < / D i a g r a m O b j e c t K e y > < D i a g r a m O b j e c t K e y > < K e y > C o l u m n s \ I n i t i a t i v e s   f o r   C a r b o n   N e u t r a l i t y < / K e y > < / D i a g r a m O b j e c t K e y > < D i a g r a m O b j e c t K e y > < K e y > C o l u m n s \ N o t e s < / K e y > < / D i a g r a m O b j e c t K e y > < D i a g r a m O b j e c t K e y > < K e y > C o l u m n s \ S o u r c e s < / K e y > < / D i a g r a m O b j e c t K e y > < D i a g r a m O b j e c t K e y > < K e y > C o l u m n s \ 2 0 0 7 < / K e y > < / D i a g r a m O b j e c t K e y > < D i a g r a m O b j e c t K e y > < K e y > C o l u m n s \ 2 0 1 5 < / K e y > < / D i a g r a m O b j e c t K e y > < D i a g r a m O b j e c t K e y > < K e y > C o l u m n s \ 2 0 1 6 < / K e y > < / D i a g r a m O b j e c t K e y > < D i a g r a m O b j e c t K e y > < K e y > C o l u m n s \ 2 0 1 7 < / K e y > < / D i a g r a m O b j e c t K e y > < D i a g r a m O b j e c t K e y > < K e y > C o l u m n s \ 2 0 1 8 < / K e y > < / D i a g r a m O b j e c t K e y > < D i a g r a m O b j e c t K e y > < K e y > C o l u m n s \ 2 0 1 9 < / K e y > < / D i a g r a m O b j e c t K e y > < D i a g r a m O b j e c t K e y > < K e y > C o l u m n s \ 2 0 2 0 < / K e y > < / D i a g r a m O b j e c t K e y > < D i a g r a m O b j e c t K e y > < K e y > C o l u m n s \ 2 0 2 2 < / K e y > < / D i a g r a m O b j e c t K e y > < D i a g r a m O b j e c t K e y > < K e y > C o l u m n s \ 2 0 2 3 < / K e y > < / D i a g r a m O b j e c t K e y > < D i a g r a m O b j e c t K e y > < K e y > C o l u m n s \ 2 0 2 5 < / K e y > < / D i a g r a m O b j e c t K e y > < D i a g r a m O b j e c t K e y > < K e y > C o l u m n s \ 2 0 2 9 < / K e y > < / D i a g r a m O b j e c t K e y > < D i a g r a m O b j e c t K e y > < K e y > C o l u m n s \ 2 0 3 0 < / K e y > < / D i a g r a m O b j e c t K e y > < D i a g r a m O b j e c t K e y > < K e y > C o l u m n s \ 2 0 3 5 < / K e y > < / D i a g r a m O b j e c t K e y > < D i a g r a m O b j e c t K e y > < K e y > C o l u m n s \ 2 0 4 0 < / K e y > < / D i a g r a m O b j e c t K e y > < D i a g r a m O b j e c t K e y > < K e y > C o l u m n s \ 2 0 4 4 < / K e y > < / D i a g r a m O b j e c t K e y > < D i a g r a m O b j e c t K e y > < K e y > C o l u m n s \ 2 0 5 0 < / K e y > < / D i a g r a m O b j e c t K e y > < D i a g r a m O b j e c t K e y > < K e y > M e a s u r e s \ C o u n t   o f   C a r b o n   N e u t r a l   G o a l ?   ( Y / N ) < / K e y > < / D i a g r a m O b j e c t K e y > < D i a g r a m O b j e c t K e y > < K e y > M e a s u r e s \ C o u n t   o f   C a r b o n   N e u t r a l   G o a l ?   ( Y / N ) \ T a g I n f o \ F o r m u l a < / K e y > < / D i a g r a m O b j e c t K e y > < D i a g r a m O b j e c t K e y > < K e y > M e a s u r e s \ C o u n t   o f   C a r b o n   N e u t r a l   G o a l ?   ( Y / N ) \ T a g I n f o \ V a l u e < / K e y > < / D i a g r a m O b j e c t K e y > < D i a g r a m O b j e c t K e y > < K e y > L i n k s \ & l t ; C o l u m n s \ C o u n t   o f   C a r b o n   N e u t r a l   G o a l ?   ( Y / N ) & g t ; - & l t ; M e a s u r e s \ C a r b o n   N e u t r a l   G o a l ?   ( Y / N ) & g t ; < / K e y > < / D i a g r a m O b j e c t K e y > < D i a g r a m O b j e c t K e y > < K e y > L i n k s \ & l t ; C o l u m n s \ C o u n t   o f   C a r b o n   N e u t r a l   G o a l ?   ( Y / N ) & g t ; - & l t ; M e a s u r e s \ C a r b o n   N e u t r a l   G o a l ?   ( Y / N ) & g t ; \ C O L U M N < / K e y > < / D i a g r a m O b j e c t K e y > < D i a g r a m O b j e c t K e y > < K e y > L i n k s \ & l t ; C o l u m n s \ C o u n t   o f   C a r b o n   N e u t r a l   G o a l ?   ( Y / N ) & g t ; - & l t ; M e a s u r e s \ C a r b o n   N e u t r a l   G o a l ?   ( Y / N ) & g t ; \ M E A S U R E 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 C o l u m n s \ C o m p a n y   N a m e < / K e y > < / a : K e y > < a : V a l u e   i : t y p e = " M e a s u r e G r i d N o d e V i e w S t a t e " > < L a y e d O u t > t r u e < / L a y e d O u t > < / a : V a l u e > < / a : K e y V a l u e O f D i a g r a m O b j e c t K e y a n y T y p e z b w N T n L X > < a : K e y V a l u e O f D i a g r a m O b j e c t K e y a n y T y p e z b w N T n L X > < a : K e y > < K e y > C o l u m n s \ S e c t o r < / K e y > < / a : K e y > < a : V a l u e   i : t y p e = " M e a s u r e G r i d N o d e V i e w S t a t e " > < C o l u m n > 1 < / C o l u m n > < L a y e d O u t > t r u e < / L a y e d O u t > < / a : V a l u e > < / a : K e y V a l u e O f D i a g r a m O b j e c t K e y a n y T y p e z b w N T n L X > < a : K e y V a l u e O f D i a g r a m O b j e c t K e y a n y T y p e z b w N T n L X > < a : K e y > < K e y > C o l u m n s \ I n d u s t r y < / K e y > < / a : K e y > < a : V a l u e   i : t y p e = " M e a s u r e G r i d N o d e V i e w S t a t e " > < C o l u m n > 2 < / C o l u m n > < L a y e d O u t > t r u e < / L a y e d O u t > < / a : V a l u e > < / a : K e y V a l u e O f D i a g r a m O b j e c t K e y a n y T y p e z b w N T n L X > < a : K e y V a l u e O f D i a g r a m O b j e c t K e y a n y T y p e z b w N T n L X > < a : K e y > < K e y > C o l u m n s \ S i z e   ( 2 0 1 9   R e v e n u e ) < / K e y > < / a : K e y > < a : V a l u e   i : t y p e = " M e a s u r e G r i d N o d e V i e w S t a t e " > < C o l u m n > 3 < / C o l u m n > < L a y e d O u t > t r u e < / L a y e d O u t > < / a : V a l u e > < / a : K e y V a l u e O f D i a g r a m O b j e c t K e y a n y T y p e z b w N T n L X > < a : K e y V a l u e O f D i a g r a m O b j e c t K e y a n y T y p e z b w N T n L X > < a : K e y > < K e y > C o l u m n s \ N e t   E a r n i n g s / I n c o m e   ( 2 0 1 9 ) < / K e y > < / a : K e y > < a : V a l u e   i : t y p e = " M e a s u r e G r i d N o d e V i e w S t a t e " > < C o l u m n > 4 < / C o l u m n > < L a y e d O u t > t r u e < / L a y e d O u t > < / a : V a l u e > < / a : K e y V a l u e O f D i a g r a m O b j e c t K e y a n y T y p e z b w N T n L X > < a : K e y V a l u e O f D i a g r a m O b j e c t K e y a n y T y p e z b w N T n L X > < a : K e y > < K e y > C o l u m n s \ I P O   Y e a r < / K e y > < / a : K e y > < a : V a l u e   i : t y p e = " M e a s u r e G r i d N o d e V i e w S t a t e " > < C o l u m n > 5 < / C o l u m n > < L a y e d O u t > t r u e < / L a y e d O u t > < / a : V a l u e > < / a : K e y V a l u e O f D i a g r a m O b j e c t K e y a n y T y p e z b w N T n L X > < a : K e y V a l u e O f D i a g r a m O b j e c t K e y a n y T y p e z b w N T n L X > < a : K e y > < K e y > C o l u m n s \ S & a m p ; P   1 0 0 ?   ( Y / N ) < / K e y > < / a : K e y > < a : V a l u e   i : t y p e = " M e a s u r e G r i d N o d e V i e w S t a t e " > < C o l u m n > 6 < / C o l u m n > < L a y e d O u t > t r u e < / L a y e d O u t > < / a : V a l u e > < / a : K e y V a l u e O f D i a g r a m O b j e c t K e y a n y T y p e z b w N T n L X > < a : K e y V a l u e O f D i a g r a m O b j e c t K e y a n y T y p e z b w N T n L X > < a : K e y > < K e y > C o l u m n s \ C a r b o n   N e u t r a l   G o a l ?   ( Y / N ) < / K e y > < / a : K e y > < a : V a l u e   i : t y p e = " M e a s u r e G r i d N o d e V i e w S t a t e " > < C o l u m n > 7 < / C o l u m n > < L a y e d O u t > t r u e < / L a y e d O u t > < / a : V a l u e > < / a : K e y V a l u e O f D i a g r a m O b j e c t K e y a n y T y p e z b w N T n L X > < a : K e y V a l u e O f D i a g r a m O b j e c t K e y a n y T y p e z b w N T n L X > < a : K e y > < K e y > C o l u m n s \ S c i e n c e - B a s e d   T a r g e t ?   ( Y / N ) < / K e y > < / a : K e y > < a : V a l u e   i : t y p e = " M e a s u r e G r i d N o d e V i e w S t a t e " > < C o l u m n > 8 < / C o l u m n > < L a y e d O u t > t r u e < / L a y e d O u t > < / a : V a l u e > < / a : K e y V a l u e O f D i a g r a m O b j e c t K e y a n y T y p e z b w N T n L X > < a : K e y V a l u e O f D i a g r a m O b j e c t K e y a n y T y p e z b w N T n L X > < a : K e y > < K e y > C o l u m n s \ C a r b o n   N e u t r a l   b y . . . .   ( y e a r ) < / K e y > < / a : K e y > < a : V a l u e   i : t y p e = " M e a s u r e G r i d N o d e V i e w S t a t e " > < C o l u m n > 9 < / C o l u m n > < L a y e d O u t > t r u e < / L a y e d O u t > < / a : V a l u e > < / a : K e y V a l u e O f D i a g r a m O b j e c t K e y a n y T y p e z b w N T n L X > < a : K e y V a l u e O f D i a g r a m O b j e c t K e y a n y T y p e z b w N T n L X > < a : K e y > < K e y > C o l u m n s \ C a r b o n   N e u t r a l   A n n o u n c e m e n t   ( y e a r ) < / K e y > < / a : K e y > < a : V a l u e   i : t y p e = " M e a s u r e G r i d N o d e V i e w S t a t e " > < C o l u m n > 1 0 < / C o l u m n > < L a y e d O u t > t r u e < / L a y e d O u t > < / a : V a l u e > < / a : K e y V a l u e O f D i a g r a m O b j e c t K e y a n y T y p e z b w N T n L X > < a : K e y V a l u e O f D i a g r a m O b j e c t K e y a n y T y p e z b w N T n L X > < a : K e y > < K e y > C o l u m n s \ C a r b o n   G o a l   ( i f   n o n - z e r o ) < / K e y > < / a : K e y > < a : V a l u e   i : t y p e = " M e a s u r e G r i d N o d e V i e w S t a t e " > < C o l u m n > 1 1 < / C o l u m n > < L a y e d O u t > t r u e < / L a y e d O u t > < / a : V a l u e > < / a : K e y V a l u e O f D i a g r a m O b j e c t K e y a n y T y p e z b w N T n L X > < a : K e y V a l u e O f D i a g r a m O b j e c t K e y a n y T y p e z b w N T n L X > < a : K e y > < K e y > C o l u m n s \ R e l i a n c e   o n   O f f s e t s ?   ( Y / N ) < / K e y > < / a : K e y > < a : V a l u e   i : t y p e = " M e a s u r e G r i d N o d e V i e w S t a t e " > < C o l u m n > 1 2 < / C o l u m n > < L a y e d O u t > t r u e < / L a y e d O u t > < / a : V a l u e > < / a : K e y V a l u e O f D i a g r a m O b j e c t K e y a n y T y p e z b w N T n L X > < a : K e y V a l u e O f D i a g r a m O b j e c t K e y a n y T y p e z b w N T n L X > < a : K e y > < K e y > C o l u m n s \ R E 1 0 0   C o m m i t m e n t ?   ( Y / N ) < / K e y > < / a : K e y > < a : V a l u e   i : t y p e = " M e a s u r e G r i d N o d e V i e w S t a t e " > < C o l u m n > 1 3 < / C o l u m n > < L a y e d O u t > t r u e < / L a y e d O u t > < / a : V a l u e > < / a : K e y V a l u e O f D i a g r a m O b j e c t K e y a n y T y p e z b w N T n L X > < a : K e y V a l u e O f D i a g r a m O b j e c t K e y a n y T y p e z b w N T n L X > < a : K e y > < K e y > C o l u m n s \ 1 0 0 %   R e n e w a b l e   E n e r g y   b y . . .   ( y e a r ) < / K e y > < / a : K e y > < a : V a l u e   i : t y p e = " M e a s u r e G r i d N o d e V i e w S t a t e " > < C o l u m n > 1 4 < / C o l u m n > < L a y e d O u t > t r u e < / L a y e d O u t > < / a : V a l u e > < / a : K e y V a l u e O f D i a g r a m O b j e c t K e y a n y T y p e z b w N T n L X > < a : K e y V a l u e O f D i a g r a m O b j e c t K e y a n y T y p e z b w N T n L X > < a : K e y > < K e y > C o l u m n s \ 2 0 1 9   S c o p e   1   ( M e T   C o 2 ) < / K e y > < / a : K e y > < a : V a l u e   i : t y p e = " M e a s u r e G r i d N o d e V i e w S t a t e " > < C o l u m n > 1 5 < / C o l u m n > < L a y e d O u t > t r u e < / L a y e d O u t > < / a : V a l u e > < / a : K e y V a l u e O f D i a g r a m O b j e c t K e y a n y T y p e z b w N T n L X > < a : K e y V a l u e O f D i a g r a m O b j e c t K e y a n y T y p e z b w N T n L X > < a : K e y > < K e y > C o l u m n s \ 2 0 1 9   S c o p e   2 < / K e y > < / a : K e y > < a : V a l u e   i : t y p e = " M e a s u r e G r i d N o d e V i e w S t a t e " > < C o l u m n > 1 6 < / C o l u m n > < L a y e d O u t > t r u e < / L a y e d O u t > < / a : V a l u e > < / a : K e y V a l u e O f D i a g r a m O b j e c t K e y a n y T y p e z b w N T n L X > < a : K e y V a l u e O f D i a g r a m O b j e c t K e y a n y T y p e z b w N T n L X > < a : K e y > < K e y > C o l u m n s \ 2 0 1 9   O f f s e t s   P u r c h a s e d < / K e y > < / a : K e y > < a : V a l u e   i : t y p e = " M e a s u r e G r i d N o d e V i e w S t a t e " > < C o l u m n > 1 7 < / C o l u m n > < L a y e d O u t > t r u e < / L a y e d O u t > < / a : V a l u e > < / a : K e y V a l u e O f D i a g r a m O b j e c t K e y a n y T y p e z b w N T n L X > < a : K e y V a l u e O f D i a g r a m O b j e c t K e y a n y T y p e z b w N T n L X > < a : K e y > < K e y > C o l u m n s \ 2 0 1 9   N e t   S c o p e   1   +   2   E m i s s i o n s < / K e y > < / a : K e y > < a : V a l u e   i : t y p e = " M e a s u r e G r i d N o d e V i e w S t a t e " > < C o l u m n > 1 8 < / C o l u m n > < L a y e d O u t > t r u e < / L a y e d O u t > < / a : V a l u e > < / a : K e y V a l u e O f D i a g r a m O b j e c t K e y a n y T y p e z b w N T n L X > < a : K e y V a l u e O f D i a g r a m O b j e c t K e y a n y T y p e z b w N T n L X > < a : K e y > < K e y > C o l u m n s \ 2 0 1 9   S c o p e   3 < / K e y > < / a : K e y > < a : V a l u e   i : t y p e = " M e a s u r e G r i d N o d e V i e w S t a t e " > < C o l u m n > 1 9 < / C o l u m n > < L a y e d O u t > t r u e < / L a y e d O u t > < / a : V a l u e > < / a : K e y V a l u e O f D i a g r a m O b j e c t K e y a n y T y p e z b w N T n L X > < a : K e y V a l u e O f D i a g r a m O b j e c t K e y a n y T y p e z b w N T n L X > < a : K e y > < K e y > C o l u m n s \ 2 0 1 8   S c o p e   1 < / K e y > < / a : K e y > < a : V a l u e   i : t y p e = " M e a s u r e G r i d N o d e V i e w S t a t e " > < C o l u m n > 2 0 < / C o l u m n > < L a y e d O u t > t r u e < / L a y e d O u t > < / a : V a l u e > < / a : K e y V a l u e O f D i a g r a m O b j e c t K e y a n y T y p e z b w N T n L X > < a : K e y V a l u e O f D i a g r a m O b j e c t K e y a n y T y p e z b w N T n L X > < a : K e y > < K e y > C o l u m n s \ 2 0 1 8   S c o p e   2 < / K e y > < / a : K e y > < a : V a l u e   i : t y p e = " M e a s u r e G r i d N o d e V i e w S t a t e " > < C o l u m n > 2 1 < / C o l u m n > < L a y e d O u t > t r u e < / L a y e d O u t > < / a : V a l u e > < / a : K e y V a l u e O f D i a g r a m O b j e c t K e y a n y T y p e z b w N T n L X > < a : K e y V a l u e O f D i a g r a m O b j e c t K e y a n y T y p e z b w N T n L X > < a : K e y > < K e y > C o l u m n s \ 2 0 1 8   O f f s e t s   P u r c h a s e d < / K e y > < / a : K e y > < a : V a l u e   i : t y p e = " M e a s u r e G r i d N o d e V i e w S t a t e " > < C o l u m n > 2 2 < / C o l u m n > < L a y e d O u t > t r u e < / L a y e d O u t > < / a : V a l u e > < / a : K e y V a l u e O f D i a g r a m O b j e c t K e y a n y T y p e z b w N T n L X > < a : K e y V a l u e O f D i a g r a m O b j e c t K e y a n y T y p e z b w N T n L X > < a : K e y > < K e y > C o l u m n s \ 2 0 1 8   N e t   S c o p e   1   +   2   E m i s s i o n s < / K e y > < / a : K e y > < a : V a l u e   i : t y p e = " M e a s u r e G r i d N o d e V i e w S t a t e " > < C o l u m n > 2 3 < / C o l u m n > < L a y e d O u t > t r u e < / L a y e d O u t > < / a : V a l u e > < / a : K e y V a l u e O f D i a g r a m O b j e c t K e y a n y T y p e z b w N T n L X > < a : K e y V a l u e O f D i a g r a m O b j e c t K e y a n y T y p e z b w N T n L X > < a : K e y > < K e y > C o l u m n s \ 2 0 1 8   S c o p e   3 < / K e y > < / a : K e y > < a : V a l u e   i : t y p e = " M e a s u r e G r i d N o d e V i e w S t a t e " > < C o l u m n > 2 4 < / C o l u m n > < L a y e d O u t > t r u e < / L a y e d O u t > < / a : V a l u e > < / a : K e y V a l u e O f D i a g r a m O b j e c t K e y a n y T y p e z b w N T n L X > < a : K e y V a l u e O f D i a g r a m O b j e c t K e y a n y T y p e z b w N T n L X > < a : K e y > < K e y > C o l u m n s \ 2 0 1 7   S c o p e   1 < / K e y > < / a : K e y > < a : V a l u e   i : t y p e = " M e a s u r e G r i d N o d e V i e w S t a t e " > < C o l u m n > 2 5 < / C o l u m n > < L a y e d O u t > t r u e < / L a y e d O u t > < / a : V a l u e > < / a : K e y V a l u e O f D i a g r a m O b j e c t K e y a n y T y p e z b w N T n L X > < a : K e y V a l u e O f D i a g r a m O b j e c t K e y a n y T y p e z b w N T n L X > < a : K e y > < K e y > C o l u m n s \ 2 0 1 7   S c o p e   2 < / K e y > < / a : K e y > < a : V a l u e   i : t y p e = " M e a s u r e G r i d N o d e V i e w S t a t e " > < C o l u m n > 2 6 < / C o l u m n > < L a y e d O u t > t r u e < / L a y e d O u t > < / a : V a l u e > < / a : K e y V a l u e O f D i a g r a m O b j e c t K e y a n y T y p e z b w N T n L X > < a : K e y V a l u e O f D i a g r a m O b j e c t K e y a n y T y p e z b w N T n L X > < a : K e y > < K e y > C o l u m n s \ 2 0 1 7   O f f s e t s   P u r c h a s e d < / K e y > < / a : K e y > < a : V a l u e   i : t y p e = " M e a s u r e G r i d N o d e V i e w S t a t e " > < C o l u m n > 2 7 < / C o l u m n > < L a y e d O u t > t r u e < / L a y e d O u t > < / a : V a l u e > < / a : K e y V a l u e O f D i a g r a m O b j e c t K e y a n y T y p e z b w N T n L X > < a : K e y V a l u e O f D i a g r a m O b j e c t K e y a n y T y p e z b w N T n L X > < a : K e y > < K e y > C o l u m n s \ 2 0 1 7   N e t   S c o p e   1   +   2   E m i s s i o n s < / K e y > < / a : K e y > < a : V a l u e   i : t y p e = " M e a s u r e G r i d N o d e V i e w S t a t e " > < C o l u m n > 2 8 < / C o l u m n > < L a y e d O u t > t r u e < / L a y e d O u t > < / a : V a l u e > < / a : K e y V a l u e O f D i a g r a m O b j e c t K e y a n y T y p e z b w N T n L X > < a : K e y V a l u e O f D i a g r a m O b j e c t K e y a n y T y p e z b w N T n L X > < a : K e y > < K e y > C o l u m n s \ 2 0 1 7   S c o p e   3 < / K e y > < / a : K e y > < a : V a l u e   i : t y p e = " M e a s u r e G r i d N o d e V i e w S t a t e " > < C o l u m n > 2 9 < / C o l u m n > < L a y e d O u t > t r u e < / L a y e d O u t > < / a : V a l u e > < / a : K e y V a l u e O f D i a g r a m O b j e c t K e y a n y T y p e z b w N T n L X > < a : K e y V a l u e O f D i a g r a m O b j e c t K e y a n y T y p e z b w N T n L X > < a : K e y > < K e y > C o l u m n s \ 2 0 1 6   S c o p e   1 < / K e y > < / a : K e y > < a : V a l u e   i : t y p e = " M e a s u r e G r i d N o d e V i e w S t a t e " > < C o l u m n > 3 0 < / C o l u m n > < L a y e d O u t > t r u e < / L a y e d O u t > < / a : V a l u e > < / a : K e y V a l u e O f D i a g r a m O b j e c t K e y a n y T y p e z b w N T n L X > < a : K e y V a l u e O f D i a g r a m O b j e c t K e y a n y T y p e z b w N T n L X > < a : K e y > < K e y > C o l u m n s \ 2 0 1 6   S c o p e   2 < / K e y > < / a : K e y > < a : V a l u e   i : t y p e = " M e a s u r e G r i d N o d e V i e w S t a t e " > < C o l u m n > 3 1 < / C o l u m n > < L a y e d O u t > t r u e < / L a y e d O u t > < / a : V a l u e > < / a : K e y V a l u e O f D i a g r a m O b j e c t K e y a n y T y p e z b w N T n L X > < a : K e y V a l u e O f D i a g r a m O b j e c t K e y a n y T y p e z b w N T n L X > < a : K e y > < K e y > C o l u m n s \ 2 0 1 6   O f f s e t s   P u r c h a s e d < / K e y > < / a : K e y > < a : V a l u e   i : t y p e = " M e a s u r e G r i d N o d e V i e w S t a t e " > < C o l u m n > 3 2 < / C o l u m n > < L a y e d O u t > t r u e < / L a y e d O u t > < / a : V a l u e > < / a : K e y V a l u e O f D i a g r a m O b j e c t K e y a n y T y p e z b w N T n L X > < a : K e y V a l u e O f D i a g r a m O b j e c t K e y a n y T y p e z b w N T n L X > < a : K e y > < K e y > C o l u m n s \ 2 0 1 6   N e t   S c o p e   1   +   2   E m i s s i o n s < / K e y > < / a : K e y > < a : V a l u e   i : t y p e = " M e a s u r e G r i d N o d e V i e w S t a t e " > < C o l u m n > 3 3 < / C o l u m n > < L a y e d O u t > t r u e < / L a y e d O u t > < / a : V a l u e > < / a : K e y V a l u e O f D i a g r a m O b j e c t K e y a n y T y p e z b w N T n L X > < a : K e y V a l u e O f D i a g r a m O b j e c t K e y a n y T y p e z b w N T n L X > < a : K e y > < K e y > C o l u m n s \ 2 0 1 6   S c o p e   3 < / K e y > < / a : K e y > < a : V a l u e   i : t y p e = " M e a s u r e G r i d N o d e V i e w S t a t e " > < C o l u m n > 3 4 < / C o l u m n > < L a y e d O u t > t r u e < / L a y e d O u t > < / a : V a l u e > < / a : K e y V a l u e O f D i a g r a m O b j e c t K e y a n y T y p e z b w N T n L X > < a : K e y V a l u e O f D i a g r a m O b j e c t K e y a n y T y p e z b w N T n L X > < a : K e y > < K e y > C o l u m n s \ 2 0 1 5   S c o p e   1 < / K e y > < / a : K e y > < a : V a l u e   i : t y p e = " M e a s u r e G r i d N o d e V i e w S t a t e " > < C o l u m n > 3 5 < / C o l u m n > < L a y e d O u t > t r u e < / L a y e d O u t > < / a : V a l u e > < / a : K e y V a l u e O f D i a g r a m O b j e c t K e y a n y T y p e z b w N T n L X > < a : K e y V a l u e O f D i a g r a m O b j e c t K e y a n y T y p e z b w N T n L X > < a : K e y > < K e y > C o l u m n s \ 2 0 1 5   S c o p e   2 < / K e y > < / a : K e y > < a : V a l u e   i : t y p e = " M e a s u r e G r i d N o d e V i e w S t a t e " > < C o l u m n > 3 6 < / C o l u m n > < L a y e d O u t > t r u e < / L a y e d O u t > < / a : V a l u e > < / a : K e y V a l u e O f D i a g r a m O b j e c t K e y a n y T y p e z b w N T n L X > < a : K e y V a l u e O f D i a g r a m O b j e c t K e y a n y T y p e z b w N T n L X > < a : K e y > < K e y > C o l u m n s \ 2 0 1 5   O f f s e t s   P u r c h a s e d < / K e y > < / a : K e y > < a : V a l u e   i : t y p e = " M e a s u r e G r i d N o d e V i e w S t a t e " > < C o l u m n > 3 7 < / C o l u m n > < L a y e d O u t > t r u e < / L a y e d O u t > < / a : V a l u e > < / a : K e y V a l u e O f D i a g r a m O b j e c t K e y a n y T y p e z b w N T n L X > < a : K e y V a l u e O f D i a g r a m O b j e c t K e y a n y T y p e z b w N T n L X > < a : K e y > < K e y > C o l u m n s \ 2 0 1 5   N e t   S c o p e   1   +   2   E m i s s i o n s < / K e y > < / a : K e y > < a : V a l u e   i : t y p e = " M e a s u r e G r i d N o d e V i e w S t a t e " > < C o l u m n > 3 8 < / C o l u m n > < L a y e d O u t > t r u e < / L a y e d O u t > < / a : V a l u e > < / a : K e y V a l u e O f D i a g r a m O b j e c t K e y a n y T y p e z b w N T n L X > < a : K e y V a l u e O f D i a g r a m O b j e c t K e y a n y T y p e z b w N T n L X > < a : K e y > < K e y > C o l u m n s \ 2 0 1 5   S c o p e   3 < / K e y > < / a : K e y > < a : V a l u e   i : t y p e = " M e a s u r e G r i d N o d e V i e w S t a t e " > < C o l u m n > 3 9 < / C o l u m n > < L a y e d O u t > t r u e < / L a y e d O u t > < / a : V a l u e > < / a : K e y V a l u e O f D i a g r a m O b j e c t K e y a n y T y p e z b w N T n L X > < a : K e y V a l u e O f D i a g r a m O b j e c t K e y a n y T y p e z b w N T n L X > < a : K e y > < K e y > C o l u m n s \ P o l i c y   A r m ? < / K e y > < / a : K e y > < a : V a l u e   i : t y p e = " M e a s u r e G r i d N o d e V i e w S t a t e " > < C o l u m n > 4 0 < / C o l u m n > < L a y e d O u t > t r u e < / L a y e d O u t > < / a : V a l u e > < / a : K e y V a l u e O f D i a g r a m O b j e c t K e y a n y T y p e z b w N T n L X > < a : K e y V a l u e O f D i a g r a m O b j e c t K e y a n y T y p e z b w N T n L X > < a : K e y > < K e y > C o l u m n s \ I n i t i a t i v e s   f o r   C a r b o n   N e u t r a l i t y < / K e y > < / a : K e y > < a : V a l u e   i : t y p e = " M e a s u r e G r i d N o d e V i e w S t a t e " > < C o l u m n > 4 1 < / C o l u m n > < L a y e d O u t > t r u e < / L a y e d O u t > < / a : V a l u e > < / a : K e y V a l u e O f D i a g r a m O b j e c t K e y a n y T y p e z b w N T n L X > < a : K e y V a l u e O f D i a g r a m O b j e c t K e y a n y T y p e z b w N T n L X > < a : K e y > < K e y > C o l u m n s \ N o t e s < / K e y > < / a : K e y > < a : V a l u e   i : t y p e = " M e a s u r e G r i d N o d e V i e w S t a t e " > < C o l u m n > 4 2 < / C o l u m n > < L a y e d O u t > t r u e < / L a y e d O u t > < / a : V a l u e > < / a : K e y V a l u e O f D i a g r a m O b j e c t K e y a n y T y p e z b w N T n L X > < a : K e y V a l u e O f D i a g r a m O b j e c t K e y a n y T y p e z b w N T n L X > < a : K e y > < K e y > C o l u m n s \ S o u r c e s < / K e y > < / a : K e y > < a : V a l u e   i : t y p e = " M e a s u r e G r i d N o d e V i e w S t a t e " > < C o l u m n > 4 3 < / C o l u m n > < L a y e d O u t > t r u e < / L a y e d O u t > < / a : V a l u e > < / a : K e y V a l u e O f D i a g r a m O b j e c t K e y a n y T y p e z b w N T n L X > < a : K e y V a l u e O f D i a g r a m O b j e c t K e y a n y T y p e z b w N T n L X > < a : K e y > < K e y > C o l u m n s \ 2 0 0 7 < / K e y > < / a : K e y > < a : V a l u e   i : t y p e = " M e a s u r e G r i d N o d e V i e w S t a t e " > < C o l u m n > 4 4 < / C o l u m n > < L a y e d O u t > t r u e < / L a y e d O u t > < / a : V a l u e > < / a : K e y V a l u e O f D i a g r a m O b j e c t K e y a n y T y p e z b w N T n L X > < a : K e y V a l u e O f D i a g r a m O b j e c t K e y a n y T y p e z b w N T n L X > < a : K e y > < K e y > C o l u m n s \ 2 0 1 5 < / K e y > < / a : K e y > < a : V a l u e   i : t y p e = " M e a s u r e G r i d N o d e V i e w S t a t e " > < C o l u m n > 4 5 < / C o l u m n > < L a y e d O u t > t r u e < / L a y e d O u t > < / a : V a l u e > < / a : K e y V a l u e O f D i a g r a m O b j e c t K e y a n y T y p e z b w N T n L X > < a : K e y V a l u e O f D i a g r a m O b j e c t K e y a n y T y p e z b w N T n L X > < a : K e y > < K e y > C o l u m n s \ 2 0 1 6 < / K e y > < / a : K e y > < a : V a l u e   i : t y p e = " M e a s u r e G r i d N o d e V i e w S t a t e " > < C o l u m n > 4 6 < / C o l u m n > < L a y e d O u t > t r u e < / L a y e d O u t > < / a : V a l u e > < / a : K e y V a l u e O f D i a g r a m O b j e c t K e y a n y T y p e z b w N T n L X > < a : K e y V a l u e O f D i a g r a m O b j e c t K e y a n y T y p e z b w N T n L X > < a : K e y > < K e y > C o l u m n s \ 2 0 1 7 < / K e y > < / a : K e y > < a : V a l u e   i : t y p e = " M e a s u r e G r i d N o d e V i e w S t a t e " > < C o l u m n > 4 7 < / C o l u m n > < L a y e d O u t > t r u e < / L a y e d O u t > < / a : V a l u e > < / a : K e y V a l u e O f D i a g r a m O b j e c t K e y a n y T y p e z b w N T n L X > < a : K e y V a l u e O f D i a g r a m O b j e c t K e y a n y T y p e z b w N T n L X > < a : K e y > < K e y > C o l u m n s \ 2 0 1 8 < / K e y > < / a : K e y > < a : V a l u e   i : t y p e = " M e a s u r e G r i d N o d e V i e w S t a t e " > < C o l u m n > 4 8 < / C o l u m n > < L a y e d O u t > t r u e < / L a y e d O u t > < / a : V a l u e > < / a : K e y V a l u e O f D i a g r a m O b j e c t K e y a n y T y p e z b w N T n L X > < a : K e y V a l u e O f D i a g r a m O b j e c t K e y a n y T y p e z b w N T n L X > < a : K e y > < K e y > C o l u m n s \ 2 0 1 9 < / K e y > < / a : K e y > < a : V a l u e   i : t y p e = " M e a s u r e G r i d N o d e V i e w S t a t e " > < C o l u m n > 4 9 < / C o l u m n > < L a y e d O u t > t r u e < / L a y e d O u t > < / a : V a l u e > < / a : K e y V a l u e O f D i a g r a m O b j e c t K e y a n y T y p e z b w N T n L X > < a : K e y V a l u e O f D i a g r a m O b j e c t K e y a n y T y p e z b w N T n L X > < a : K e y > < K e y > C o l u m n s \ 2 0 2 0 < / K e y > < / a : K e y > < a : V a l u e   i : t y p e = " M e a s u r e G r i d N o d e V i e w S t a t e " > < C o l u m n > 5 0 < / C o l u m n > < L a y e d O u t > t r u e < / L a y e d O u t > < / a : V a l u e > < / a : K e y V a l u e O f D i a g r a m O b j e c t K e y a n y T y p e z b w N T n L X > < a : K e y V a l u e O f D i a g r a m O b j e c t K e y a n y T y p e z b w N T n L X > < a : K e y > < K e y > C o l u m n s \ 2 0 2 2 < / K e y > < / a : K e y > < a : V a l u e   i : t y p e = " M e a s u r e G r i d N o d e V i e w S t a t e " > < C o l u m n > 5 1 < / C o l u m n > < L a y e d O u t > t r u e < / L a y e d O u t > < / a : V a l u e > < / a : K e y V a l u e O f D i a g r a m O b j e c t K e y a n y T y p e z b w N T n L X > < a : K e y V a l u e O f D i a g r a m O b j e c t K e y a n y T y p e z b w N T n L X > < a : K e y > < K e y > C o l u m n s \ 2 0 2 3 < / K e y > < / a : K e y > < a : V a l u e   i : t y p e = " M e a s u r e G r i d N o d e V i e w S t a t e " > < C o l u m n > 5 2 < / C o l u m n > < L a y e d O u t > t r u e < / L a y e d O u t > < / a : V a l u e > < / a : K e y V a l u e O f D i a g r a m O b j e c t K e y a n y T y p e z b w N T n L X > < a : K e y V a l u e O f D i a g r a m O b j e c t K e y a n y T y p e z b w N T n L X > < a : K e y > < K e y > C o l u m n s \ 2 0 2 5 < / K e y > < / a : K e y > < a : V a l u e   i : t y p e = " M e a s u r e G r i d N o d e V i e w S t a t e " > < C o l u m n > 5 3 < / C o l u m n > < L a y e d O u t > t r u e < / L a y e d O u t > < / a : V a l u e > < / a : K e y V a l u e O f D i a g r a m O b j e c t K e y a n y T y p e z b w N T n L X > < a : K e y V a l u e O f D i a g r a m O b j e c t K e y a n y T y p e z b w N T n L X > < a : K e y > < K e y > C o l u m n s \ 2 0 2 9 < / K e y > < / a : K e y > < a : V a l u e   i : t y p e = " M e a s u r e G r i d N o d e V i e w S t a t e " > < C o l u m n > 5 4 < / C o l u m n > < L a y e d O u t > t r u e < / L a y e d O u t > < / a : V a l u e > < / a : K e y V a l u e O f D i a g r a m O b j e c t K e y a n y T y p e z b w N T n L X > < a : K e y V a l u e O f D i a g r a m O b j e c t K e y a n y T y p e z b w N T n L X > < a : K e y > < K e y > C o l u m n s \ 2 0 3 0 < / K e y > < / a : K e y > < a : V a l u e   i : t y p e = " M e a s u r e G r i d N o d e V i e w S t a t e " > < C o l u m n > 5 5 < / C o l u m n > < L a y e d O u t > t r u e < / L a y e d O u t > < / a : V a l u e > < / a : K e y V a l u e O f D i a g r a m O b j e c t K e y a n y T y p e z b w N T n L X > < a : K e y V a l u e O f D i a g r a m O b j e c t K e y a n y T y p e z b w N T n L X > < a : K e y > < K e y > C o l u m n s \ 2 0 3 5 < / K e y > < / a : K e y > < a : V a l u e   i : t y p e = " M e a s u r e G r i d N o d e V i e w S t a t e " > < C o l u m n > 5 6 < / C o l u m n > < L a y e d O u t > t r u e < / L a y e d O u t > < / a : V a l u e > < / a : K e y V a l u e O f D i a g r a m O b j e c t K e y a n y T y p e z b w N T n L X > < a : K e y V a l u e O f D i a g r a m O b j e c t K e y a n y T y p e z b w N T n L X > < a : K e y > < K e y > C o l u m n s \ 2 0 4 0 < / K e y > < / a : K e y > < a : V a l u e   i : t y p e = " M e a s u r e G r i d N o d e V i e w S t a t e " > < C o l u m n > 5 7 < / C o l u m n > < L a y e d O u t > t r u e < / L a y e d O u t > < / a : V a l u e > < / a : K e y V a l u e O f D i a g r a m O b j e c t K e y a n y T y p e z b w N T n L X > < a : K e y V a l u e O f D i a g r a m O b j e c t K e y a n y T y p e z b w N T n L X > < a : K e y > < K e y > C o l u m n s \ 2 0 4 4 < / K e y > < / a : K e y > < a : V a l u e   i : t y p e = " M e a s u r e G r i d N o d e V i e w S t a t e " > < C o l u m n > 5 8 < / C o l u m n > < L a y e d O u t > t r u e < / L a y e d O u t > < / a : V a l u e > < / a : K e y V a l u e O f D i a g r a m O b j e c t K e y a n y T y p e z b w N T n L X > < a : K e y V a l u e O f D i a g r a m O b j e c t K e y a n y T y p e z b w N T n L X > < a : K e y > < K e y > C o l u m n s \ 2 0 5 0 < / K e y > < / a : K e y > < a : V a l u e   i : t y p e = " M e a s u r e G r i d N o d e V i e w S t a t e " > < C o l u m n > 5 9 < / C o l u m n > < L a y e d O u t > t r u e < / L a y e d O u t > < / a : V a l u e > < / a : K e y V a l u e O f D i a g r a m O b j e c t K e y a n y T y p e z b w N T n L X > < a : K e y V a l u e O f D i a g r a m O b j e c t K e y a n y T y p e z b w N T n L X > < a : K e y > < K e y > M e a s u r e s \ C o u n t   o f   C a r b o n   N e u t r a l   G o a l ?   ( Y / N ) < / K e y > < / a : K e y > < a : V a l u e   i : t y p e = " M e a s u r e G r i d N o d e V i e w S t a t e " > < C o l u m n > 7 < / C o l u m n > < L a y e d O u t > t r u e < / L a y e d O u t > < W a s U I I n v i s i b l e > t r u e < / W a s U I I n v i s i b l e > < / a : V a l u e > < / a : K e y V a l u e O f D i a g r a m O b j e c t K e y a n y T y p e z b w N T n L X > < a : K e y V a l u e O f D i a g r a m O b j e c t K e y a n y T y p e z b w N T n L X > < a : K e y > < K e y > M e a s u r e s \ C o u n t   o f   C a r b o n   N e u t r a l   G o a l ?   ( Y / N ) \ T a g I n f o \ F o r m u l a < / K e y > < / a : K e y > < a : V a l u e   i : t y p e = " M e a s u r e G r i d V i e w S t a t e I D i a g r a m T a g A d d i t i o n a l I n f o " / > < / a : K e y V a l u e O f D i a g r a m O b j e c t K e y a n y T y p e z b w N T n L X > < a : K e y V a l u e O f D i a g r a m O b j e c t K e y a n y T y p e z b w N T n L X > < a : K e y > < K e y > M e a s u r e s \ C o u n t   o f   C a r b o n   N e u t r a l   G o a l ?   ( Y / N ) \ T a g I n f o \ V a l u e < / K e y > < / a : K e y > < a : V a l u e   i : t y p e = " M e a s u r e G r i d V i e w S t a t e I D i a g r a m T a g A d d i t i o n a l I n f o " / > < / a : K e y V a l u e O f D i a g r a m O b j e c t K e y a n y T y p e z b w N T n L X > < a : K e y V a l u e O f D i a g r a m O b j e c t K e y a n y T y p e z b w N T n L X > < a : K e y > < K e y > L i n k s \ & l t ; C o l u m n s \ C o u n t   o f   C a r b o n   N e u t r a l   G o a l ?   ( Y / N ) & g t ; - & l t ; M e a s u r e s \ C a r b o n   N e u t r a l   G o a l ?   ( Y / N ) & g t ; < / K e y > < / a : K e y > < a : V a l u e   i : t y p e = " M e a s u r e G r i d V i e w S t a t e I D i a g r a m L i n k " / > < / a : K e y V a l u e O f D i a g r a m O b j e c t K e y a n y T y p e z b w N T n L X > < a : K e y V a l u e O f D i a g r a m O b j e c t K e y a n y T y p e z b w N T n L X > < a : K e y > < K e y > L i n k s \ & l t ; C o l u m n s \ C o u n t   o f   C a r b o n   N e u t r a l   G o a l ?   ( Y / N ) & g t ; - & l t ; M e a s u r e s \ C a r b o n   N e u t r a l   G o a l ?   ( Y / N ) & g t ; \ C O L U M N < / K e y > < / a : K e y > < a : V a l u e   i : t y p e = " M e a s u r e G r i d V i e w S t a t e I D i a g r a m L i n k E n d p o i n t " / > < / a : K e y V a l u e O f D i a g r a m O b j e c t K e y a n y T y p e z b w N T n L X > < a : K e y V a l u e O f D i a g r a m O b j e c t K e y a n y T y p e z b w N T n L X > < a : K e y > < K e y > L i n k s \ & l t ; C o l u m n s \ C o u n t   o f   C a r b o n   N e u t r a l   G o a l ?   ( Y / N ) & g t ; - & l t ; M e a s u r e s \ C a r b o n   N e u t r a l   G o a l ?   ( Y / N ) & g t ; \ M E A S U R E 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T a b l e O r d e r " > < C u s t o m C o n t e n t > < ! [ C D A T A [ T a b l e 1 ] ] > < / 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 1 6 9 < / a : S i z e A t D p i 9 6 > < a : V i s i b l e > t r u e < / a : V i s i b l e > < / V a l u e > < / K e y V a l u e O f s t r i n g S a n d b o x E d i t o r . M e a s u r e G r i d S t a t e S c d E 3 5 R y > < / A r r a y O f K e y V a l u e O f s t r i n g S a n d b o x E d i t o r . M e a s u r e G r i d S t a t e S c d E 3 5 R y > ] ] > < / 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 C o l u m n s \ C o m p a n y   N a m e < / K e y > < / a : K e y > < a : V a l u e   i : t y p e = " T a b l e W i d g e t B a s e V i e w S t a t e " / > < / a : K e y V a l u e O f D i a g r a m O b j e c t K e y a n y T y p e z b w N T n L X > < a : K e y V a l u e O f D i a g r a m O b j e c t K e y a n y T y p e z b w N T n L X > < a : K e y > < K e y > C o l u m n s \ S e c t o r < / K e y > < / a : K e y > < a : V a l u e   i : t y p e = " T a b l e W i d g e t B a s e V i e w S t a t e " / > < / a : K e y V a l u e O f D i a g r a m O b j e c t K e y a n y T y p e z b w N T n L X > < a : K e y V a l u e O f D i a g r a m O b j e c t K e y a n y T y p e z b w N T n L X > < a : K e y > < K e y > C o l u m n s \ I n d u s t r y < / K e y > < / a : K e y > < a : V a l u e   i : t y p e = " T a b l e W i d g e t B a s e V i e w S t a t e " / > < / a : K e y V a l u e O f D i a g r a m O b j e c t K e y a n y T y p e z b w N T n L X > < a : K e y V a l u e O f D i a g r a m O b j e c t K e y a n y T y p e z b w N T n L X > < a : K e y > < K e y > C o l u m n s \ S i z e   ( 2 0 1 9   R e v e n u e ) < / K e y > < / a : K e y > < a : V a l u e   i : t y p e = " T a b l e W i d g e t B a s e V i e w S t a t e " / > < / a : K e y V a l u e O f D i a g r a m O b j e c t K e y a n y T y p e z b w N T n L X > < a : K e y V a l u e O f D i a g r a m O b j e c t K e y a n y T y p e z b w N T n L X > < a : K e y > < K e y > C o l u m n s \ N e t   E a r n i n g s / I n c o m e   ( 2 0 1 9 ) < / K e y > < / a : K e y > < a : V a l u e   i : t y p e = " T a b l e W i d g e t B a s e V i e w S t a t e " / > < / a : K e y V a l u e O f D i a g r a m O b j e c t K e y a n y T y p e z b w N T n L X > < a : K e y V a l u e O f D i a g r a m O b j e c t K e y a n y T y p e z b w N T n L X > < a : K e y > < K e y > C o l u m n s \ I P O   Y e a r < / K e y > < / a : K e y > < a : V a l u e   i : t y p e = " T a b l e W i d g e t B a s e V i e w S t a t e " / > < / a : K e y V a l u e O f D i a g r a m O b j e c t K e y a n y T y p e z b w N T n L X > < a : K e y V a l u e O f D i a g r a m O b j e c t K e y a n y T y p e z b w N T n L X > < a : K e y > < K e y > C o l u m n s \ S & a m p ; P   1 0 0 ?   ( Y / N ) < / K e y > < / a : K e y > < a : V a l u e   i : t y p e = " T a b l e W i d g e t B a s e V i e w S t a t e " / > < / a : K e y V a l u e O f D i a g r a m O b j e c t K e y a n y T y p e z b w N T n L X > < a : K e y V a l u e O f D i a g r a m O b j e c t K e y a n y T y p e z b w N T n L X > < a : K e y > < K e y > C o l u m n s \ C a r b o n   N e u t r a l   G o a l ?   ( Y / N ) < / K e y > < / a : K e y > < a : V a l u e   i : t y p e = " T a b l e W i d g e t B a s e V i e w S t a t e " / > < / a : K e y V a l u e O f D i a g r a m O b j e c t K e y a n y T y p e z b w N T n L X > < a : K e y V a l u e O f D i a g r a m O b j e c t K e y a n y T y p e z b w N T n L X > < a : K e y > < K e y > C o l u m n s \ S c i e n c e - B a s e d   T a r g e t ?   ( Y / N ) < / K e y > < / a : K e y > < a : V a l u e   i : t y p e = " T a b l e W i d g e t B a s e V i e w S t a t e " / > < / a : K e y V a l u e O f D i a g r a m O b j e c t K e y a n y T y p e z b w N T n L X > < a : K e y V a l u e O f D i a g r a m O b j e c t K e y a n y T y p e z b w N T n L X > < a : K e y > < K e y > C o l u m n s \ C a r b o n   N e u t r a l   b y . . . .   ( y e a r ) < / K e y > < / a : K e y > < a : V a l u e   i : t y p e = " T a b l e W i d g e t B a s e V i e w S t a t e " / > < / a : K e y V a l u e O f D i a g r a m O b j e c t K e y a n y T y p e z b w N T n L X > < a : K e y V a l u e O f D i a g r a m O b j e c t K e y a n y T y p e z b w N T n L X > < a : K e y > < K e y > C o l u m n s \ C a r b o n   N e u t r a l   A n n o u n c e m e n t   ( y e a r ) < / K e y > < / a : K e y > < a : V a l u e   i : t y p e = " T a b l e W i d g e t B a s e V i e w S t a t e " / > < / a : K e y V a l u e O f D i a g r a m O b j e c t K e y a n y T y p e z b w N T n L X > < a : K e y V a l u e O f D i a g r a m O b j e c t K e y a n y T y p e z b w N T n L X > < a : K e y > < K e y > C o l u m n s \ C a r b o n   G o a l   ( i f   n o n - z e r o ) < / K e y > < / a : K e y > < a : V a l u e   i : t y p e = " T a b l e W i d g e t B a s e V i e w S t a t e " / > < / a : K e y V a l u e O f D i a g r a m O b j e c t K e y a n y T y p e z b w N T n L X > < a : K e y V a l u e O f D i a g r a m O b j e c t K e y a n y T y p e z b w N T n L X > < a : K e y > < K e y > C o l u m n s \ R e l i a n c e   o n   O f f s e t s ?   ( Y / N ) < / K e y > < / a : K e y > < a : V a l u e   i : t y p e = " T a b l e W i d g e t B a s e V i e w S t a t e " / > < / a : K e y V a l u e O f D i a g r a m O b j e c t K e y a n y T y p e z b w N T n L X > < a : K e y V a l u e O f D i a g r a m O b j e c t K e y a n y T y p e z b w N T n L X > < a : K e y > < K e y > C o l u m n s \ R E 1 0 0   C o m m i t m e n t ?   ( Y / N ) < / K e y > < / a : K e y > < a : V a l u e   i : t y p e = " T a b l e W i d g e t B a s e V i e w S t a t e " / > < / a : K e y V a l u e O f D i a g r a m O b j e c t K e y a n y T y p e z b w N T n L X > < a : K e y V a l u e O f D i a g r a m O b j e c t K e y a n y T y p e z b w N T n L X > < a : K e y > < K e y > C o l u m n s \ 1 0 0 %   R e n e w a b l e   E n e r g y   b y . . .   ( y e a r ) < / K e y > < / a : K e y > < a : V a l u e   i : t y p e = " T a b l e W i d g e t B a s e V i e w S t a t e " / > < / a : K e y V a l u e O f D i a g r a m O b j e c t K e y a n y T y p e z b w N T n L X > < a : K e y V a l u e O f D i a g r a m O b j e c t K e y a n y T y p e z b w N T n L X > < a : K e y > < K e y > C o l u m n s \ 2 0 1 9   S c o p e   1   ( M e T   C o 2 ) < / K e y > < / a : K e y > < a : V a l u e   i : t y p e = " T a b l e W i d g e t B a s e V i e w S t a t e " / > < / a : K e y V a l u e O f D i a g r a m O b j e c t K e y a n y T y p e z b w N T n L X > < a : K e y V a l u e O f D i a g r a m O b j e c t K e y a n y T y p e z b w N T n L X > < a : K e y > < K e y > C o l u m n s \ 2 0 1 9   S c o p e   2 < / K e y > < / a : K e y > < a : V a l u e   i : t y p e = " T a b l e W i d g e t B a s e V i e w S t a t e " / > < / a : K e y V a l u e O f D i a g r a m O b j e c t K e y a n y T y p e z b w N T n L X > < a : K e y V a l u e O f D i a g r a m O b j e c t K e y a n y T y p e z b w N T n L X > < a : K e y > < K e y > C o l u m n s \ 2 0 1 9   O f f s e t s   P u r c h a s e d < / K e y > < / a : K e y > < a : V a l u e   i : t y p e = " T a b l e W i d g e t B a s e V i e w S t a t e " / > < / a : K e y V a l u e O f D i a g r a m O b j e c t K e y a n y T y p e z b w N T n L X > < a : K e y V a l u e O f D i a g r a m O b j e c t K e y a n y T y p e z b w N T n L X > < a : K e y > < K e y > C o l u m n s \ 2 0 1 9   N e t   S c o p e   1   +   2   E m i s s i o n s < / K e y > < / a : K e y > < a : V a l u e   i : t y p e = " T a b l e W i d g e t B a s e V i e w S t a t e " / > < / a : K e y V a l u e O f D i a g r a m O b j e c t K e y a n y T y p e z b w N T n L X > < a : K e y V a l u e O f D i a g r a m O b j e c t K e y a n y T y p e z b w N T n L X > < a : K e y > < K e y > C o l u m n s \ 2 0 1 9   S c o p e   3 < / K e y > < / a : K e y > < a : V a l u e   i : t y p e = " T a b l e W i d g e t B a s e V i e w S t a t e " / > < / a : K e y V a l u e O f D i a g r a m O b j e c t K e y a n y T y p e z b w N T n L X > < a : K e y V a l u e O f D i a g r a m O b j e c t K e y a n y T y p e z b w N T n L X > < a : K e y > < K e y > C o l u m n s \ 2 0 1 8   S c o p e   1 < / K e y > < / a : K e y > < a : V a l u e   i : t y p e = " T a b l e W i d g e t B a s e V i e w S t a t e " / > < / a : K e y V a l u e O f D i a g r a m O b j e c t K e y a n y T y p e z b w N T n L X > < a : K e y V a l u e O f D i a g r a m O b j e c t K e y a n y T y p e z b w N T n L X > < a : K e y > < K e y > C o l u m n s \ 2 0 1 8   S c o p e   2 < / K e y > < / a : K e y > < a : V a l u e   i : t y p e = " T a b l e W i d g e t B a s e V i e w S t a t e " / > < / a : K e y V a l u e O f D i a g r a m O b j e c t K e y a n y T y p e z b w N T n L X > < a : K e y V a l u e O f D i a g r a m O b j e c t K e y a n y T y p e z b w N T n L X > < a : K e y > < K e y > C o l u m n s \ 2 0 1 8   O f f s e t s   P u r c h a s e d < / K e y > < / a : K e y > < a : V a l u e   i : t y p e = " T a b l e W i d g e t B a s e V i e w S t a t e " / > < / a : K e y V a l u e O f D i a g r a m O b j e c t K e y a n y T y p e z b w N T n L X > < a : K e y V a l u e O f D i a g r a m O b j e c t K e y a n y T y p e z b w N T n L X > < a : K e y > < K e y > C o l u m n s \ 2 0 1 8   N e t   S c o p e   1   +   2   E m i s s i o n s < / K e y > < / a : K e y > < a : V a l u e   i : t y p e = " T a b l e W i d g e t B a s e V i e w S t a t e " / > < / a : K e y V a l u e O f D i a g r a m O b j e c t K e y a n y T y p e z b w N T n L X > < a : K e y V a l u e O f D i a g r a m O b j e c t K e y a n y T y p e z b w N T n L X > < a : K e y > < K e y > C o l u m n s \ 2 0 1 8   S c o p e   3 < / K e y > < / a : K e y > < a : V a l u e   i : t y p e = " T a b l e W i d g e t B a s e V i e w S t a t e " / > < / a : K e y V a l u e O f D i a g r a m O b j e c t K e y a n y T y p e z b w N T n L X > < a : K e y V a l u e O f D i a g r a m O b j e c t K e y a n y T y p e z b w N T n L X > < a : K e y > < K e y > C o l u m n s \ 2 0 1 7   S c o p e   1 < / K e y > < / a : K e y > < a : V a l u e   i : t y p e = " T a b l e W i d g e t B a s e V i e w S t a t e " / > < / a : K e y V a l u e O f D i a g r a m O b j e c t K e y a n y T y p e z b w N T n L X > < a : K e y V a l u e O f D i a g r a m O b j e c t K e y a n y T y p e z b w N T n L X > < a : K e y > < K e y > C o l u m n s \ 2 0 1 7   S c o p e   2 < / K e y > < / a : K e y > < a : V a l u e   i : t y p e = " T a b l e W i d g e t B a s e V i e w S t a t e " / > < / a : K e y V a l u e O f D i a g r a m O b j e c t K e y a n y T y p e z b w N T n L X > < a : K e y V a l u e O f D i a g r a m O b j e c t K e y a n y T y p e z b w N T n L X > < a : K e y > < K e y > C o l u m n s \ 2 0 1 7   O f f s e t s   P u r c h a s e d < / K e y > < / a : K e y > < a : V a l u e   i : t y p e = " T a b l e W i d g e t B a s e V i e w S t a t e " / > < / a : K e y V a l u e O f D i a g r a m O b j e c t K e y a n y T y p e z b w N T n L X > < a : K e y V a l u e O f D i a g r a m O b j e c t K e y a n y T y p e z b w N T n L X > < a : K e y > < K e y > C o l u m n s \ 2 0 1 7   N e t   S c o p e   1   +   2   E m i s s i o n s < / K e y > < / a : K e y > < a : V a l u e   i : t y p e = " T a b l e W i d g e t B a s e V i e w S t a t e " / > < / a : K e y V a l u e O f D i a g r a m O b j e c t K e y a n y T y p e z b w N T n L X > < a : K e y V a l u e O f D i a g r a m O b j e c t K e y a n y T y p e z b w N T n L X > < a : K e y > < K e y > C o l u m n s \ 2 0 1 7   S c o p e   3 < / K e y > < / a : K e y > < a : V a l u e   i : t y p e = " T a b l e W i d g e t B a s e V i e w S t a t e " / > < / a : K e y V a l u e O f D i a g r a m O b j e c t K e y a n y T y p e z b w N T n L X > < a : K e y V a l u e O f D i a g r a m O b j e c t K e y a n y T y p e z b w N T n L X > < a : K e y > < K e y > C o l u m n s \ 2 0 1 6   S c o p e   1 < / K e y > < / a : K e y > < a : V a l u e   i : t y p e = " T a b l e W i d g e t B a s e V i e w S t a t e " / > < / a : K e y V a l u e O f D i a g r a m O b j e c t K e y a n y T y p e z b w N T n L X > < a : K e y V a l u e O f D i a g r a m O b j e c t K e y a n y T y p e z b w N T n L X > < a : K e y > < K e y > C o l u m n s \ 2 0 1 6   S c o p e   2 < / K e y > < / a : K e y > < a : V a l u e   i : t y p e = " T a b l e W i d g e t B a s e V i e w S t a t e " / > < / a : K e y V a l u e O f D i a g r a m O b j e c t K e y a n y T y p e z b w N T n L X > < a : K e y V a l u e O f D i a g r a m O b j e c t K e y a n y T y p e z b w N T n L X > < a : K e y > < K e y > C o l u m n s \ 2 0 1 6   O f f s e t s   P u r c h a s e d < / K e y > < / a : K e y > < a : V a l u e   i : t y p e = " T a b l e W i d g e t B a s e V i e w S t a t e " / > < / a : K e y V a l u e O f D i a g r a m O b j e c t K e y a n y T y p e z b w N T n L X > < a : K e y V a l u e O f D i a g r a m O b j e c t K e y a n y T y p e z b w N T n L X > < a : K e y > < K e y > C o l u m n s \ 2 0 1 6   N e t   S c o p e   1   +   2   E m i s s i o n s < / K e y > < / a : K e y > < a : V a l u e   i : t y p e = " T a b l e W i d g e t B a s e V i e w S t a t e " / > < / a : K e y V a l u e O f D i a g r a m O b j e c t K e y a n y T y p e z b w N T n L X > < a : K e y V a l u e O f D i a g r a m O b j e c t K e y a n y T y p e z b w N T n L X > < a : K e y > < K e y > C o l u m n s \ 2 0 1 6   S c o p e   3 < / K e y > < / a : K e y > < a : V a l u e   i : t y p e = " T a b l e W i d g e t B a s e V i e w S t a t e " / > < / a : K e y V a l u e O f D i a g r a m O b j e c t K e y a n y T y p e z b w N T n L X > < a : K e y V a l u e O f D i a g r a m O b j e c t K e y a n y T y p e z b w N T n L X > < a : K e y > < K e y > C o l u m n s \ 2 0 1 5   S c o p e   1 < / K e y > < / a : K e y > < a : V a l u e   i : t y p e = " T a b l e W i d g e t B a s e V i e w S t a t e " / > < / a : K e y V a l u e O f D i a g r a m O b j e c t K e y a n y T y p e z b w N T n L X > < a : K e y V a l u e O f D i a g r a m O b j e c t K e y a n y T y p e z b w N T n L X > < a : K e y > < K e y > C o l u m n s \ 2 0 1 5   S c o p e   2 < / K e y > < / a : K e y > < a : V a l u e   i : t y p e = " T a b l e W i d g e t B a s e V i e w S t a t e " / > < / a : K e y V a l u e O f D i a g r a m O b j e c t K e y a n y T y p e z b w N T n L X > < a : K e y V a l u e O f D i a g r a m O b j e c t K e y a n y T y p e z b w N T n L X > < a : K e y > < K e y > C o l u m n s \ 2 0 1 5   O f f s e t s   P u r c h a s e d < / K e y > < / a : K e y > < a : V a l u e   i : t y p e = " T a b l e W i d g e t B a s e V i e w S t a t e " / > < / a : K e y V a l u e O f D i a g r a m O b j e c t K e y a n y T y p e z b w N T n L X > < a : K e y V a l u e O f D i a g r a m O b j e c t K e y a n y T y p e z b w N T n L X > < a : K e y > < K e y > C o l u m n s \ 2 0 1 5   N e t   S c o p e   1   +   2   E m i s s i o n s < / K e y > < / a : K e y > < a : V a l u e   i : t y p e = " T a b l e W i d g e t B a s e V i e w S t a t e " / > < / a : K e y V a l u e O f D i a g r a m O b j e c t K e y a n y T y p e z b w N T n L X > < a : K e y V a l u e O f D i a g r a m O b j e c t K e y a n y T y p e z b w N T n L X > < a : K e y > < K e y > C o l u m n s \ 2 0 1 5   S c o p e   3 < / K e y > < / a : K e y > < a : V a l u e   i : t y p e = " T a b l e W i d g e t B a s e V i e w S t a t e " / > < / a : K e y V a l u e O f D i a g r a m O b j e c t K e y a n y T y p e z b w N T n L X > < a : K e y V a l u e O f D i a g r a m O b j e c t K e y a n y T y p e z b w N T n L X > < a : K e y > < K e y > C o l u m n s \ P o l i c y   A r m ? < / K e y > < / a : K e y > < a : V a l u e   i : t y p e = " T a b l e W i d g e t B a s e V i e w S t a t e " / > < / a : K e y V a l u e O f D i a g r a m O b j e c t K e y a n y T y p e z b w N T n L X > < a : K e y V a l u e O f D i a g r a m O b j e c t K e y a n y T y p e z b w N T n L X > < a : K e y > < K e y > C o l u m n s \ I n i t i a t i v e s   f o r   C a r b o n   N e u t r a l i t y < / 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 C o l u m n s \ S o u r c e s < / K e y > < / a : K e y > < a : V a l u e   i : t y p e = " T a b l e W i d g e t B a s e V i e w S t a t e " / > < / a : K e y V a l u e O f D i a g r a m O b j e c t K e y a n y T y p e z b w N T n L X > < a : K e y V a l u e O f D i a g r a m O b j e c t K e y a n y T y p e z b w N T n L X > < a : K e y > < K e y > C o l u m n s \ 2 0 0 7 < / K e y > < / a : K e y > < a : V a l u e   i : t y p e = " T a b l e W i d g e t B a s e V i e w S t a t e " / > < / a : K e y V a l u e O f D i a g r a m O b j e c t K e y a n y T y p e z b w N T n L X > < a : K e y V a l u e O f D i a g r a m O b j e c t K e y a n y T y p e z b w N T n L X > < a : K e y > < K e y > C o l u m n s \ 2 0 1 5 < / K e y > < / a : K e y > < a : V a l u e   i : t y p e = " T a b l e W i d g e t B a s e V i e w S t a t e " / > < / a : K e y V a l u e O f D i a g r a m O b j e c t K e y a n y T y p e z b w N T n L X > < a : K e y V a l u e O f D i a g r a m O b j e c t K e y a n y T y p e z b w N T n L X > < a : K e y > < K e y > C o l u m n s \ 2 0 1 6 < / K e y > < / a : K e y > < a : V a l u e   i : t y p e = " T a b l e W i d g e t B a s e V i e w S t a t e " / > < / a : K e y V a l u e O f D i a g r a m O b j e c t K e y a n y T y p e z b w N T n L X > < a : K e y V a l u e O f D i a g r a m O b j e c t K e y a n y T y p e z b w N T n L X > < a : K e y > < K e y > C o l u m n s \ 2 0 1 7 < / K e y > < / a : K e y > < a : V a l u e   i : t y p e = " T a b l e W i d g e t B a s e V i e w S t a t e " / > < / a : K e y V a l u e O f D i a g r a m O b j e c t K e y a n y T y p e z b w N T n L X > < a : K e y V a l u e O f D i a g r a m O b j e c t K e y a n y T y p e z b w N T n L X > < a : K e y > < K e y > C o l u m n s \ 2 0 1 8 < / K e y > < / a : K e y > < a : V a l u e   i : t y p e = " T a b l e W i d g e t B a s e V i e w S t a t e " / > < / a : K e y V a l u e O f D i a g r a m O b j e c t K e y a n y T y p e z b w N T n L X > < a : K e y V a l u e O f D i a g r a m O b j e c t K e y a n y T y p e z b w N T n L X > < a : K e y > < K e y > C o l u m n s \ 2 0 1 9 < / K e y > < / a : K e y > < a : V a l u e   i : t y p e = " T a b l e W i d g e t B a s e V i e w S t a t e " / > < / a : K e y V a l u e O f D i a g r a m O b j e c t K e y a n y T y p e z b w N T n L X > < a : K e y V a l u e O f D i a g r a m O b j e c t K e y a n y T y p e z b w N T n L X > < a : K e y > < K e y > C o l u m n s \ 2 0 2 0 < / K e y > < / a : K e y > < a : V a l u e   i : t y p e = " T a b l e W i d g e t B a s e V i e w S t a t e " / > < / a : K e y V a l u e O f D i a g r a m O b j e c t K e y a n y T y p e z b w N T n L X > < a : K e y V a l u e O f D i a g r a m O b j e c t K e y a n y T y p e z b w N T n L X > < a : K e y > < K e y > C o l u m n s \ 2 0 2 2 < / K e y > < / a : K e y > < a : V a l u e   i : t y p e = " T a b l e W i d g e t B a s e V i e w S t a t e " / > < / a : K e y V a l u e O f D i a g r a m O b j e c t K e y a n y T y p e z b w N T n L X > < a : K e y V a l u e O f D i a g r a m O b j e c t K e y a n y T y p e z b w N T n L X > < a : K e y > < K e y > C o l u m n s \ 2 0 2 3 < / K e y > < / a : K e y > < a : V a l u e   i : t y p e = " T a b l e W i d g e t B a s e V i e w S t a t e " / > < / a : K e y V a l u e O f D i a g r a m O b j e c t K e y a n y T y p e z b w N T n L X > < a : K e y V a l u e O f D i a g r a m O b j e c t K e y a n y T y p e z b w N T n L X > < a : K e y > < K e y > C o l u m n s \ 2 0 2 5 < / K e y > < / a : K e y > < a : V a l u e   i : t y p e = " T a b l e W i d g e t B a s e V i e w S t a t e " / > < / a : K e y V a l u e O f D i a g r a m O b j e c t K e y a n y T y p e z b w N T n L X > < a : K e y V a l u e O f D i a g r a m O b j e c t K e y a n y T y p e z b w N T n L X > < a : K e y > < K e y > C o l u m n s \ 2 0 2 9 < / K e y > < / a : K e y > < a : V a l u e   i : t y p e = " T a b l e W i d g e t B a s e V i e w S t a t e " / > < / a : K e y V a l u e O f D i a g r a m O b j e c t K e y a n y T y p e z b w N T n L X > < a : K e y V a l u e O f D i a g r a m O b j e c t K e y a n y T y p e z b w N T n L X > < a : K e y > < K e y > C o l u m n s \ 2 0 3 0 < / K e y > < / a : K e y > < a : V a l u e   i : t y p e = " T a b l e W i d g e t B a s e V i e w S t a t e " / > < / a : K e y V a l u e O f D i a g r a m O b j e c t K e y a n y T y p e z b w N T n L X > < a : K e y V a l u e O f D i a g r a m O b j e c t K e y a n y T y p e z b w N T n L X > < a : K e y > < K e y > C o l u m n s \ 2 0 3 5 < / K e y > < / a : K e y > < a : V a l u e   i : t y p e = " T a b l e W i d g e t B a s e V i e w S t a t e " / > < / a : K e y V a l u e O f D i a g r a m O b j e c t K e y a n y T y p e z b w N T n L X > < a : K e y V a l u e O f D i a g r a m O b j e c t K e y a n y T y p e z b w N T n L X > < a : K e y > < K e y > C o l u m n s \ 2 0 4 0 < / K e y > < / a : K e y > < a : V a l u e   i : t y p e = " T a b l e W i d g e t B a s e V i e w S t a t e " / > < / a : K e y V a l u e O f D i a g r a m O b j e c t K e y a n y T y p e z b w N T n L X > < a : K e y V a l u e O f D i a g r a m O b j e c t K e y a n y T y p e z b w N T n L X > < a : K e y > < K e y > C o l u m n s \ 2 0 4 4 < / K e y > < / a : K e y > < a : V a l u e   i : t y p e = " T a b l e W i d g e t B a s e V i e w S t a t e " / > < / a : K e y V a l u e O f D i a g r a m O b j e c t K e y a n y T y p e z b w N T n L X > < a : K e y V a l u e O f D i a g r a m O b j e c t K e y a n y T y p e z b w N T n L X > < a : K e y > < K e y > C o l u m n s \ 2 0 5 0 < / 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C l i e n t W i n d o w X M L " > < C u s t o m C o n t e n t > < ! [ C D A T A [ T a b l e 1 ] ] > < / C u s t o m C o n t e n t > < / G e m i n i > 
</file>

<file path=customXml/item16.xml>��< ? x m l   v e r s i o n = " 1 . 0 "   e n c o d i n g = " U T F - 1 6 " ? > < G e m i n i   x m l n s = " h t t p : / / g e m i n i / p i v o t c u s t o m i z a t i o n / S h o w H i d d e n " > < C u s t o m C o n t e n t > < ! [ C D A T A [ T r u e ] ] > < / C u s t o m C o n t e n t > < / G e m i n i > 
</file>

<file path=customXml/item2.xml>��< ? x m l   v e r s i o n = " 1 . 0 "   e n c o d i n g = " U T F - 1 6 " ? > < G e m i n i   x m l n s = " h t t p : / / g e m i n i / p i v o t c u s t o m i z a t i o n / T a b l e X M L _ T a b l e 1 " > < C u s t o m C o n t e n t > < ! [ C D A T A [ < T a b l e W i d g e t G r i d S e r i a l i z a t i o n   x m l n s : x s i = " h t t p : / / w w w . w 3 . o r g / 2 0 0 1 / X M L S c h e m a - i n s t a n c e "   x m l n s : x s d = " h t t p : / / w w w . w 3 . o r g / 2 0 0 1 / X M L S c h e m a " > < C o l u m n S u g g e s t e d T y p e   / > < C o l u m n F o r m a t   / > < C o l u m n A c c u r a c y   / > < C o l u m n C u r r e n c y S y m b o l   / > < C o l u m n P o s i t i v e P a t t e r n   / > < C o l u m n N e g a t i v e P a t t e r n   / > < C o l u m n W i d t h s > < i t e m > < k e y > < s t r i n g > C o m p a n y   N a m e < / s t r i n g > < / k e y > < v a l u e > < i n t > 2 2 7 < / i n t > < / v a l u e > < / i t e m > < i t e m > < k e y > < s t r i n g > S e c t o r < / s t r i n g > < / k e y > < v a l u e > < i n t > 1 2 5 < / i n t > < / v a l u e > < / i t e m > < i t e m > < k e y > < s t r i n g > I n d u s t r y < / s t r i n g > < / k e y > < v a l u e > < i n t > 1 4 6 < / i n t > < / v a l u e > < / i t e m > < i t e m > < k e y > < s t r i n g > S i z e   ( 2 0 1 9   R e v e n u e ) < / s t r i n g > < / k e y > < v a l u e > < i n t > 2 7 0 < / i n t > < / v a l u e > < / i t e m > < i t e m > < k e y > < s t r i n g > N e t   E a r n i n g s / I n c o m e   ( 2 0 1 9 ) < / s t r i n g > < / k e y > < v a l u e > < i n t > 3 5 6 < / i n t > < / v a l u e > < / i t e m > < i t e m > < k e y > < s t r i n g > I P O   Y e a r < / s t r i n g > < / k e y > < v a l u e > < i n t > 1 4 5 < / i n t > < / v a l u e > < / i t e m > < i t e m > < k e y > < s t r i n g > S & a m p ; P   1 0 0 ?   ( Y / N ) < / s t r i n g > < / k e y > < v a l u e > < i n t > 2 1 7 < / i n t > < / v a l u e > < / i t e m > < i t e m > < k e y > < s t r i n g > C a r b o n   N e u t r a l   G o a l ?   ( Y / N ) < / s t r i n g > < / k e y > < v a l u e > < i n t > 3 4 5 < / i n t > < / v a l u e > < / i t e m > < i t e m > < k e y > < s t r i n g > S c i e n c e - B a s e d   T a r g e t ?   ( Y / N ) < / s t r i n g > < / k e y > < v a l u e > < i n t > 3 5 2 < / i n t > < / v a l u e > < / i t e m > < i t e m > < k e y > < s t r i n g > C a r b o n   N e u t r a l   b y . . . .   ( y e a r ) < / s t r i n g > < / k e y > < v a l u e > < i n t > 3 4 5 < / i n t > < / v a l u e > < / i t e m > < i t e m > < k e y > < s t r i n g > C a r b o n   N e u t r a l   A n n o u n c e m e n t   ( y e a r ) < / s t r i n g > < / k e y > < v a l u e > < i n t > 4 5 9 < / i n t > < / v a l u e > < / i t e m > < i t e m > < k e y > < s t r i n g > C a r b o n   G o a l   ( i f   n o n - z e r o ) < / s t r i n g > < / k e y > < v a l u e > < i n t > 3 2 5 < / i n t > < / v a l u e > < / i t e m > < i t e m > < k e y > < s t r i n g > R e l i a n c e   o n   O f f s e t s ?   ( Y / N ) < / s t r i n g > < / k e y > < v a l u e > < i n t > 3 3 2 < / i n t > < / v a l u e > < / i t e m > < i t e m > < k e y > < s t r i n g > R E 1 0 0   C o m m i t m e n t ?   ( Y / N ) < / s t r i n g > < / k e y > < v a l u e > < i n t > 3 4 3 < / i n t > < / v a l u e > < / i t e m > < i t e m > < k e y > < s t r i n g > 1 0 0 %   R e n e w a b l e   E n e r g y   b y . . .   ( y e a r ) < / s t r i n g > < / k e y > < v a l u e > < i n t > 4 3 7 < / i n t > < / v a l u e > < / i t e m > < i t e m > < k e y > < s t r i n g > 2 0 1 9   S c o p e   1   ( M e T   C o 2 ) < / s t r i n g > < / k e y > < v a l u e > < i n t > 3 1 5 < / i n t > < / v a l u e > < / i t e m > < i t e m > < k e y > < s t r i n g > 2 0 1 9   S c o p e   2 < / s t r i n g > < / k e y > < v a l u e > < i n t > 1 9 8 < / i n t > < / v a l u e > < / i t e m > < i t e m > < k e y > < s t r i n g > 2 0 1 9   O f f s e t s   P u r c h a s e d < / s t r i n g > < / k e y > < v a l u e > < i n t > 3 0 5 < / i n t > < / v a l u e > < / i t e m > < i t e m > < k e y > < s t r i n g > 2 0 1 9   N e t   S c o p e   1   +   2   E m i s s i o n s < / s t r i n g > < / k e y > < v a l u e > < i n t > 3 9 1 < / i n t > < / v a l u e > < / i t e m > < i t e m > < k e y > < s t r i n g > 2 0 1 9   S c o p e   3 < / s t r i n g > < / k e y > < v a l u e > < i n t > 1 9 8 < / i n t > < / v a l u e > < / i t e m > < i t e m > < k e y > < s t r i n g > 2 0 1 8   S c o p e   1 < / s t r i n g > < / k e y > < v a l u e > < i n t > 1 9 8 < / i n t > < / v a l u e > < / i t e m > < i t e m > < k e y > < s t r i n g > 2 0 1 8   S c o p e   2 < / s t r i n g > < / k e y > < v a l u e > < i n t > 1 9 8 < / i n t > < / v a l u e > < / i t e m > < i t e m > < k e y > < s t r i n g > 2 0 1 8   O f f s e t s   P u r c h a s e d < / s t r i n g > < / k e y > < v a l u e > < i n t > 3 0 5 < / i n t > < / v a l u e > < / i t e m > < i t e m > < k e y > < s t r i n g > 2 0 1 8   N e t   S c o p e   1   +   2   E m i s s i o n s < / s t r i n g > < / k e y > < v a l u e > < i n t > 3 9 1 < / i n t > < / v a l u e > < / i t e m > < i t e m > < k e y > < s t r i n g > 2 0 1 8   S c o p e   3 < / s t r i n g > < / k e y > < v a l u e > < i n t > 1 9 8 < / i n t > < / v a l u e > < / i t e m > < i t e m > < k e y > < s t r i n g > 2 0 1 7   S c o p e   1 < / s t r i n g > < / k e y > < v a l u e > < i n t > 1 9 8 < / i n t > < / v a l u e > < / i t e m > < i t e m > < k e y > < s t r i n g > 2 0 1 7   S c o p e   2 < / s t r i n g > < / k e y > < v a l u e > < i n t > 1 9 8 < / i n t > < / v a l u e > < / i t e m > < i t e m > < k e y > < s t r i n g > 2 0 1 7   O f f s e t s   P u r c h a s e d < / s t r i n g > < / k e y > < v a l u e > < i n t > 3 0 5 < / i n t > < / v a l u e > < / i t e m > < i t e m > < k e y > < s t r i n g > 2 0 1 7   N e t   S c o p e   1   +   2   E m i s s i o n s < / s t r i n g > < / k e y > < v a l u e > < i n t > 3 9 1 < / i n t > < / v a l u e > < / i t e m > < i t e m > < k e y > < s t r i n g > 2 0 1 7   S c o p e   3 < / s t r i n g > < / k e y > < v a l u e > < i n t > 1 9 8 < / i n t > < / v a l u e > < / i t e m > < i t e m > < k e y > < s t r i n g > 2 0 1 6   S c o p e   1 < / s t r i n g > < / k e y > < v a l u e > < i n t > 1 9 8 < / i n t > < / v a l u e > < / i t e m > < i t e m > < k e y > < s t r i n g > 2 0 1 6   S c o p e   2 < / s t r i n g > < / k e y > < v a l u e > < i n t > 1 9 8 < / i n t > < / v a l u e > < / i t e m > < i t e m > < k e y > < s t r i n g > 2 0 1 6   O f f s e t s   P u r c h a s e d < / s t r i n g > < / k e y > < v a l u e > < i n t > 3 0 5 < / i n t > < / v a l u e > < / i t e m > < i t e m > < k e y > < s t r i n g > 2 0 1 6   N e t   S c o p e   1   +   2   E m i s s i o n s < / s t r i n g > < / k e y > < v a l u e > < i n t > 3 9 1 < / i n t > < / v a l u e > < / i t e m > < i t e m > < k e y > < s t r i n g > 2 0 1 6   S c o p e   3 < / s t r i n g > < / k e y > < v a l u e > < i n t > 1 9 8 < / i n t > < / v a l u e > < / i t e m > < i t e m > < k e y > < s t r i n g > 2 0 1 5   S c o p e   1 < / s t r i n g > < / k e y > < v a l u e > < i n t > 1 9 8 < / i n t > < / v a l u e > < / i t e m > < i t e m > < k e y > < s t r i n g > 2 0 1 5   S c o p e   2 < / s t r i n g > < / k e y > < v a l u e > < i n t > 1 9 8 < / i n t > < / v a l u e > < / i t e m > < i t e m > < k e y > < s t r i n g > 2 0 1 5   O f f s e t s   P u r c h a s e d < / s t r i n g > < / k e y > < v a l u e > < i n t > 3 0 5 < / i n t > < / v a l u e > < / i t e m > < i t e m > < k e y > < s t r i n g > 2 0 1 5   N e t   S c o p e   1   +   2   E m i s s i o n s < / s t r i n g > < / k e y > < v a l u e > < i n t > 3 9 1 < / i n t > < / v a l u e > < / i t e m > < i t e m > < k e y > < s t r i n g > 2 0 1 5   S c o p e   3 < / s t r i n g > < / k e y > < v a l u e > < i n t > 1 9 8 < / i n t > < / v a l u e > < / i t e m > < i t e m > < k e y > < s t r i n g > P o l i c y   A r m ? < / s t r i n g > < / k e y > < v a l u e > < i n t > 1 8 1 < / i n t > < / v a l u e > < / i t e m > < i t e m > < k e y > < s t r i n g > I n i t i a t i v e s   f o r   C a r b o n   N e u t r a l i t y < / s t r i n g > < / k e y > < v a l u e > < i n t > 3 9 0 < / i n t > < / v a l u e > < / i t e m > < i t e m > < k e y > < s t r i n g > N o t e s < / s t r i n g > < / k e y > < v a l u e > < i n t > 1 2 0 < / i n t > < / v a l u e > < / i t e m > < i t e m > < k e y > < s t r i n g > S o u r c e s < / s t r i n g > < / k e y > < v a l u e > < i n t > 1 4 0 < / i n t > < / v a l u e > < / i t e m > < i t e m > < k e y > < s t r i n g > 2 0 0 7 < / s t r i n g > < / k e y > < v a l u e > < i n t > 1 0 9 < / i n t > < / v a l u e > < / i t e m > < i t e m > < k e y > < s t r i n g > 2 0 1 5 < / s t r i n g > < / k e y > < v a l u e > < i n t > 1 0 9 < / i n t > < / v a l u e > < / i t e m > < i t e m > < k e y > < s t r i n g > 2 0 1 6 < / s t r i n g > < / k e y > < v a l u e > < i n t > 1 0 9 < / i n t > < / v a l u e > < / i t e m > < i t e m > < k e y > < s t r i n g > 2 0 1 7 < / s t r i n g > < / k e y > < v a l u e > < i n t > 1 0 9 < / i n t > < / v a l u e > < / i t e m > < i t e m > < k e y > < s t r i n g > 2 0 1 8 < / s t r i n g > < / k e y > < v a l u e > < i n t > 1 0 9 < / i n t > < / v a l u e > < / i t e m > < i t e m > < k e y > < s t r i n g > 2 0 1 9 < / s t r i n g > < / k e y > < v a l u e > < i n t > 1 0 9 < / i n t > < / v a l u e > < / i t e m > < i t e m > < k e y > < s t r i n g > 2 0 2 0 < / s t r i n g > < / k e y > < v a l u e > < i n t > 1 0 9 < / i n t > < / v a l u e > < / i t e m > < i t e m > < k e y > < s t r i n g > 2 0 2 2 < / s t r i n g > < / k e y > < v a l u e > < i n t > 1 0 9 < / i n t > < / v a l u e > < / i t e m > < i t e m > < k e y > < s t r i n g > 2 0 2 3 < / s t r i n g > < / k e y > < v a l u e > < i n t > 1 0 9 < / i n t > < / v a l u e > < / i t e m > < i t e m > < k e y > < s t r i n g > 2 0 2 5 < / s t r i n g > < / k e y > < v a l u e > < i n t > 1 0 9 < / i n t > < / v a l u e > < / i t e m > < i t e m > < k e y > < s t r i n g > 2 0 2 9 < / s t r i n g > < / k e y > < v a l u e > < i n t > 1 0 9 < / i n t > < / v a l u e > < / i t e m > < i t e m > < k e y > < s t r i n g > 2 0 3 0 < / s t r i n g > < / k e y > < v a l u e > < i n t > 1 0 9 < / i n t > < / v a l u e > < / i t e m > < i t e m > < k e y > < s t r i n g > 2 0 3 5 < / s t r i n g > < / k e y > < v a l u e > < i n t > 1 0 9 < / i n t > < / v a l u e > < / i t e m > < i t e m > < k e y > < s t r i n g > 2 0 4 0 < / s t r i n g > < / k e y > < v a l u e > < i n t > 1 0 9 < / i n t > < / v a l u e > < / i t e m > < i t e m > < k e y > < s t r i n g > 2 0 4 4 < / s t r i n g > < / k e y > < v a l u e > < i n t > 1 0 9 < / i n t > < / v a l u e > < / i t e m > < i t e m > < k e y > < s t r i n g > 2 0 5 0 < / s t r i n g > < / k e y > < v a l u e > < i n t > 1 0 9 < / i n t > < / v a l u e > < / i t e m > < / C o l u m n W i d t h s > < C o l u m n D i s p l a y I n d e x > < i t e m > < k e y > < s t r i n g > C o m p a n y   N a m e < / s t r i n g > < / k e y > < v a l u e > < i n t > 0 < / i n t > < / v a l u e > < / i t e m > < i t e m > < k e y > < s t r i n g > S e c t o r < / s t r i n g > < / k e y > < v a l u e > < i n t > 1 < / i n t > < / v a l u e > < / i t e m > < i t e m > < k e y > < s t r i n g > I n d u s t r y < / s t r i n g > < / k e y > < v a l u e > < i n t > 2 < / i n t > < / v a l u e > < / i t e m > < i t e m > < k e y > < s t r i n g > S i z e   ( 2 0 1 9   R e v e n u e ) < / s t r i n g > < / k e y > < v a l u e > < i n t > 3 < / i n t > < / v a l u e > < / i t e m > < i t e m > < k e y > < s t r i n g > N e t   E a r n i n g s / I n c o m e   ( 2 0 1 9 ) < / s t r i n g > < / k e y > < v a l u e > < i n t > 4 < / i n t > < / v a l u e > < / i t e m > < i t e m > < k e y > < s t r i n g > I P O   Y e a r < / s t r i n g > < / k e y > < v a l u e > < i n t > 5 < / i n t > < / v a l u e > < / i t e m > < i t e m > < k e y > < s t r i n g > S & a m p ; P   1 0 0 ?   ( Y / N ) < / s t r i n g > < / k e y > < v a l u e > < i n t > 6 < / i n t > < / v a l u e > < / i t e m > < i t e m > < k e y > < s t r i n g > C a r b o n   N e u t r a l   G o a l ?   ( Y / N ) < / s t r i n g > < / k e y > < v a l u e > < i n t > 7 < / i n t > < / v a l u e > < / i t e m > < i t e m > < k e y > < s t r i n g > S c i e n c e - B a s e d   T a r g e t ?   ( Y / N ) < / s t r i n g > < / k e y > < v a l u e > < i n t > 8 < / i n t > < / v a l u e > < / i t e m > < i t e m > < k e y > < s t r i n g > C a r b o n   N e u t r a l   b y . . . .   ( y e a r ) < / s t r i n g > < / k e y > < v a l u e > < i n t > 9 < / i n t > < / v a l u e > < / i t e m > < i t e m > < k e y > < s t r i n g > C a r b o n   N e u t r a l   A n n o u n c e m e n t   ( y e a r ) < / s t r i n g > < / k e y > < v a l u e > < i n t > 1 0 < / i n t > < / v a l u e > < / i t e m > < i t e m > < k e y > < s t r i n g > C a r b o n   G o a l   ( i f   n o n - z e r o ) < / s t r i n g > < / k e y > < v a l u e > < i n t > 1 1 < / i n t > < / v a l u e > < / i t e m > < i t e m > < k e y > < s t r i n g > R e l i a n c e   o n   O f f s e t s ?   ( Y / N ) < / s t r i n g > < / k e y > < v a l u e > < i n t > 1 2 < / i n t > < / v a l u e > < / i t e m > < i t e m > < k e y > < s t r i n g > R E 1 0 0   C o m m i t m e n t ?   ( Y / N ) < / s t r i n g > < / k e y > < v a l u e > < i n t > 1 3 < / i n t > < / v a l u e > < / i t e m > < i t e m > < k e y > < s t r i n g > 1 0 0 %   R e n e w a b l e   E n e r g y   b y . . .   ( y e a r ) < / s t r i n g > < / k e y > < v a l u e > < i n t > 1 4 < / i n t > < / v a l u e > < / i t e m > < i t e m > < k e y > < s t r i n g > 2 0 1 9   S c o p e   1   ( M e T   C o 2 ) < / s t r i n g > < / k e y > < v a l u e > < i n t > 1 5 < / i n t > < / v a l u e > < / i t e m > < i t e m > < k e y > < s t r i n g > 2 0 1 9   S c o p e   2 < / s t r i n g > < / k e y > < v a l u e > < i n t > 1 6 < / i n t > < / v a l u e > < / i t e m > < i t e m > < k e y > < s t r i n g > 2 0 1 9   O f f s e t s   P u r c h a s e d < / s t r i n g > < / k e y > < v a l u e > < i n t > 1 7 < / i n t > < / v a l u e > < / i t e m > < i t e m > < k e y > < s t r i n g > 2 0 1 9   N e t   S c o p e   1   +   2   E m i s s i o n s < / s t r i n g > < / k e y > < v a l u e > < i n t > 1 8 < / i n t > < / v a l u e > < / i t e m > < i t e m > < k e y > < s t r i n g > 2 0 1 9   S c o p e   3 < / s t r i n g > < / k e y > < v a l u e > < i n t > 1 9 < / i n t > < / v a l u e > < / i t e m > < i t e m > < k e y > < s t r i n g > 2 0 1 8   S c o p e   1 < / s t r i n g > < / k e y > < v a l u e > < i n t > 2 0 < / i n t > < / v a l u e > < / i t e m > < i t e m > < k e y > < s t r i n g > 2 0 1 8   S c o p e   2 < / s t r i n g > < / k e y > < v a l u e > < i n t > 2 1 < / i n t > < / v a l u e > < / i t e m > < i t e m > < k e y > < s t r i n g > 2 0 1 8   O f f s e t s   P u r c h a s e d < / s t r i n g > < / k e y > < v a l u e > < i n t > 2 2 < / i n t > < / v a l u e > < / i t e m > < i t e m > < k e y > < s t r i n g > 2 0 1 8   N e t   S c o p e   1   +   2   E m i s s i o n s < / s t r i n g > < / k e y > < v a l u e > < i n t > 2 3 < / i n t > < / v a l u e > < / i t e m > < i t e m > < k e y > < s t r i n g > 2 0 1 8   S c o p e   3 < / s t r i n g > < / k e y > < v a l u e > < i n t > 2 4 < / i n t > < / v a l u e > < / i t e m > < i t e m > < k e y > < s t r i n g > 2 0 1 7   S c o p e   1 < / s t r i n g > < / k e y > < v a l u e > < i n t > 2 5 < / i n t > < / v a l u e > < / i t e m > < i t e m > < k e y > < s t r i n g > 2 0 1 7   S c o p e   2 < / s t r i n g > < / k e y > < v a l u e > < i n t > 2 6 < / i n t > < / v a l u e > < / i t e m > < i t e m > < k e y > < s t r i n g > 2 0 1 7   O f f s e t s   P u r c h a s e d < / s t r i n g > < / k e y > < v a l u e > < i n t > 2 7 < / i n t > < / v a l u e > < / i t e m > < i t e m > < k e y > < s t r i n g > 2 0 1 7   N e t   S c o p e   1   +   2   E m i s s i o n s < / s t r i n g > < / k e y > < v a l u e > < i n t > 2 8 < / i n t > < / v a l u e > < / i t e m > < i t e m > < k e y > < s t r i n g > 2 0 1 7   S c o p e   3 < / s t r i n g > < / k e y > < v a l u e > < i n t > 2 9 < / i n t > < / v a l u e > < / i t e m > < i t e m > < k e y > < s t r i n g > 2 0 1 6   S c o p e   1 < / s t r i n g > < / k e y > < v a l u e > < i n t > 3 0 < / i n t > < / v a l u e > < / i t e m > < i t e m > < k e y > < s t r i n g > 2 0 1 6   S c o p e   2 < / s t r i n g > < / k e y > < v a l u e > < i n t > 3 1 < / i n t > < / v a l u e > < / i t e m > < i t e m > < k e y > < s t r i n g > 2 0 1 6   O f f s e t s   P u r c h a s e d < / s t r i n g > < / k e y > < v a l u e > < i n t > 3 2 < / i n t > < / v a l u e > < / i t e m > < i t e m > < k e y > < s t r i n g > 2 0 1 6   N e t   S c o p e   1   +   2   E m i s s i o n s < / s t r i n g > < / k e y > < v a l u e > < i n t > 3 3 < / i n t > < / v a l u e > < / i t e m > < i t e m > < k e y > < s t r i n g > 2 0 1 6   S c o p e   3 < / s t r i n g > < / k e y > < v a l u e > < i n t > 3 4 < / i n t > < / v a l u e > < / i t e m > < i t e m > < k e y > < s t r i n g > 2 0 1 5   S c o p e   1 < / s t r i n g > < / k e y > < v a l u e > < i n t > 3 5 < / i n t > < / v a l u e > < / i t e m > < i t e m > < k e y > < s t r i n g > 2 0 1 5   S c o p e   2 < / s t r i n g > < / k e y > < v a l u e > < i n t > 3 6 < / i n t > < / v a l u e > < / i t e m > < i t e m > < k e y > < s t r i n g > 2 0 1 5   O f f s e t s   P u r c h a s e d < / s t r i n g > < / k e y > < v a l u e > < i n t > 3 7 < / i n t > < / v a l u e > < / i t e m > < i t e m > < k e y > < s t r i n g > 2 0 1 5   N e t   S c o p e   1   +   2   E m i s s i o n s < / s t r i n g > < / k e y > < v a l u e > < i n t > 3 8 < / i n t > < / v a l u e > < / i t e m > < i t e m > < k e y > < s t r i n g > 2 0 1 5   S c o p e   3 < / s t r i n g > < / k e y > < v a l u e > < i n t > 3 9 < / i n t > < / v a l u e > < / i t e m > < i t e m > < k e y > < s t r i n g > P o l i c y   A r m ? < / s t r i n g > < / k e y > < v a l u e > < i n t > 4 0 < / i n t > < / v a l u e > < / i t e m > < i t e m > < k e y > < s t r i n g > I n i t i a t i v e s   f o r   C a r b o n   N e u t r a l i t y < / s t r i n g > < / k e y > < v a l u e > < i n t > 4 1 < / i n t > < / v a l u e > < / i t e m > < i t e m > < k e y > < s t r i n g > N o t e s < / s t r i n g > < / k e y > < v a l u e > < i n t > 4 2 < / i n t > < / v a l u e > < / i t e m > < i t e m > < k e y > < s t r i n g > S o u r c e s < / s t r i n g > < / k e y > < v a l u e > < i n t > 4 3 < / i n t > < / v a l u e > < / i t e m > < i t e m > < k e y > < s t r i n g > 2 0 0 7 < / s t r i n g > < / k e y > < v a l u e > < i n t > 4 4 < / i n t > < / v a l u e > < / i t e m > < i t e m > < k e y > < s t r i n g > 2 0 1 5 < / s t r i n g > < / k e y > < v a l u e > < i n t > 4 5 < / i n t > < / v a l u e > < / i t e m > < i t e m > < k e y > < s t r i n g > 2 0 1 6 < / s t r i n g > < / k e y > < v a l u e > < i n t > 4 6 < / i n t > < / v a l u e > < / i t e m > < i t e m > < k e y > < s t r i n g > 2 0 1 7 < / s t r i n g > < / k e y > < v a l u e > < i n t > 4 7 < / i n t > < / v a l u e > < / i t e m > < i t e m > < k e y > < s t r i n g > 2 0 1 8 < / s t r i n g > < / k e y > < v a l u e > < i n t > 4 8 < / i n t > < / v a l u e > < / i t e m > < i t e m > < k e y > < s t r i n g > 2 0 1 9 < / s t r i n g > < / k e y > < v a l u e > < i n t > 4 9 < / i n t > < / v a l u e > < / i t e m > < i t e m > < k e y > < s t r i n g > 2 0 2 0 < / s t r i n g > < / k e y > < v a l u e > < i n t > 5 0 < / i n t > < / v a l u e > < / i t e m > < i t e m > < k e y > < s t r i n g > 2 0 2 2 < / s t r i n g > < / k e y > < v a l u e > < i n t > 5 1 < / i n t > < / v a l u e > < / i t e m > < i t e m > < k e y > < s t r i n g > 2 0 2 3 < / s t r i n g > < / k e y > < v a l u e > < i n t > 5 2 < / i n t > < / v a l u e > < / i t e m > < i t e m > < k e y > < s t r i n g > 2 0 2 5 < / s t r i n g > < / k e y > < v a l u e > < i n t > 5 3 < / i n t > < / v a l u e > < / i t e m > < i t e m > < k e y > < s t r i n g > 2 0 2 9 < / s t r i n g > < / k e y > < v a l u e > < i n t > 5 4 < / i n t > < / v a l u e > < / i t e m > < i t e m > < k e y > < s t r i n g > 2 0 3 0 < / s t r i n g > < / k e y > < v a l u e > < i n t > 5 5 < / i n t > < / v a l u e > < / i t e m > < i t e m > < k e y > < s t r i n g > 2 0 3 5 < / s t r i n g > < / k e y > < v a l u e > < i n t > 5 6 < / i n t > < / v a l u e > < / i t e m > < i t e m > < k e y > < s t r i n g > 2 0 4 0 < / s t r i n g > < / k e y > < v a l u e > < i n t > 5 7 < / i n t > < / v a l u e > < / i t e m > < i t e m > < k e y > < s t r i n g > 2 0 4 4 < / s t r i n g > < / k e y > < v a l u e > < i n t > 5 8 < / i n t > < / v a l u e > < / i t e m > < i t e m > < k e y > < s t r i n g > 2 0 5 0 < / s t r i n g > < / k e y > < v a l u e > < i n t > 5 9 < / 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 3 6 < / H e i g h t > < / S a n d b o x E d i t o r . F o r m u l a B a r S t a t e > ] ] > < / C u s t o m C o n t e n t > < / G e m i n i > 
</file>

<file path=customXml/item4.xml>��< ? x m l   v e r s i o n = " 1 . 0 "   e n c o d i n g = " U T F - 1 6 " ? > < G e m i n i   x m l n s = " h t t p : / / g e m i n i / p i v o t c u s t o m i z a t i o n / I s S a n d b o x E m b e d d e d " > < C u s t o m C o n t e n t > < ! [ C D A T A [ y e s ] ] > < / C u s t o m C o n t e n t > < / G e m i n i > 
</file>

<file path=customXml/item5.xml>��< ? x m l   v e r s i o n = " 1 . 0 "   e n c o d i n g = " U T F - 1 6 " ? > < G e m i n i   x m l n s = " h t t p : / / g e m i n i / p i v o t c u s t o m i z a t i o n / M a n u a l C a l c M o d e " > < C u s t o m C o n t e n t > < ! [ C D A T A [ F a l s e ] ] > < / C u s t o m C o n t e n t > < / G e m i n i > 
</file>

<file path=customXml/item6.xml>��< ? x m l   v e r s i o n = " 1 . 0 "   e n c o d i n g = " U T F - 1 6 " ? > < G e m i n i   x m l n s = " h t t p : / / g e m i n i / p i v o t c u s t o m i z a t i o n / P o w e r P i v o t V e r s i o n " > < C u s t o m C o n t e n t > < ! [ C D A T A [ 2 0 1 5 . 1 3 0 . 8 0 0 . 1 3 3 8 ] ] > < / C u s t o m C o n t e n t > < / G e m i n i > 
</file>

<file path=customXml/item7.xml>��< ? x m l   v e r s i o n = " 1 . 0 "   e n c o d i n g = " U T F - 1 6 " ? > < G e m i n i   x m l n s = " h t t p : / / g e m i n i / p i v o t c u s t o m i z a t i o n / S a n d b o x N o n E m p t y " > < C u s t o m C o n t e n t > < ! [ C D A T A [ 1 ] ] > < / 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 2 0 2 0 - 0 9 - 2 5 T 1 4 : 4 7 : 1 5 . 1 2 4 6 7 4 1 - 0 5 : 0 0 < / L a s t P r o c e s s e d T i m e > < / D a t a M o d e l i n g S a n d b o x . S e r i a l i z e d S a n d b o x E r r o r C a c h e > ] ] > < / C u s t o m C o n t e n t > < / G e m i n i > 
</file>

<file path=customXml/itemProps1.xml><?xml version="1.0" encoding="utf-8"?>
<ds:datastoreItem xmlns:ds="http://schemas.openxmlformats.org/officeDocument/2006/customXml" ds:itemID="{44E30152-CB53-4EF6-A495-3745C2D44813}">
  <ds:schemaRefs>
    <ds:schemaRef ds:uri="http://gemini/pivotcustomization/ShowImplicitMeasures"/>
  </ds:schemaRefs>
</ds:datastoreItem>
</file>

<file path=customXml/itemProps10.xml><?xml version="1.0" encoding="utf-8"?>
<ds:datastoreItem xmlns:ds="http://schemas.openxmlformats.org/officeDocument/2006/customXml" ds:itemID="{48980BAF-B3C4-4A2A-ADCF-A51AC5789B62}">
  <ds:schemaRefs>
    <ds:schemaRef ds:uri="http://gemini/pivotcustomization/LinkedTableUpdateMode"/>
  </ds:schemaRefs>
</ds:datastoreItem>
</file>

<file path=customXml/itemProps11.xml><?xml version="1.0" encoding="utf-8"?>
<ds:datastoreItem xmlns:ds="http://schemas.openxmlformats.org/officeDocument/2006/customXml" ds:itemID="{49097C70-4B4A-4D40-9502-7DAE8FE59AD7}">
  <ds:schemaRefs>
    <ds:schemaRef ds:uri="http://gemini/pivotcustomization/Diagrams"/>
  </ds:schemaRefs>
</ds:datastoreItem>
</file>

<file path=customXml/itemProps12.xml><?xml version="1.0" encoding="utf-8"?>
<ds:datastoreItem xmlns:ds="http://schemas.openxmlformats.org/officeDocument/2006/customXml" ds:itemID="{8AC283E2-4F0F-4201-93B8-17DEE984007A}">
  <ds:schemaRefs>
    <ds:schemaRef ds:uri="http://gemini/pivotcustomization/TableOrder"/>
  </ds:schemaRefs>
</ds:datastoreItem>
</file>

<file path=customXml/itemProps13.xml><?xml version="1.0" encoding="utf-8"?>
<ds:datastoreItem xmlns:ds="http://schemas.openxmlformats.org/officeDocument/2006/customXml" ds:itemID="{C52C42D5-A088-4722-80C0-B6A93377AD8A}">
  <ds:schemaRefs>
    <ds:schemaRef ds:uri="http://gemini/pivotcustomization/MeasureGridState"/>
  </ds:schemaRefs>
</ds:datastoreItem>
</file>

<file path=customXml/itemProps14.xml><?xml version="1.0" encoding="utf-8"?>
<ds:datastoreItem xmlns:ds="http://schemas.openxmlformats.org/officeDocument/2006/customXml" ds:itemID="{7F18D981-4E96-49E6-B154-CDC6D1088E66}">
  <ds:schemaRefs>
    <ds:schemaRef ds:uri="http://gemini/pivotcustomization/TableWidget"/>
  </ds:schemaRefs>
</ds:datastoreItem>
</file>

<file path=customXml/itemProps15.xml><?xml version="1.0" encoding="utf-8"?>
<ds:datastoreItem xmlns:ds="http://schemas.openxmlformats.org/officeDocument/2006/customXml" ds:itemID="{93CA14C1-B02C-454D-A1B6-3CFAE449071C}">
  <ds:schemaRefs>
    <ds:schemaRef ds:uri="http://gemini/pivotcustomization/ClientWindowXML"/>
  </ds:schemaRefs>
</ds:datastoreItem>
</file>

<file path=customXml/itemProps16.xml><?xml version="1.0" encoding="utf-8"?>
<ds:datastoreItem xmlns:ds="http://schemas.openxmlformats.org/officeDocument/2006/customXml" ds:itemID="{729C1D0C-6BC0-4EA6-A2A1-EAD76443E6F3}">
  <ds:schemaRefs>
    <ds:schemaRef ds:uri="http://gemini/pivotcustomization/ShowHidden"/>
  </ds:schemaRefs>
</ds:datastoreItem>
</file>

<file path=customXml/itemProps2.xml><?xml version="1.0" encoding="utf-8"?>
<ds:datastoreItem xmlns:ds="http://schemas.openxmlformats.org/officeDocument/2006/customXml" ds:itemID="{C3DC4AB6-9A92-42C3-96A9-E293D8DC2BDA}">
  <ds:schemaRefs>
    <ds:schemaRef ds:uri="http://gemini/pivotcustomization/TableXML_Table1"/>
  </ds:schemaRefs>
</ds:datastoreItem>
</file>

<file path=customXml/itemProps3.xml><?xml version="1.0" encoding="utf-8"?>
<ds:datastoreItem xmlns:ds="http://schemas.openxmlformats.org/officeDocument/2006/customXml" ds:itemID="{2DF007CB-EFF8-462F-AE44-B9820558C57C}">
  <ds:schemaRefs>
    <ds:schemaRef ds:uri="http://gemini/pivotcustomization/FormulaBarState"/>
  </ds:schemaRefs>
</ds:datastoreItem>
</file>

<file path=customXml/itemProps4.xml><?xml version="1.0" encoding="utf-8"?>
<ds:datastoreItem xmlns:ds="http://schemas.openxmlformats.org/officeDocument/2006/customXml" ds:itemID="{2709A323-C744-4B3F-B0D5-66D83C405879}">
  <ds:schemaRefs>
    <ds:schemaRef ds:uri="http://gemini/pivotcustomization/IsSandboxEmbedded"/>
  </ds:schemaRefs>
</ds:datastoreItem>
</file>

<file path=customXml/itemProps5.xml><?xml version="1.0" encoding="utf-8"?>
<ds:datastoreItem xmlns:ds="http://schemas.openxmlformats.org/officeDocument/2006/customXml" ds:itemID="{BED47B6D-B9E4-482A-B768-2881B4C7C783}">
  <ds:schemaRefs>
    <ds:schemaRef ds:uri="http://gemini/pivotcustomization/ManualCalcMode"/>
  </ds:schemaRefs>
</ds:datastoreItem>
</file>

<file path=customXml/itemProps6.xml><?xml version="1.0" encoding="utf-8"?>
<ds:datastoreItem xmlns:ds="http://schemas.openxmlformats.org/officeDocument/2006/customXml" ds:itemID="{4C7F21FD-D173-4954-9A09-7A16241193A7}">
  <ds:schemaRefs>
    <ds:schemaRef ds:uri="http://gemini/pivotcustomization/PowerPivotVersion"/>
  </ds:schemaRefs>
</ds:datastoreItem>
</file>

<file path=customXml/itemProps7.xml><?xml version="1.0" encoding="utf-8"?>
<ds:datastoreItem xmlns:ds="http://schemas.openxmlformats.org/officeDocument/2006/customXml" ds:itemID="{B1FE6BD5-4A30-4787-96CA-4A8AA9E641CE}">
  <ds:schemaRefs>
    <ds:schemaRef ds:uri="http://gemini/pivotcustomization/SandboxNonEmpty"/>
  </ds:schemaRefs>
</ds:datastoreItem>
</file>

<file path=customXml/itemProps8.xml><?xml version="1.0" encoding="utf-8"?>
<ds:datastoreItem xmlns:ds="http://schemas.openxmlformats.org/officeDocument/2006/customXml" ds:itemID="{2C53A1DF-4D11-4C5E-8E6D-2CB7FBF9CF36}">
  <ds:schemaRefs>
    <ds:schemaRef ds:uri="http://gemini/pivotcustomization/RelationshipAutoDetectionEnabled"/>
  </ds:schemaRefs>
</ds:datastoreItem>
</file>

<file path=customXml/itemProps9.xml><?xml version="1.0" encoding="utf-8"?>
<ds:datastoreItem xmlns:ds="http://schemas.openxmlformats.org/officeDocument/2006/customXml" ds:itemID="{121C9889-2A96-4951-9E69-A9D647F5F94D}">
  <ds:schemaRefs>
    <ds:schemaRef ds:uri="http://gemini/pivotcustomization/ErrorCach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assumption</vt:lpstr>
      <vt:lpstr>companies</vt:lpstr>
      <vt:lpstr>target_data</vt:lpstr>
      <vt:lpstr>fundamental_data</vt:lpstr>
      <vt:lpstr>targets</vt:lpstr>
      <vt:lpstr>grouping</vt:lpstr>
      <vt:lpstr>financials</vt:lpstr>
      <vt:lpstr>GHG19</vt:lpstr>
      <vt:lpstr>sources</vt:lpstr>
      <vt:lpstr>company</vt:lpstr>
      <vt:lpstr>sector</vt:lpstr>
      <vt:lpstr>Sheet1</vt:lpstr>
      <vt:lpstr>k_cost</vt:lpstr>
      <vt:lpstr>k_rev_max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Edmunds</dc:creator>
  <cp:keywords/>
  <dc:description/>
  <cp:lastModifiedBy>Generic</cp:lastModifiedBy>
  <cp:revision/>
  <dcterms:created xsi:type="dcterms:W3CDTF">2020-06-04T19:09:35Z</dcterms:created>
  <dcterms:modified xsi:type="dcterms:W3CDTF">2021-07-10T20:02:33Z</dcterms:modified>
  <cp:category/>
  <cp:contentStatus/>
</cp:coreProperties>
</file>